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ivoedu-my.sharepoint.com/personal/francisco_granados_univo_edu_sv/Documents/Escritorio/ESTUDIO DE SUELOS Y CONCRETOS LAB. 2024/"/>
    </mc:Choice>
  </mc:AlternateContent>
  <xr:revisionPtr revIDLastSave="400" documentId="13_ncr:1_{5692DDE1-6D09-4691-A93D-BED938572AE9}" xr6:coauthVersionLast="47" xr6:coauthVersionMax="47" xr10:uidLastSave="{8D1CE4DD-7466-4DA4-ADF0-BC30E766A027}"/>
  <bookViews>
    <workbookView xWindow="-120" yWindow="-120" windowWidth="29040" windowHeight="15720" tabRatio="603" firstSheet="6" activeTab="11" xr2:uid="{00000000-000D-0000-FFFF-FFFF00000000}"/>
  </bookViews>
  <sheets>
    <sheet name="Granulometría" sheetId="41" r:id="rId1"/>
    <sheet name="LIMITES" sheetId="99" r:id="rId2"/>
    <sheet name="Clasificación" sheetId="43" r:id="rId3"/>
    <sheet name="Proctor " sheetId="44" r:id="rId4"/>
    <sheet name="GRAV ESP RET 3-4&quot; (2)" sheetId="100" r:id="rId5"/>
    <sheet name="CUADRO RESUMEN DE RESULTADOS" sheetId="54" r:id="rId6"/>
    <sheet name="SC" sheetId="52" r:id="rId7"/>
    <sheet name="Proctor SC" sheetId="98" r:id="rId8"/>
    <sheet name="GRAV ESP MAT SITU (2)" sheetId="101" r:id="rId9"/>
    <sheet name="DATOS DE DISEÑO LODOCRETO (2)" sheetId="102" r:id="rId10"/>
    <sheet name="RESULTADOS DE LABORATORIO (2)" sheetId="103" r:id="rId11"/>
    <sheet name="DISEÑO DE LODOCRETO (2)" sheetId="10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\B">#N/A</definedName>
    <definedName name="\C">#N/A</definedName>
    <definedName name="\D">#N/A</definedName>
    <definedName name="\E">#N/A</definedName>
    <definedName name="_xlnm._FilterDatabase" localSheetId="11" hidden="1">'DISEÑO DE LODOCRETO (2)'!$C$12:$D$15</definedName>
    <definedName name="_xlnm._FilterDatabase" localSheetId="6" hidden="1">SC!$C$12:$D$18</definedName>
    <definedName name="A">#N/A</definedName>
    <definedName name="AAAAAAAAAAAAAAAAAAA">#N/A</definedName>
    <definedName name="_xlnm.Print_Area" localSheetId="2">Clasificación!$A$2:$AF$57</definedName>
    <definedName name="_xlnm.Print_Area" localSheetId="9">'DATOS DE DISEÑO LODOCRETO (2)'!$B$4:$I$69</definedName>
    <definedName name="_xlnm.Print_Area" localSheetId="11">'DISEÑO DE LODOCRETO (2)'!$B$2:$P$22</definedName>
    <definedName name="_xlnm.Print_Area" localSheetId="0">Granulometría!$A$2:$AF$55</definedName>
    <definedName name="_xlnm.Print_Area" localSheetId="8">'GRAV ESP MAT SITU (2)'!$B$2:$J$42</definedName>
    <definedName name="_xlnm.Print_Area" localSheetId="4">'GRAV ESP RET 3-4" (2)'!$B$2:$J$42</definedName>
    <definedName name="_xlnm.Print_Area" localSheetId="1">LIMITES!$H$2:$AS$54</definedName>
    <definedName name="_xlnm.Print_Area" localSheetId="3">'Proctor '!$A$2:$AE$56</definedName>
    <definedName name="_xlnm.Print_Area" localSheetId="7">'Proctor SC'!$A$2:$AE$56</definedName>
    <definedName name="_xlnm.Print_Area" localSheetId="10">'RESULTADOS DE LABORATORIO (2)'!$B$5:$I$61</definedName>
    <definedName name="_xlnm.Print_Area" localSheetId="6">SC!$B$2:$P$27</definedName>
    <definedName name="_xlnm.Criteria" localSheetId="5">#REF!</definedName>
    <definedName name="_xlnm.Criteria" localSheetId="9">#REF!</definedName>
    <definedName name="_xlnm.Criteria" localSheetId="11">#REF!</definedName>
    <definedName name="_xlnm.Criteria" localSheetId="8">#REF!</definedName>
    <definedName name="_xlnm.Criteria" localSheetId="4">#REF!</definedName>
    <definedName name="_xlnm.Criteria" localSheetId="10">#REF!</definedName>
    <definedName name="_xlnm.Criteria" localSheetId="6">#REF!</definedName>
    <definedName name="_xlnm.Criteria">#REF!</definedName>
    <definedName name="DASD">#N/A</definedName>
    <definedName name="FACT">[1]FACTOR!$B$5:$C$56</definedName>
    <definedName name="factores">'[2]Espesor-Factor'!$B$5:$C$56</definedName>
    <definedName name="hoja3">#N/A</definedName>
    <definedName name="LIMITE">#N/A</definedName>
    <definedName name="Print_Area" localSheetId="1">LIMITES!$H$2:$AS$56</definedName>
    <definedName name="Tiempo__s" localSheetId="5">#REF!</definedName>
    <definedName name="Tiempo__s" localSheetId="9">#REF!</definedName>
    <definedName name="Tiempo__s" localSheetId="11">#REF!</definedName>
    <definedName name="Tiempo__s" localSheetId="8">#REF!</definedName>
    <definedName name="Tiempo__s" localSheetId="4">#REF!</definedName>
    <definedName name="Tiempo__s" localSheetId="10">#REF!</definedName>
    <definedName name="Tiempo__s" localSheetId="6">#REF!</definedName>
    <definedName name="Tiempo__s">#REF!</definedName>
    <definedName name="_xlnm.Print_Titles" localSheetId="2">Clasificación!$3:$4</definedName>
    <definedName name="_xlnm.Print_Titles" localSheetId="11">'DISEÑO DE LODOCRETO (2)'!$2:$12</definedName>
    <definedName name="_xlnm.Print_Titles" localSheetId="0">Granulometría!$3:$4</definedName>
    <definedName name="_xlnm.Print_Titles" localSheetId="3">'Proctor '!$3:$4</definedName>
    <definedName name="_xlnm.Print_Titles" localSheetId="7">'Proctor SC'!$3:$4</definedName>
    <definedName name="_xlnm.Print_Titles" localSheetId="6">SC!$2:$12</definedName>
    <definedName name="xxx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104" l="1"/>
  <c r="O14" i="104"/>
  <c r="C13" i="104"/>
  <c r="D13" i="104" s="1"/>
  <c r="C14" i="104"/>
  <c r="D14" i="104" s="1"/>
  <c r="B14" i="104"/>
  <c r="B21" i="104"/>
  <c r="D8" i="104"/>
  <c r="D33" i="104"/>
  <c r="D32" i="104"/>
  <c r="E31" i="104"/>
  <c r="E33" i="104" s="1"/>
  <c r="K22" i="104"/>
  <c r="B22" i="104"/>
  <c r="K21" i="104"/>
  <c r="K15" i="104"/>
  <c r="M15" i="104" s="1"/>
  <c r="I15" i="104"/>
  <c r="C15" i="104"/>
  <c r="M14" i="104"/>
  <c r="K14" i="104"/>
  <c r="N14" i="104" s="1"/>
  <c r="I14" i="104"/>
  <c r="B15" i="104"/>
  <c r="O13" i="104"/>
  <c r="K13" i="104"/>
  <c r="N13" i="104" s="1"/>
  <c r="R13" i="104" s="1"/>
  <c r="I13" i="104"/>
  <c r="D7" i="104"/>
  <c r="U6" i="104"/>
  <c r="D6" i="104"/>
  <c r="T3" i="104"/>
  <c r="H59" i="103"/>
  <c r="H58" i="103"/>
  <c r="H57" i="103"/>
  <c r="H56" i="103"/>
  <c r="H55" i="103"/>
  <c r="H54" i="103"/>
  <c r="H53" i="103"/>
  <c r="H52" i="103"/>
  <c r="F24" i="103"/>
  <c r="F23" i="103"/>
  <c r="F22" i="103"/>
  <c r="F16" i="103"/>
  <c r="F25" i="103" s="1"/>
  <c r="F26" i="103" s="1"/>
  <c r="F65" i="102"/>
  <c r="H51" i="102"/>
  <c r="F46" i="102"/>
  <c r="F53" i="102" s="1"/>
  <c r="F34" i="102"/>
  <c r="F40" i="102" s="1"/>
  <c r="F30" i="102"/>
  <c r="F29" i="102"/>
  <c r="F23" i="102"/>
  <c r="F21" i="102"/>
  <c r="J19" i="102"/>
  <c r="H15" i="102"/>
  <c r="F15" i="102"/>
  <c r="E15" i="102"/>
  <c r="F12" i="102"/>
  <c r="F22" i="102" s="1"/>
  <c r="F24" i="102" s="1"/>
  <c r="F25" i="102" s="1"/>
  <c r="F26" i="102" s="1"/>
  <c r="H9" i="102"/>
  <c r="M53" i="102" s="1"/>
  <c r="B40" i="101"/>
  <c r="C12" i="101"/>
  <c r="C10" i="101"/>
  <c r="C8" i="101"/>
  <c r="G21" i="101"/>
  <c r="G22" i="101" s="1"/>
  <c r="H21" i="101"/>
  <c r="H22" i="101" s="1"/>
  <c r="G27" i="101"/>
  <c r="H27" i="101"/>
  <c r="I27" i="101"/>
  <c r="G34" i="101" s="1"/>
  <c r="F40" i="101"/>
  <c r="B41" i="101"/>
  <c r="F41" i="101"/>
  <c r="AI48" i="98"/>
  <c r="AI45" i="98"/>
  <c r="AI44" i="98"/>
  <c r="AI43" i="98"/>
  <c r="AI41" i="98"/>
  <c r="AI42" i="98"/>
  <c r="H9" i="54"/>
  <c r="G9" i="54"/>
  <c r="F9" i="54"/>
  <c r="E9" i="54"/>
  <c r="D9" i="54"/>
  <c r="AI45" i="44"/>
  <c r="AI48" i="44" s="1"/>
  <c r="AI47" i="44"/>
  <c r="AI44" i="44"/>
  <c r="AI43" i="44"/>
  <c r="AI41" i="44"/>
  <c r="AI42" i="44"/>
  <c r="F41" i="100"/>
  <c r="F40" i="100"/>
  <c r="B40" i="100"/>
  <c r="G26" i="100"/>
  <c r="I26" i="100" s="1"/>
  <c r="G33" i="100" s="1"/>
  <c r="H23" i="100"/>
  <c r="G23" i="100"/>
  <c r="I23" i="100" s="1"/>
  <c r="G30" i="100" s="1"/>
  <c r="H22" i="100"/>
  <c r="H26" i="100" s="1"/>
  <c r="L26" i="100" s="1"/>
  <c r="G22" i="100"/>
  <c r="H21" i="100"/>
  <c r="H24" i="100" s="1"/>
  <c r="G21" i="100"/>
  <c r="G24" i="100" s="1"/>
  <c r="I24" i="100" s="1"/>
  <c r="G31" i="100" s="1"/>
  <c r="O20" i="100"/>
  <c r="H20" i="100"/>
  <c r="H25" i="100" s="1"/>
  <c r="G20" i="100"/>
  <c r="G25" i="100" s="1"/>
  <c r="I25" i="100" s="1"/>
  <c r="G32" i="100" s="1"/>
  <c r="H14" i="100"/>
  <c r="C12" i="100"/>
  <c r="C10" i="100"/>
  <c r="C8" i="100"/>
  <c r="M13" i="104" l="1"/>
  <c r="D15" i="104"/>
  <c r="F31" i="102"/>
  <c r="G12" i="102"/>
  <c r="F57" i="102"/>
  <c r="F45" i="102"/>
  <c r="M59" i="102"/>
  <c r="M60" i="102"/>
  <c r="F19" i="103"/>
  <c r="M51" i="102"/>
  <c r="M54" i="102"/>
  <c r="G46" i="102"/>
  <c r="M52" i="102"/>
  <c r="H26" i="101"/>
  <c r="H25" i="101"/>
  <c r="G26" i="101"/>
  <c r="I26" i="101" s="1"/>
  <c r="G33" i="101" s="1"/>
  <c r="G25" i="101"/>
  <c r="I25" i="101" s="1"/>
  <c r="G32" i="101" s="1"/>
  <c r="L24" i="100"/>
  <c r="L25" i="100"/>
  <c r="F52" i="102" l="1"/>
  <c r="F48" i="102"/>
  <c r="F39" i="102"/>
  <c r="F38" i="102"/>
  <c r="F47" i="102" s="1"/>
  <c r="AC17" i="43"/>
  <c r="AC15" i="43"/>
  <c r="X13" i="43"/>
  <c r="A55" i="43"/>
  <c r="V31" i="43"/>
  <c r="L31" i="43"/>
  <c r="B31" i="43"/>
  <c r="O11" i="99"/>
  <c r="N9" i="99"/>
  <c r="N7" i="99"/>
  <c r="AA53" i="99"/>
  <c r="Q56" i="43" s="1"/>
  <c r="I53" i="99"/>
  <c r="A56" i="43" s="1"/>
  <c r="AA52" i="99"/>
  <c r="I52" i="99"/>
  <c r="AJ25" i="99"/>
  <c r="AG25" i="99"/>
  <c r="Z47" i="99" s="1"/>
  <c r="AA25" i="99"/>
  <c r="C5" i="99" s="1"/>
  <c r="X25" i="99"/>
  <c r="C4" i="99" s="1"/>
  <c r="AJ24" i="99"/>
  <c r="AG24" i="99"/>
  <c r="AA24" i="99"/>
  <c r="X24" i="99"/>
  <c r="U24" i="99"/>
  <c r="AJ22" i="99"/>
  <c r="AG22" i="99"/>
  <c r="AA22" i="99"/>
  <c r="X22" i="99"/>
  <c r="U22" i="99"/>
  <c r="U25" i="99" s="1"/>
  <c r="C3" i="99" s="1"/>
  <c r="AJ13" i="99"/>
  <c r="E8" i="99"/>
  <c r="BB6" i="99"/>
  <c r="A5" i="99"/>
  <c r="D5" i="99" s="1"/>
  <c r="A4" i="99"/>
  <c r="B4" i="99" s="1"/>
  <c r="D3" i="99"/>
  <c r="A3" i="99"/>
  <c r="B3" i="99" s="1"/>
  <c r="H73" i="102" l="1"/>
  <c r="F67" i="102"/>
  <c r="F54" i="102"/>
  <c r="J54" i="102" s="1"/>
  <c r="F55" i="102"/>
  <c r="F62" i="102"/>
  <c r="C7" i="99"/>
  <c r="C9" i="99"/>
  <c r="C8" i="99"/>
  <c r="D4" i="99"/>
  <c r="B5" i="99"/>
  <c r="E4" i="99" l="1"/>
  <c r="E3" i="99"/>
  <c r="F8" i="99"/>
  <c r="E5" i="99"/>
  <c r="E15" i="99" l="1"/>
  <c r="E16" i="99" s="1"/>
  <c r="E12" i="99"/>
  <c r="Z46" i="99" s="1"/>
  <c r="Z48" i="99" s="1"/>
  <c r="A54" i="98" l="1"/>
  <c r="A54" i="44"/>
  <c r="X33" i="98"/>
  <c r="L6" i="98"/>
  <c r="AA48" i="98"/>
  <c r="AA47" i="98"/>
  <c r="AI47" i="98"/>
  <c r="AI33" i="98"/>
  <c r="AH32" i="98"/>
  <c r="AH33" i="98" s="1"/>
  <c r="AI31" i="98"/>
  <c r="X31" i="98"/>
  <c r="X29" i="98"/>
  <c r="AA25" i="98"/>
  <c r="W25" i="98"/>
  <c r="S25" i="98"/>
  <c r="O25" i="98"/>
  <c r="AA23" i="98"/>
  <c r="W23" i="98"/>
  <c r="S23" i="98"/>
  <c r="O23" i="98"/>
  <c r="AD17" i="98"/>
  <c r="AD18" i="98" s="1"/>
  <c r="X17" i="98"/>
  <c r="X18" i="98" s="1"/>
  <c r="R17" i="98"/>
  <c r="R18" i="98" s="1"/>
  <c r="AD15" i="98"/>
  <c r="AC15" i="98"/>
  <c r="AC17" i="98" s="1"/>
  <c r="AC18" i="98" s="1"/>
  <c r="AB15" i="98"/>
  <c r="AB17" i="98" s="1"/>
  <c r="AB18" i="98" s="1"/>
  <c r="Z15" i="98"/>
  <c r="Z17" i="98" s="1"/>
  <c r="Z18" i="98" s="1"/>
  <c r="Y15" i="98"/>
  <c r="Y17" i="98" s="1"/>
  <c r="Y18" i="98" s="1"/>
  <c r="X15" i="98"/>
  <c r="W15" i="98"/>
  <c r="W17" i="98" s="1"/>
  <c r="V15" i="98"/>
  <c r="V17" i="98" s="1"/>
  <c r="V18" i="98" s="1"/>
  <c r="U15" i="98"/>
  <c r="U17" i="98" s="1"/>
  <c r="U18" i="98" s="1"/>
  <c r="T15" i="98"/>
  <c r="T17" i="98" s="1"/>
  <c r="T18" i="98" s="1"/>
  <c r="S15" i="98"/>
  <c r="S17" i="98" s="1"/>
  <c r="R15" i="98"/>
  <c r="Q15" i="98"/>
  <c r="Q17" i="98" s="1"/>
  <c r="Q18" i="98" s="1"/>
  <c r="P15" i="98"/>
  <c r="P17" i="98" s="1"/>
  <c r="P18" i="98" s="1"/>
  <c r="O15" i="98"/>
  <c r="O17" i="98" s="1"/>
  <c r="AA15" i="98"/>
  <c r="AA17" i="98" s="1"/>
  <c r="V8" i="98"/>
  <c r="E5" i="98"/>
  <c r="J2" i="98"/>
  <c r="D37" i="52"/>
  <c r="D38" i="52" s="1"/>
  <c r="C13" i="54"/>
  <c r="C9" i="54"/>
  <c r="B9" i="54"/>
  <c r="AA26" i="98" l="1"/>
  <c r="AA18" i="98" s="1"/>
  <c r="W26" i="98"/>
  <c r="W18" i="98" s="1"/>
  <c r="S26" i="98"/>
  <c r="S18" i="98"/>
  <c r="O26" i="98"/>
  <c r="O18" i="98" s="1"/>
  <c r="AD13" i="43"/>
  <c r="AA13" i="43"/>
  <c r="BA60" i="41"/>
  <c r="BA58" i="41"/>
  <c r="BF56" i="41"/>
  <c r="BE56" i="41"/>
  <c r="BA56" i="41"/>
  <c r="R55" i="98"/>
  <c r="A54" i="41"/>
  <c r="A55" i="98"/>
  <c r="R54" i="98"/>
  <c r="E4" i="98" l="1"/>
  <c r="B26" i="52" l="1"/>
  <c r="C13" i="52"/>
  <c r="AA25" i="44" l="1"/>
  <c r="AA23" i="44"/>
  <c r="AA26" i="44" s="1"/>
  <c r="AD15" i="44"/>
  <c r="AD17" i="44" s="1"/>
  <c r="AD18" i="44" s="1"/>
  <c r="AC15" i="44"/>
  <c r="AC17" i="44" s="1"/>
  <c r="AC18" i="44" s="1"/>
  <c r="AB15" i="44"/>
  <c r="AB17" i="44" s="1"/>
  <c r="AB18" i="44" s="1"/>
  <c r="BE60" i="41"/>
  <c r="BF60" i="41" s="1"/>
  <c r="BE58" i="41"/>
  <c r="BF58" i="41" s="1"/>
  <c r="E221" i="54" l="1"/>
  <c r="E233" i="54" s="1"/>
  <c r="E245" i="54" s="1"/>
  <c r="E257" i="54" s="1"/>
  <c r="D221" i="54"/>
  <c r="D233" i="54" s="1"/>
  <c r="D245" i="54" s="1"/>
  <c r="D257" i="54" s="1"/>
  <c r="E215" i="54"/>
  <c r="E227" i="54" s="1"/>
  <c r="E239" i="54" s="1"/>
  <c r="E251" i="54" s="1"/>
  <c r="E263" i="54" s="1"/>
  <c r="D215" i="54"/>
  <c r="D227" i="54" s="1"/>
  <c r="D239" i="54" s="1"/>
  <c r="D251" i="54" s="1"/>
  <c r="D263" i="54" s="1"/>
  <c r="I209" i="54"/>
  <c r="I215" i="54" s="1"/>
  <c r="I221" i="54" s="1"/>
  <c r="I227" i="54" s="1"/>
  <c r="I233" i="54" s="1"/>
  <c r="I239" i="54" s="1"/>
  <c r="I245" i="54" s="1"/>
  <c r="I251" i="54" s="1"/>
  <c r="I257" i="54" s="1"/>
  <c r="I263" i="54" s="1"/>
  <c r="I269" i="54" s="1"/>
  <c r="G209" i="54"/>
  <c r="F209" i="54"/>
  <c r="I197" i="54"/>
  <c r="G197" i="54"/>
  <c r="F197" i="54"/>
  <c r="I191" i="54"/>
  <c r="G191" i="54"/>
  <c r="F191" i="54"/>
  <c r="I185" i="54"/>
  <c r="G185" i="54"/>
  <c r="F185" i="54"/>
  <c r="I179" i="54"/>
  <c r="G179" i="54"/>
  <c r="F179" i="54"/>
  <c r="I173" i="54"/>
  <c r="G173" i="54"/>
  <c r="F173" i="54"/>
  <c r="I167" i="54"/>
  <c r="G167" i="54"/>
  <c r="F167" i="54"/>
  <c r="I161" i="54"/>
  <c r="G161" i="54"/>
  <c r="F161" i="54"/>
  <c r="I155" i="54"/>
  <c r="G155" i="54"/>
  <c r="F155" i="54"/>
  <c r="I149" i="54"/>
  <c r="G149" i="54"/>
  <c r="F149" i="54"/>
  <c r="I143" i="54"/>
  <c r="G143" i="54"/>
  <c r="F143" i="54"/>
  <c r="I137" i="54"/>
  <c r="G137" i="54"/>
  <c r="F137" i="54"/>
  <c r="I131" i="54"/>
  <c r="G131" i="54"/>
  <c r="F131" i="54"/>
  <c r="I125" i="54"/>
  <c r="G125" i="54"/>
  <c r="F125" i="54"/>
  <c r="I119" i="54"/>
  <c r="G119" i="54"/>
  <c r="F119" i="54"/>
  <c r="I113" i="54"/>
  <c r="G113" i="54"/>
  <c r="F113" i="54"/>
  <c r="I107" i="54"/>
  <c r="G107" i="54"/>
  <c r="F107" i="54"/>
  <c r="I101" i="54"/>
  <c r="G101" i="54"/>
  <c r="F101" i="54"/>
  <c r="I95" i="54"/>
  <c r="G95" i="54"/>
  <c r="F95" i="54"/>
  <c r="I89" i="54"/>
  <c r="G89" i="54"/>
  <c r="F89" i="54"/>
  <c r="I83" i="54"/>
  <c r="G83" i="54"/>
  <c r="F83" i="54"/>
  <c r="I77" i="54"/>
  <c r="G77" i="54"/>
  <c r="F77" i="54"/>
  <c r="I71" i="54"/>
  <c r="G71" i="54"/>
  <c r="F71" i="54"/>
  <c r="I65" i="54"/>
  <c r="G65" i="54"/>
  <c r="F65" i="54"/>
  <c r="I59" i="54"/>
  <c r="G59" i="54"/>
  <c r="F59" i="54"/>
  <c r="I53" i="54"/>
  <c r="G53" i="54"/>
  <c r="F53" i="54"/>
  <c r="I47" i="54"/>
  <c r="G47" i="54"/>
  <c r="F47" i="54"/>
  <c r="I41" i="54"/>
  <c r="G41" i="54"/>
  <c r="F41" i="54"/>
  <c r="I35" i="54"/>
  <c r="G35" i="54"/>
  <c r="F35" i="54"/>
  <c r="I29" i="54"/>
  <c r="G29" i="54"/>
  <c r="F29" i="54"/>
  <c r="E29" i="54"/>
  <c r="E41" i="54" s="1"/>
  <c r="E53" i="54" s="1"/>
  <c r="E65" i="54" s="1"/>
  <c r="E77" i="54" s="1"/>
  <c r="E89" i="54" s="1"/>
  <c r="E101" i="54" s="1"/>
  <c r="E113" i="54" s="1"/>
  <c r="E125" i="54" s="1"/>
  <c r="E137" i="54" s="1"/>
  <c r="E149" i="54" s="1"/>
  <c r="E161" i="54" s="1"/>
  <c r="E173" i="54" s="1"/>
  <c r="E185" i="54" s="1"/>
  <c r="E197" i="54" s="1"/>
  <c r="D29" i="54"/>
  <c r="E38" i="52"/>
  <c r="E36" i="52"/>
  <c r="B27" i="52"/>
  <c r="K20" i="52"/>
  <c r="I20" i="52"/>
  <c r="K19" i="52"/>
  <c r="I19" i="52"/>
  <c r="K18" i="52"/>
  <c r="I18" i="52"/>
  <c r="K17" i="52"/>
  <c r="I17" i="52"/>
  <c r="K16" i="52"/>
  <c r="I16" i="52"/>
  <c r="K15" i="52"/>
  <c r="I15" i="52"/>
  <c r="K14" i="52"/>
  <c r="I14" i="52"/>
  <c r="C14" i="52"/>
  <c r="C15" i="52" s="1"/>
  <c r="B14" i="52"/>
  <c r="K13" i="52"/>
  <c r="I13" i="52"/>
  <c r="D13" i="52"/>
  <c r="U6" i="52"/>
  <c r="T3" i="52"/>
  <c r="N19" i="52" l="1"/>
  <c r="R16" i="52" s="1"/>
  <c r="B15" i="52"/>
  <c r="B16" i="52" s="1"/>
  <c r="N13" i="52"/>
  <c r="R13" i="52" s="1"/>
  <c r="N17" i="52"/>
  <c r="N15" i="52"/>
  <c r="R14" i="52" s="1"/>
  <c r="H29" i="54"/>
  <c r="D35" i="54"/>
  <c r="D47" i="54" s="1"/>
  <c r="H47" i="54" s="1"/>
  <c r="D41" i="54"/>
  <c r="E35" i="54"/>
  <c r="E47" i="54" s="1"/>
  <c r="E59" i="54" s="1"/>
  <c r="E71" i="54" s="1"/>
  <c r="E83" i="54" s="1"/>
  <c r="E95" i="54" s="1"/>
  <c r="E107" i="54" s="1"/>
  <c r="E119" i="54" s="1"/>
  <c r="E131" i="54" s="1"/>
  <c r="E143" i="54" s="1"/>
  <c r="E155" i="54" s="1"/>
  <c r="E167" i="54" s="1"/>
  <c r="E179" i="54" s="1"/>
  <c r="E191" i="54" s="1"/>
  <c r="D14" i="52"/>
  <c r="J2" i="44"/>
  <c r="M19" i="52" l="1"/>
  <c r="B17" i="52"/>
  <c r="B18" i="52" s="1"/>
  <c r="B19" i="52" s="1"/>
  <c r="B20" i="52" s="1"/>
  <c r="M17" i="52"/>
  <c r="R15" i="52"/>
  <c r="M13" i="52"/>
  <c r="M15" i="52"/>
  <c r="H35" i="54"/>
  <c r="D59" i="54"/>
  <c r="H59" i="54" s="1"/>
  <c r="H41" i="54"/>
  <c r="D53" i="54"/>
  <c r="D15" i="52"/>
  <c r="C16" i="52"/>
  <c r="C17" i="52" s="1"/>
  <c r="D71" i="54" l="1"/>
  <c r="D83" i="54" s="1"/>
  <c r="D65" i="54"/>
  <c r="H53" i="54"/>
  <c r="D16" i="52"/>
  <c r="H71" i="54" l="1"/>
  <c r="H65" i="54"/>
  <c r="N28" i="54" s="1"/>
  <c r="D77" i="54"/>
  <c r="H83" i="54"/>
  <c r="D95" i="54"/>
  <c r="H95" i="54" l="1"/>
  <c r="D107" i="54"/>
  <c r="H77" i="54"/>
  <c r="D89" i="54"/>
  <c r="C18" i="52"/>
  <c r="C19" i="52" s="1"/>
  <c r="D17" i="52"/>
  <c r="X29" i="44"/>
  <c r="X31" i="44"/>
  <c r="AH32" i="44"/>
  <c r="AH33" i="44" s="1"/>
  <c r="AA15" i="44"/>
  <c r="D101" i="54" l="1"/>
  <c r="H89" i="54"/>
  <c r="H107" i="54"/>
  <c r="D119" i="54"/>
  <c r="D18" i="52"/>
  <c r="AI58" i="41"/>
  <c r="D131" i="54" l="1"/>
  <c r="H119" i="54"/>
  <c r="H101" i="54"/>
  <c r="D113" i="54"/>
  <c r="AI59" i="41"/>
  <c r="H113" i="54" l="1"/>
  <c r="D125" i="54"/>
  <c r="H131" i="54"/>
  <c r="D143" i="54"/>
  <c r="C20" i="52"/>
  <c r="D19" i="52"/>
  <c r="V8" i="44"/>
  <c r="E8" i="43"/>
  <c r="AA48" i="44"/>
  <c r="AA47" i="44"/>
  <c r="AI33" i="44"/>
  <c r="X33" i="44"/>
  <c r="AI31" i="44"/>
  <c r="W25" i="44"/>
  <c r="S25" i="44"/>
  <c r="O25" i="44"/>
  <c r="W23" i="44"/>
  <c r="S23" i="44"/>
  <c r="O23" i="44"/>
  <c r="AA17" i="44"/>
  <c r="AA18" i="44" s="1"/>
  <c r="Z15" i="44"/>
  <c r="Z17" i="44" s="1"/>
  <c r="Z18" i="44" s="1"/>
  <c r="Y15" i="44"/>
  <c r="Y17" i="44" s="1"/>
  <c r="Y18" i="44" s="1"/>
  <c r="X15" i="44"/>
  <c r="X17" i="44" s="1"/>
  <c r="X18" i="44" s="1"/>
  <c r="V15" i="44"/>
  <c r="V17" i="44" s="1"/>
  <c r="V18" i="44" s="1"/>
  <c r="U15" i="44"/>
  <c r="U17" i="44" s="1"/>
  <c r="U18" i="44" s="1"/>
  <c r="T15" i="44"/>
  <c r="T17" i="44" s="1"/>
  <c r="T18" i="44" s="1"/>
  <c r="S15" i="44"/>
  <c r="R15" i="44"/>
  <c r="R17" i="44" s="1"/>
  <c r="R18" i="44" s="1"/>
  <c r="Q15" i="44"/>
  <c r="Q17" i="44" s="1"/>
  <c r="Q18" i="44" s="1"/>
  <c r="P15" i="44"/>
  <c r="P17" i="44" s="1"/>
  <c r="P18" i="44" s="1"/>
  <c r="O15" i="44"/>
  <c r="O17" i="44" s="1"/>
  <c r="W15" i="44"/>
  <c r="S12" i="44"/>
  <c r="W12" i="44" s="1"/>
  <c r="AA12" i="44" s="1"/>
  <c r="L6" i="44"/>
  <c r="L6" i="43"/>
  <c r="AH47" i="41"/>
  <c r="AH46" i="41"/>
  <c r="AH45" i="41"/>
  <c r="AH44" i="41"/>
  <c r="AH43" i="41"/>
  <c r="AH42" i="41"/>
  <c r="AH41" i="41"/>
  <c r="AH40" i="41"/>
  <c r="AH39" i="41"/>
  <c r="AH38" i="41"/>
  <c r="AH37" i="41"/>
  <c r="AH36" i="41"/>
  <c r="AI30" i="41"/>
  <c r="AI29" i="41"/>
  <c r="AI28" i="41"/>
  <c r="AI26" i="41"/>
  <c r="AI25" i="41"/>
  <c r="E24" i="41"/>
  <c r="AC19" i="41"/>
  <c r="AC18" i="41"/>
  <c r="V8" i="43" l="1"/>
  <c r="H143" i="54"/>
  <c r="D155" i="54"/>
  <c r="H125" i="54"/>
  <c r="D137" i="54"/>
  <c r="D20" i="52"/>
  <c r="W26" i="44"/>
  <c r="S26" i="44"/>
  <c r="O26" i="44"/>
  <c r="S17" i="44"/>
  <c r="AJ30" i="41"/>
  <c r="AC21" i="41"/>
  <c r="Z10" i="41" s="1"/>
  <c r="Z11" i="41" s="1"/>
  <c r="J18" i="41" s="1"/>
  <c r="O18" i="44"/>
  <c r="W17" i="44"/>
  <c r="AI20" i="41"/>
  <c r="AJ28" i="41"/>
  <c r="AJ29" i="41"/>
  <c r="W18" i="44" l="1"/>
  <c r="S18" i="44"/>
  <c r="J20" i="41"/>
  <c r="J16" i="41"/>
  <c r="J14" i="41"/>
  <c r="O14" i="41" s="1"/>
  <c r="T14" i="41" s="1"/>
  <c r="AJ36" i="41" s="1"/>
  <c r="J21" i="41"/>
  <c r="J17" i="41"/>
  <c r="J28" i="41"/>
  <c r="J19" i="41"/>
  <c r="J15" i="41"/>
  <c r="J22" i="41"/>
  <c r="J30" i="41"/>
  <c r="J29" i="41"/>
  <c r="AI19" i="41"/>
  <c r="AL21" i="41" s="1"/>
  <c r="E31" i="41" s="1"/>
  <c r="J31" i="41" s="1"/>
  <c r="D7" i="52"/>
  <c r="H137" i="54"/>
  <c r="D149" i="54"/>
  <c r="H155" i="54"/>
  <c r="D167" i="54"/>
  <c r="E5" i="43" l="1"/>
  <c r="A55" i="44"/>
  <c r="J32" i="41"/>
  <c r="E4" i="43"/>
  <c r="M8" i="43"/>
  <c r="R55" i="44"/>
  <c r="D6" i="52"/>
  <c r="R54" i="44"/>
  <c r="E4" i="44"/>
  <c r="E5" i="44"/>
  <c r="AI31" i="41"/>
  <c r="AJ31" i="41" s="1"/>
  <c r="H167" i="54"/>
  <c r="D179" i="54"/>
  <c r="D161" i="54"/>
  <c r="H149" i="54"/>
  <c r="E32" i="41"/>
  <c r="O15" i="41"/>
  <c r="T15" i="41" s="1"/>
  <c r="AJ37" i="41" s="1"/>
  <c r="O16" i="41" l="1"/>
  <c r="T16" i="41" s="1"/>
  <c r="AJ38" i="41" s="1"/>
  <c r="H161" i="54"/>
  <c r="D173" i="54"/>
  <c r="D191" i="54"/>
  <c r="H191" i="54" s="1"/>
  <c r="H179" i="54"/>
  <c r="AI40" i="43"/>
  <c r="AI39" i="43"/>
  <c r="O17" i="41" l="1"/>
  <c r="T17" i="41" s="1"/>
  <c r="AJ39" i="41" s="1"/>
  <c r="H173" i="54"/>
  <c r="D185" i="54"/>
  <c r="O18" i="41" l="1"/>
  <c r="T18" i="41" s="1"/>
  <c r="AJ40" i="41" s="1"/>
  <c r="H185" i="54"/>
  <c r="D197" i="54"/>
  <c r="H197" i="54" s="1"/>
  <c r="O19" i="41" l="1"/>
  <c r="T19" i="41" s="1"/>
  <c r="AJ41" i="41" s="1"/>
  <c r="O20" i="41" l="1"/>
  <c r="T20" i="41" s="1"/>
  <c r="AJ42" i="41" s="1"/>
  <c r="O21" i="41" l="1"/>
  <c r="T21" i="41" s="1"/>
  <c r="AJ43" i="41" s="1"/>
  <c r="O22" i="41" l="1"/>
  <c r="AB29" i="41"/>
  <c r="X24" i="43" s="1"/>
  <c r="T22" i="41"/>
  <c r="AJ44" i="41" s="1"/>
  <c r="O28" i="41"/>
  <c r="T28" i="41" l="1"/>
  <c r="AJ45" i="41" s="1"/>
  <c r="O29" i="41"/>
  <c r="T29" i="41" l="1"/>
  <c r="AJ46" i="41" s="1"/>
  <c r="O30" i="41"/>
  <c r="T30" i="41" l="1"/>
  <c r="O31" i="41"/>
  <c r="T31" i="41" s="1"/>
  <c r="AJ47" i="41" l="1"/>
  <c r="AB31" i="41"/>
  <c r="AD24" i="43" s="1"/>
  <c r="AI38" i="43" s="1"/>
  <c r="AI41" i="43" s="1"/>
  <c r="AB30" i="41"/>
  <c r="AA24" i="43" s="1"/>
  <c r="BA67" i="41" l="1"/>
  <c r="BA66" i="41"/>
  <c r="BA65" i="41"/>
  <c r="BA68" i="41" l="1"/>
  <c r="BA69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Laboratorio de Suelo</author>
  </authors>
  <commentList>
    <comment ref="U17" authorId="0" shapeId="0" xr:uid="{57895DED-8B24-4428-8984-E76A7A2942FC}">
      <text>
        <r>
          <rPr>
            <b/>
            <sz val="9"/>
            <color indexed="81"/>
            <rFont val="Tahoma"/>
            <family val="2"/>
          </rPr>
          <t>Laboratorio de Suelo:</t>
        </r>
        <r>
          <rPr>
            <sz val="9"/>
            <color indexed="81"/>
            <rFont val="Tahoma"/>
            <family val="2"/>
          </rPr>
          <t xml:space="preserve">
FALTA EL LIMITES</t>
        </r>
      </text>
    </comment>
  </commentList>
</comments>
</file>

<file path=xl/sharedStrings.xml><?xml version="1.0" encoding="utf-8"?>
<sst xmlns="http://schemas.openxmlformats.org/spreadsheetml/2006/main" count="729" uniqueCount="459">
  <si>
    <t>Proyecto:</t>
  </si>
  <si>
    <t>Malla</t>
  </si>
  <si>
    <t>% Retenido Parcial</t>
  </si>
  <si>
    <t>% Retenido Acumulado</t>
  </si>
  <si>
    <t>3/8"</t>
  </si>
  <si>
    <t>.</t>
  </si>
  <si>
    <t>LABORATORIO DE SUELOS Y MATERIALES "UNIVO"</t>
  </si>
  <si>
    <t>Solicitante:</t>
  </si>
  <si>
    <t xml:space="preserve">Procedencia del Material:  </t>
  </si>
  <si>
    <t>Fecha de Ensayo:</t>
  </si>
  <si>
    <t xml:space="preserve">Laboratorista:       </t>
  </si>
  <si>
    <t>Revisó:</t>
  </si>
  <si>
    <t>ENSAYO</t>
  </si>
  <si>
    <t>I</t>
  </si>
  <si>
    <t>II</t>
  </si>
  <si>
    <t>A</t>
  </si>
  <si>
    <t>B</t>
  </si>
  <si>
    <t>C</t>
  </si>
  <si>
    <t>MEDIA</t>
  </si>
  <si>
    <t>% de Absorcion</t>
  </si>
  <si>
    <t>DENSIDAD RELATIVA  APARENTE DEL ARIDO SECO</t>
  </si>
  <si>
    <t>DENSIDAD RELATIVA APARENTE DEL ARIDO S.S.S.</t>
  </si>
  <si>
    <t>% DE ABSORCION</t>
  </si>
  <si>
    <t xml:space="preserve">             %</t>
  </si>
  <si>
    <t xml:space="preserve">Procedencia  </t>
  </si>
  <si>
    <t>OBSERVACIONES:</t>
  </si>
  <si>
    <t>Muestra seca</t>
  </si>
  <si>
    <t>Muestra s.s.s.</t>
  </si>
  <si>
    <t>Muestra en agua</t>
  </si>
  <si>
    <t>Volumen muestra seca</t>
  </si>
  <si>
    <t>A-C</t>
  </si>
  <si>
    <t>Volumen s.s.s.</t>
  </si>
  <si>
    <t>B-C</t>
  </si>
  <si>
    <t>Agua absorvida</t>
  </si>
  <si>
    <t>B-A</t>
  </si>
  <si>
    <t>Densidad relativa aparente del árido seco</t>
  </si>
  <si>
    <t>A/(B-C)</t>
  </si>
  <si>
    <t>Densidad relativa aparente del árido s.s.s.</t>
  </si>
  <si>
    <t>B/(B-C)</t>
  </si>
  <si>
    <t>Densidad relativa real</t>
  </si>
  <si>
    <t>A/(A-C)</t>
  </si>
  <si>
    <t>((B-A)*100)/A</t>
  </si>
  <si>
    <t xml:space="preserve">      gr/cm3</t>
  </si>
  <si>
    <t>DENSIDAD RELATIVA REAL</t>
  </si>
  <si>
    <t>DENSIDAD RELATIVA Y ABSORCION DE ARIDOS GRUESOS ASTM C 127</t>
  </si>
  <si>
    <t>D</t>
  </si>
  <si>
    <t>E</t>
  </si>
  <si>
    <t>1"</t>
  </si>
  <si>
    <t>3/4"</t>
  </si>
  <si>
    <t>1/2"</t>
  </si>
  <si>
    <t>%</t>
  </si>
  <si>
    <t>Arena</t>
  </si>
  <si>
    <t>Grava</t>
  </si>
  <si>
    <t xml:space="preserve"> </t>
  </si>
  <si>
    <t>x</t>
  </si>
  <si>
    <t>Kg/m³</t>
  </si>
  <si>
    <t xml:space="preserve">Laboratorista       </t>
  </si>
  <si>
    <r>
      <t xml:space="preserve">Edad </t>
    </r>
    <r>
      <rPr>
        <b/>
        <sz val="10"/>
        <rFont val="Calibri"/>
        <family val="2"/>
      </rPr>
      <t>[Días]</t>
    </r>
  </si>
  <si>
    <r>
      <t xml:space="preserve">Carga  </t>
    </r>
    <r>
      <rPr>
        <b/>
        <sz val="10"/>
        <rFont val="Calibri"/>
        <family val="2"/>
      </rPr>
      <t>[Kg]</t>
    </r>
  </si>
  <si>
    <r>
      <t>Resist Prom</t>
    </r>
    <r>
      <rPr>
        <b/>
        <sz val="10"/>
        <rFont val="Calibri"/>
        <family val="2"/>
      </rPr>
      <t xml:space="preserve"> [kg/cm²]</t>
    </r>
  </si>
  <si>
    <t>Observaciones</t>
  </si>
  <si>
    <t>Elaborac</t>
  </si>
  <si>
    <t xml:space="preserve">Tecnico de Laboratorio de suelos y Materiales. </t>
  </si>
  <si>
    <t>y</t>
  </si>
  <si>
    <t>Prueba</t>
  </si>
  <si>
    <t>RESITENCIA</t>
  </si>
  <si>
    <t>% De Ganancia Resisitencia</t>
  </si>
  <si>
    <r>
      <t xml:space="preserve">Resistencia de diseño  </t>
    </r>
    <r>
      <rPr>
        <b/>
        <sz val="9"/>
        <rFont val="Calibri"/>
        <family val="2"/>
      </rPr>
      <t>[kg/cm²]</t>
    </r>
  </si>
  <si>
    <r>
      <t xml:space="preserve">Resistencia  </t>
    </r>
    <r>
      <rPr>
        <b/>
        <sz val="9"/>
        <rFont val="Calibri"/>
        <family val="2"/>
      </rPr>
      <t>[kg/cm²]</t>
    </r>
  </si>
  <si>
    <r>
      <t>Área [cm</t>
    </r>
    <r>
      <rPr>
        <b/>
        <vertAlign val="superscript"/>
        <sz val="10"/>
        <rFont val="Calibri"/>
        <family val="2"/>
      </rPr>
      <t>2</t>
    </r>
    <r>
      <rPr>
        <b/>
        <sz val="10"/>
        <rFont val="Calibri"/>
        <family val="2"/>
      </rPr>
      <t>]</t>
    </r>
  </si>
  <si>
    <r>
      <t>Altura</t>
    </r>
    <r>
      <rPr>
        <b/>
        <sz val="10"/>
        <rFont val="Calibri"/>
        <family val="2"/>
      </rPr>
      <t xml:space="preserve"> [Mm]</t>
    </r>
  </si>
  <si>
    <r>
      <t>Diá metro</t>
    </r>
    <r>
      <rPr>
        <b/>
        <sz val="10"/>
        <rFont val="Calibri"/>
        <family val="2"/>
      </rPr>
      <t xml:space="preserve"> [Mm]</t>
    </r>
  </si>
  <si>
    <t>FECHA</t>
  </si>
  <si>
    <t>BRIQUETA  N°</t>
  </si>
  <si>
    <t>INVERSIONES Y COSTRUCCION MIGUELEÑA S.A. DE C.V.</t>
  </si>
  <si>
    <t>Kg</t>
  </si>
  <si>
    <t>KN</t>
  </si>
  <si>
    <t>LABORATORIO DE SUELOS Y MATERIALES UNIVO</t>
  </si>
  <si>
    <t>ING MICHELLE ZELAYA</t>
  </si>
  <si>
    <t>LABORATORIO DE SUELOS Y MATERIALES                                                                                                "UNIVO"</t>
  </si>
  <si>
    <t xml:space="preserve">    </t>
  </si>
  <si>
    <t>PROPIETARIO</t>
  </si>
  <si>
    <t>PCA No.:</t>
  </si>
  <si>
    <t>Lateral:</t>
  </si>
  <si>
    <t>Profundidad:</t>
  </si>
  <si>
    <t>Peso Bruto (grs):</t>
  </si>
  <si>
    <t>Tara (grs):</t>
  </si>
  <si>
    <t>Peso Neto (grs):</t>
  </si>
  <si>
    <t>M A T E R I A L     G R U E S O</t>
  </si>
  <si>
    <t>PSC (grs):</t>
  </si>
  <si>
    <t>Peso Retenido Parcial (grs)</t>
  </si>
  <si>
    <t>% Que Pasa la Malla</t>
  </si>
  <si>
    <t>3"</t>
  </si>
  <si>
    <r>
      <t>2</t>
    </r>
    <r>
      <rPr>
        <sz val="9"/>
        <color indexed="8"/>
        <rFont val="Tahoma"/>
        <family val="2"/>
      </rPr>
      <t>½"</t>
    </r>
  </si>
  <si>
    <t>Contenido de Humedad</t>
  </si>
  <si>
    <t>2"</t>
  </si>
  <si>
    <t>PH + Tara (grs):</t>
  </si>
  <si>
    <t>1½"</t>
  </si>
  <si>
    <t>PS + Tara (grs):</t>
  </si>
  <si>
    <t>Humedad grs):</t>
  </si>
  <si>
    <t>PS Neto (grs):</t>
  </si>
  <si>
    <t>Peso Tara (grs):</t>
  </si>
  <si>
    <t>Humedad (%):</t>
  </si>
  <si>
    <t>No. 4</t>
  </si>
  <si>
    <t>SUMAS</t>
  </si>
  <si>
    <t>M A T E R I A L     T A M I Z A D O     P O R     M A L L A     N o. 4</t>
  </si>
  <si>
    <t>Pasa No 4</t>
  </si>
  <si>
    <t>Mat. Reducido</t>
  </si>
  <si>
    <t>Ret. Parcial</t>
  </si>
  <si>
    <t>Ret. Total</t>
  </si>
  <si>
    <t>No. 10</t>
  </si>
  <si>
    <t>No 10</t>
  </si>
  <si>
    <t>No. 40</t>
  </si>
  <si>
    <t>GRAVA</t>
  </si>
  <si>
    <t>No 40</t>
  </si>
  <si>
    <t>No. 200</t>
  </si>
  <si>
    <t>ARENA</t>
  </si>
  <si>
    <t>No 200</t>
  </si>
  <si>
    <t>Pasa No. 200</t>
  </si>
  <si>
    <t>FINOS</t>
  </si>
  <si>
    <t>Pasa No 200</t>
  </si>
  <si>
    <t>Abertura</t>
  </si>
  <si>
    <t>% que pasa</t>
  </si>
  <si>
    <t>D60 =</t>
  </si>
  <si>
    <t>D30 =</t>
  </si>
  <si>
    <t>D10 =</t>
  </si>
  <si>
    <t>Cu =</t>
  </si>
  <si>
    <t>Cc =</t>
  </si>
  <si>
    <t>Golpes</t>
  </si>
  <si>
    <t>Log (Golpes)</t>
  </si>
  <si>
    <t>Humedad</t>
  </si>
  <si>
    <t>Log (X)</t>
  </si>
  <si>
    <t>Y</t>
  </si>
  <si>
    <t>LIMITES DE ATTERBERG ASTM D 4318                                                                                                        (AASHTO T 89, T 90)</t>
  </si>
  <si>
    <t>Pendiente:</t>
  </si>
  <si>
    <t>X</t>
  </si>
  <si>
    <t>Intersección:</t>
  </si>
  <si>
    <t>Correlación:</t>
  </si>
  <si>
    <t>Límites de Atterberg</t>
  </si>
  <si>
    <t>Límite Líquido</t>
  </si>
  <si>
    <t>Límite Plástico</t>
  </si>
  <si>
    <t>Prueba No.</t>
  </si>
  <si>
    <t>Tara No.</t>
  </si>
  <si>
    <t>No. de Golpes</t>
  </si>
  <si>
    <t>Peso Suelo Húmedo + Tara</t>
  </si>
  <si>
    <t>Peso Suelo Seco + Tara</t>
  </si>
  <si>
    <t>Peso del Agua</t>
  </si>
  <si>
    <t>Peso de la Tara</t>
  </si>
  <si>
    <t>Peso del Suelo Seco</t>
  </si>
  <si>
    <t>Contenido de Agua</t>
  </si>
  <si>
    <t>LI</t>
  </si>
  <si>
    <t>Indice de Plasticidad</t>
  </si>
  <si>
    <t>LABORATORIO DE SUELOS Y MATERIALES  "UNIVO"</t>
  </si>
  <si>
    <t>CLASIFICACIÓN DE SUELOS ASTM D 2487 (AASHTO M 145)</t>
  </si>
  <si>
    <t>GRANULOMETRIA</t>
  </si>
  <si>
    <r>
      <t>D</t>
    </r>
    <r>
      <rPr>
        <b/>
        <vertAlign val="subscript"/>
        <sz val="10"/>
        <color indexed="8"/>
        <rFont val="Tahoma"/>
        <family val="2"/>
      </rPr>
      <t>10</t>
    </r>
  </si>
  <si>
    <r>
      <t>D</t>
    </r>
    <r>
      <rPr>
        <b/>
        <vertAlign val="subscript"/>
        <sz val="10"/>
        <color indexed="8"/>
        <rFont val="Tahoma"/>
        <family val="2"/>
      </rPr>
      <t>30</t>
    </r>
  </si>
  <si>
    <r>
      <t>D</t>
    </r>
    <r>
      <rPr>
        <b/>
        <vertAlign val="subscript"/>
        <sz val="10"/>
        <color indexed="8"/>
        <rFont val="Tahoma"/>
        <family val="2"/>
      </rPr>
      <t>60</t>
    </r>
  </si>
  <si>
    <t>Coeficiente de Curvatura, Cc:</t>
  </si>
  <si>
    <t>Coeficiente de Uniformidad, Cu:</t>
  </si>
  <si>
    <t>Porcentajes de Material</t>
  </si>
  <si>
    <t>Finos</t>
  </si>
  <si>
    <t>LÍMITE LÍQUIDO, LÍMITE PLÁSTICO E ÍNDICE PLÁSTICO</t>
  </si>
  <si>
    <t>LIMITE LIQUIDO</t>
  </si>
  <si>
    <t>LIMITE PLÁSTICO</t>
  </si>
  <si>
    <t>INDICE DE PLASTICIDAD</t>
  </si>
  <si>
    <t>CLASIFICACIÓN</t>
  </si>
  <si>
    <t>INDICE DE GRUPO</t>
  </si>
  <si>
    <t>Arena limosa con grava color gris claro , finos no plasticos ( SM )</t>
  </si>
  <si>
    <t>SUCS</t>
  </si>
  <si>
    <t>LL</t>
  </si>
  <si>
    <t>IP</t>
  </si>
  <si>
    <t>IG</t>
  </si>
  <si>
    <t>AASHTO</t>
  </si>
  <si>
    <t>T180</t>
  </si>
  <si>
    <t>ASTM D1557</t>
  </si>
  <si>
    <t>NORMA</t>
  </si>
  <si>
    <t>D-1557</t>
  </si>
  <si>
    <t>MÉTODO</t>
  </si>
  <si>
    <t>MOLDE</t>
  </si>
  <si>
    <t>4"</t>
  </si>
  <si>
    <t>MARTILLO</t>
  </si>
  <si>
    <t>10 Lbs.</t>
  </si>
  <si>
    <t>No CAPAS</t>
  </si>
  <si>
    <t>GOLPE POR CAPA</t>
  </si>
  <si>
    <t>% Humedad de prueba</t>
  </si>
  <si>
    <t>Peso muestra húmeda + molde</t>
  </si>
  <si>
    <t>(gr)</t>
  </si>
  <si>
    <t>Peso molde</t>
  </si>
  <si>
    <t xml:space="preserve">Peso muestra húmeda </t>
  </si>
  <si>
    <t>Capacidad molde</t>
  </si>
  <si>
    <t>(dm³)</t>
  </si>
  <si>
    <t>HUMEDAD OPTIMA</t>
  </si>
  <si>
    <t>Peso volumétrico húmedo  P.V.H.</t>
  </si>
  <si>
    <t>(Kg/m³)</t>
  </si>
  <si>
    <t>Peso volumétrico seco  P.V.S.</t>
  </si>
  <si>
    <t>P.V.SECO MÁXIMO (Kg/M</t>
  </si>
  <si>
    <t>N° del recipiente</t>
  </si>
  <si>
    <t>Peso húmedo + recipiente</t>
  </si>
  <si>
    <t>P.V. HUMEDO</t>
  </si>
  <si>
    <t>Peso seco + recipiente</t>
  </si>
  <si>
    <t>Peso de agua</t>
  </si>
  <si>
    <t>Tara</t>
  </si>
  <si>
    <t xml:space="preserve">Peso seco </t>
  </si>
  <si>
    <t xml:space="preserve">% Humedad  </t>
  </si>
  <si>
    <t>P.V.SECO MÁXIMO</t>
  </si>
  <si>
    <t>GRAVEDAD ESPECÍFICA</t>
  </si>
  <si>
    <t>% RETENIDO MALLA 3/4"</t>
  </si>
  <si>
    <t>P.V.S. MÁX. CORREGIDO</t>
  </si>
  <si>
    <t>CORRECCION DE PESO VOLUMETRICO</t>
  </si>
  <si>
    <t>P.V. HÚMEDO MÁX.</t>
  </si>
  <si>
    <t>Peso Vol. Seco Máximo</t>
  </si>
  <si>
    <t>kg/m3</t>
  </si>
  <si>
    <t>Gravedad especifica</t>
  </si>
  <si>
    <t>HUMEDAD CORREGIDA</t>
  </si>
  <si>
    <t>% Ret. en 3/4"</t>
  </si>
  <si>
    <t>% Que pasa 3/4"</t>
  </si>
  <si>
    <t>% Wopt</t>
  </si>
  <si>
    <t>Peso Vol. Corregido</t>
  </si>
  <si>
    <t>% Wopt Corregida</t>
  </si>
  <si>
    <t>HORIZONTAL</t>
  </si>
  <si>
    <t>VERTICAL</t>
  </si>
  <si>
    <t>D10</t>
  </si>
  <si>
    <t>D30</t>
  </si>
  <si>
    <t>D60</t>
  </si>
  <si>
    <t>C O N T R O L, M U E S T R E O  Y RESISTENCIA DE  B R I Q U E T A S  DE SUELO CEMENTO [ASTM-D1632 / ASTM-D1633]</t>
  </si>
  <si>
    <t>KL</t>
  </si>
  <si>
    <t>CANTIDAD DE BOLSAS A UTILIZAR.</t>
  </si>
  <si>
    <t>VOLUMEN DE MATERIAL  X PVSM (PROCTOR) X % CEMENTO/42.5Kg (PESO DE BOLSA DE CEMENTO)</t>
  </si>
  <si>
    <t>MEZCLA EN VOLUMEN DE SUELO CEMENTO</t>
  </si>
  <si>
    <t>% DE CEMENTO DOSIFICADO</t>
  </si>
  <si>
    <t>PROPORCIONAMIENTO DE MEZCLA DE SUELO CEMENTO EN VOLUMEN</t>
  </si>
  <si>
    <t>Resumen de Resultados Obtenidos del Material Analizado.</t>
  </si>
  <si>
    <t xml:space="preserve"> MUESTRA DE MATERIAL DE BANCO DIPROVE </t>
  </si>
  <si>
    <t>% DE CEMENTO APLICADO</t>
  </si>
  <si>
    <t>CLASIFICACION</t>
  </si>
  <si>
    <t>LIMITES DE ATEMBERTH</t>
  </si>
  <si>
    <t xml:space="preserve">PROCTOR </t>
  </si>
  <si>
    <t xml:space="preserve">PESO ESPECIFICO </t>
  </si>
  <si>
    <t>ABSORCION</t>
  </si>
  <si>
    <t>PROFUNDIDAD DEL SONDEO (Mts)</t>
  </si>
  <si>
    <t>AASTHO</t>
  </si>
  <si>
    <t>LIMITE PLASTICO</t>
  </si>
  <si>
    <t>NO APLICA</t>
  </si>
  <si>
    <t xml:space="preserve"> Resultados de Densidades de Campo Tomadas en SITU.</t>
  </si>
  <si>
    <t>PESO VOLUMETRICO SECO</t>
  </si>
  <si>
    <t xml:space="preserve">% DE HUMEDAD </t>
  </si>
  <si>
    <t>% DE COMPACTACION</t>
  </si>
  <si>
    <t>OBSERVACIONES</t>
  </si>
  <si>
    <t xml:space="preserve"> Resultados de Densidades de Campo Tomadas en Compactaciones con Suelo Cemento.</t>
  </si>
  <si>
    <t>PROCTOR CON 5% DE CEMENTO</t>
  </si>
  <si>
    <t>( SM )</t>
  </si>
  <si>
    <t>a</t>
  </si>
  <si>
    <t>ANALISIS GRANULOMETRICO POR TAMIZADO                                                                                         NORMATIVA ASTM D-6913 (AASHTO T 27)</t>
  </si>
  <si>
    <t>Arena limosa con finos no plásticos, color café claro.</t>
  </si>
  <si>
    <t>A-1-b (IG=0)</t>
  </si>
  <si>
    <t>DISEÑO DE SUELO CEMEMENTO, MATERIAL DE BANCO DE TIERRA BLANCA, EL DELIRIO //ASTM C-1157 TIPO GU CEMENTO NOVACEM AL 2%</t>
  </si>
  <si>
    <t>DISEÑO DE SUELO CEMEMENTO, MATERIAL DE BANCO DE TIERRA BLANCA, EL DELIRIO //ASTM C-1157 TIPO GU CEMENTO NOVACEM AL 3%</t>
  </si>
  <si>
    <t>DISEÑO DE SUELO CEMEMENTO, MATERIAL DE BANCO DE TIERRA BLANCA, EL DELIRIO //ASTM C-1157 TIPO GU CEMENTO NOVACEM AL 4%</t>
  </si>
  <si>
    <t>DISEÑO DE SUELO CEMEMENTO, MATERIAL DE BANCO DE TIERRA BLANCA, EL DELIRIO //ASTM C-1157 TIPO GU CEMENTO NOVACEM AL 5%</t>
  </si>
  <si>
    <t>MATERIAL PROVENIENTE DE BANCO DE TIERRA BLANCA, EL DELIRIO.</t>
  </si>
  <si>
    <t>DOSIFICACION DEL CEMENTO AL MATERIAL DE BANCO.</t>
  </si>
  <si>
    <t>RELACIÓN DENSIDAD - HUMEDAD (PROCTOR)                                                                                                               AASHTO T 180 ASTM D1557</t>
  </si>
  <si>
    <t>RELACIÓN DENSIDAD - HUMEDAD (PROCTOR)                                                                                                                              AASHTO T 180 ASTM D1557</t>
  </si>
  <si>
    <t>Ing Fransciso Granados</t>
  </si>
  <si>
    <t>Jefe Técnico de Laboratorio de Suelos y Materiales</t>
  </si>
  <si>
    <t>Técnico de Laboratorio de Suelos y Materiales</t>
  </si>
  <si>
    <t>Ing Francisco Granados</t>
  </si>
  <si>
    <t>Ing Michelle Zelaya</t>
  </si>
  <si>
    <r>
      <t xml:space="preserve">Peso </t>
    </r>
    <r>
      <rPr>
        <b/>
        <sz val="10"/>
        <rFont val="Calibri"/>
        <family val="2"/>
      </rPr>
      <t>[g]</t>
    </r>
  </si>
  <si>
    <t>OBSERVACIONES: AGUA DE ENSAYO A 24.2 °C</t>
  </si>
  <si>
    <t xml:space="preserve">      gr/cm³</t>
  </si>
  <si>
    <t>j =((F-G)*100)/G</t>
  </si>
  <si>
    <t>I= A/E</t>
  </si>
  <si>
    <t>Densidad Relativa Aparente del Arido s.s.s.</t>
  </si>
  <si>
    <t>H=G/E</t>
  </si>
  <si>
    <t>Densidad Relativa Aparente del Arido Seco.</t>
  </si>
  <si>
    <t>G</t>
  </si>
  <si>
    <t>Peso de Muestra Seca</t>
  </si>
  <si>
    <t>F</t>
  </si>
  <si>
    <t xml:space="preserve"> Peso Muestra s.s.s. al Aire</t>
  </si>
  <si>
    <t>E= D - C</t>
  </si>
  <si>
    <t>Volumen Desplazado</t>
  </si>
  <si>
    <t>D= A + B</t>
  </si>
  <si>
    <t>Peso Picn+agua+vidrio+Mat s.s.s</t>
  </si>
  <si>
    <t>Peso Picn+agua+vidrio+Mat. s.s.s (reposado)</t>
  </si>
  <si>
    <t>Peso Picn+vidrio+agua</t>
  </si>
  <si>
    <t>DENSIDAD RELATIVA Y ABSORCION DE SUELOS ASTM D-854</t>
  </si>
  <si>
    <t>DISEÑO DE MEZCLAS DE MATERIALES DE RESISTENCIA BAJA CONTROLADA MRBC (SEGÚN ACI 229R Y ACI 211.1)</t>
  </si>
  <si>
    <t>Nª bachada</t>
  </si>
  <si>
    <t>Fecha elaboracion</t>
  </si>
  <si>
    <t>Cemento</t>
  </si>
  <si>
    <t>Tipo/Clasificacion</t>
  </si>
  <si>
    <t>G.E</t>
  </si>
  <si>
    <t>% cemento</t>
  </si>
  <si>
    <t>Consistencia</t>
  </si>
  <si>
    <t>Cemento =</t>
  </si>
  <si>
    <t xml:space="preserve"> ASTM C1157 GU</t>
  </si>
  <si>
    <t>Suelo</t>
  </si>
  <si>
    <t>CH  Cont. Hum.,%</t>
  </si>
  <si>
    <t>Absorcion, %</t>
  </si>
  <si>
    <t>fórmula</t>
  </si>
  <si>
    <t xml:space="preserve">Cantidad de Agua a utilizar, kg = </t>
  </si>
  <si>
    <t xml:space="preserve">Cantidad de Cemento a utilizar, kg = </t>
  </si>
  <si>
    <t>BOLSAS</t>
  </si>
  <si>
    <t>Ai</t>
  </si>
  <si>
    <t>Aire, %</t>
  </si>
  <si>
    <t>Va</t>
  </si>
  <si>
    <t xml:space="preserve">Volumen ocupado por el Agua, L = </t>
  </si>
  <si>
    <t>A / (G.E. Del Agua)</t>
  </si>
  <si>
    <t>Vc</t>
  </si>
  <si>
    <t xml:space="preserve">Volumen ocupado por el Cemento, L = </t>
  </si>
  <si>
    <t>C / (G.E. Del Cemento)</t>
  </si>
  <si>
    <t>Vai</t>
  </si>
  <si>
    <t xml:space="preserve">Volumen ocupado por el aire, L = </t>
  </si>
  <si>
    <t>Ai x 10</t>
  </si>
  <si>
    <t>V*</t>
  </si>
  <si>
    <t>Vol Agua + Vol Cemento + Vol aire, L =</t>
  </si>
  <si>
    <t>Va + Vc + Vai</t>
  </si>
  <si>
    <t>Vs</t>
  </si>
  <si>
    <t xml:space="preserve">Volumen a ocupar el Suelo, L = </t>
  </si>
  <si>
    <t>1000 - V*</t>
  </si>
  <si>
    <t>S</t>
  </si>
  <si>
    <t xml:space="preserve">Cantidad de Suelo a utilizar, kg = </t>
  </si>
  <si>
    <t>Vs x (G.E. Del Suelo)</t>
  </si>
  <si>
    <t>CANTIDADES PARA UN METRO CUBICO DE MRBC</t>
  </si>
  <si>
    <t>CORRECCIONES DE MATERIAL POR CONTENIDO DE HUMEDAD</t>
  </si>
  <si>
    <t>Hs</t>
  </si>
  <si>
    <t>Humedad libre en el Suelo, %</t>
  </si>
  <si>
    <t>Cont de Hum% - Abs %</t>
  </si>
  <si>
    <t>Si Cont. De Hum% &gt; Abs%  = Exceso de Agua, Hs es +</t>
  </si>
  <si>
    <t>Condición</t>
  </si>
  <si>
    <t>Si Cont. De Hum% &lt; Abs%  = Faltante de Agua, Hs es -</t>
  </si>
  <si>
    <t>Si Cont. De Hum% = Abs%  = Equilibrio</t>
  </si>
  <si>
    <t>Sc</t>
  </si>
  <si>
    <t>Cant. de suelo corregida por Humedad, kg</t>
  </si>
  <si>
    <t>S (1 + CH/100)</t>
  </si>
  <si>
    <t>Cc</t>
  </si>
  <si>
    <t>Correccion de agua, kg</t>
  </si>
  <si>
    <t xml:space="preserve">S(Hs/100) </t>
  </si>
  <si>
    <t>Ac</t>
  </si>
  <si>
    <t>Cantidad de Agua corregida por Humedad del Suelo, kg</t>
  </si>
  <si>
    <t>Si Cumple (1): A - cC</t>
  </si>
  <si>
    <t>Si Cumple (2): A - Cc</t>
  </si>
  <si>
    <t>Si Cumple (3): A</t>
  </si>
  <si>
    <t>CANTIDADES PARA UN METRO CUBICO DE MRBC CORREGIDO</t>
  </si>
  <si>
    <t>bolsas de cemento</t>
  </si>
  <si>
    <t xml:space="preserve">         Ruptura de Especímenes</t>
  </si>
  <si>
    <t>T</t>
  </si>
  <si>
    <t xml:space="preserve">Peso total de los materiales, kg = </t>
  </si>
  <si>
    <t>Ac + C + Sc</t>
  </si>
  <si>
    <t>Cilindros</t>
  </si>
  <si>
    <t>ELABORACION DE MEZCLA EN EL LABORATORIO</t>
  </si>
  <si>
    <t>V</t>
  </si>
  <si>
    <t>Volumen a elaborar, L</t>
  </si>
  <si>
    <r>
      <t>En m</t>
    </r>
    <r>
      <rPr>
        <vertAlign val="superscript"/>
        <sz val="10"/>
        <rFont val="Tempus Sans ITC"/>
        <family val="5"/>
      </rPr>
      <t>3</t>
    </r>
    <r>
      <rPr>
        <sz val="10"/>
        <rFont val="Tempus Sans ITC"/>
        <family val="5"/>
      </rPr>
      <t xml:space="preserve"> =</t>
    </r>
  </si>
  <si>
    <t xml:space="preserve">           1,2</t>
  </si>
  <si>
    <t>3 dias</t>
  </si>
  <si>
    <t>ac</t>
  </si>
  <si>
    <t>Ac (V/1000)</t>
  </si>
  <si>
    <t>VOLUMEN</t>
  </si>
  <si>
    <t xml:space="preserve">           3,4</t>
  </si>
  <si>
    <t>7 dias</t>
  </si>
  <si>
    <t>c</t>
  </si>
  <si>
    <t>C (V/1000)</t>
  </si>
  <si>
    <t xml:space="preserve">          5,6</t>
  </si>
  <si>
    <t>28 dias</t>
  </si>
  <si>
    <t>sc</t>
  </si>
  <si>
    <t>Sc (V/1000)</t>
  </si>
  <si>
    <t xml:space="preserve">           7,8</t>
  </si>
  <si>
    <t>60 dias</t>
  </si>
  <si>
    <t>t</t>
  </si>
  <si>
    <t>ac + c + sc</t>
  </si>
  <si>
    <t>A/C</t>
  </si>
  <si>
    <t>Relacion Agua / Cemento</t>
  </si>
  <si>
    <t>A / C</t>
  </si>
  <si>
    <t>Vigas</t>
  </si>
  <si>
    <t>MODIFICACIONES</t>
  </si>
  <si>
    <t xml:space="preserve">                1,2</t>
  </si>
  <si>
    <t>28 días</t>
  </si>
  <si>
    <t>am</t>
  </si>
  <si>
    <t>Cantidad de agua real utilizada, kg</t>
  </si>
  <si>
    <t>Según lo realizado</t>
  </si>
  <si>
    <t xml:space="preserve">                3,4</t>
  </si>
  <si>
    <t>60 días</t>
  </si>
  <si>
    <t>a/c</t>
  </si>
  <si>
    <t>Relacion Agua / Cemento por modificacion</t>
  </si>
  <si>
    <t>---</t>
  </si>
  <si>
    <t>(am/(V/1000) + Cc) / C</t>
  </si>
  <si>
    <t>tc</t>
  </si>
  <si>
    <t xml:space="preserve">P. total de materiales corregidos, kg = </t>
  </si>
  <si>
    <t>am + c + sc</t>
  </si>
  <si>
    <t>CANTIDADES PARA MEZCLAS EN VOLUMEN DE MRBC (CUBETAS DE 20 Lts)</t>
  </si>
  <si>
    <t>CA</t>
  </si>
  <si>
    <t xml:space="preserve">Cantidad de Agua a utilizar, = </t>
  </si>
  <si>
    <t>(Fluidez Requerida)</t>
  </si>
  <si>
    <t xml:space="preserve">Cantidad de Cemento a utilizar, = </t>
  </si>
  <si>
    <t>(Cubetas de 20 Lts)</t>
  </si>
  <si>
    <t xml:space="preserve">Cantidad de Suelo a utilizar, = </t>
  </si>
  <si>
    <t xml:space="preserve">Peso total de los materiales, = </t>
  </si>
  <si>
    <t xml:space="preserve">DISEÑO DE MEZCLAS DE MATERIALES DE RESISTENCIA BAJA CONTROLADA </t>
  </si>
  <si>
    <t>MRBC</t>
  </si>
  <si>
    <t xml:space="preserve">SEGÚN ACI 229R Y ACI 211.1 </t>
  </si>
  <si>
    <t>ENSAYOS A REALIZAR</t>
  </si>
  <si>
    <t>PESO UNITARIO, ASTM D-6023</t>
  </si>
  <si>
    <t>Fórmula</t>
  </si>
  <si>
    <t>Mr</t>
  </si>
  <si>
    <t>Masa del recipiente, kg</t>
  </si>
  <si>
    <t>Vm</t>
  </si>
  <si>
    <t>Volumen del recipiente, L</t>
  </si>
  <si>
    <t>Mm</t>
  </si>
  <si>
    <t>Masa del recipiente + muestra, kg</t>
  </si>
  <si>
    <t>PU</t>
  </si>
  <si>
    <t>Peso unitario, kg/m3</t>
  </si>
  <si>
    <t xml:space="preserve">(Mm - Mr) x 1000 / Vm </t>
  </si>
  <si>
    <t>RENDIMIENTO, ASTM D-6023</t>
  </si>
  <si>
    <t>R</t>
  </si>
  <si>
    <r>
      <t>Rendimiento, m</t>
    </r>
    <r>
      <rPr>
        <vertAlign val="superscript"/>
        <sz val="10"/>
        <rFont val="Tempus Sans ITC"/>
        <family val="5"/>
      </rPr>
      <t>3</t>
    </r>
  </si>
  <si>
    <t>t / PU        ó        tc / PU</t>
  </si>
  <si>
    <t>CONTENIDO DE AIRE POR GRAVIMETRIA, ASTM D-6023</t>
  </si>
  <si>
    <t>Peso total de los materiales corre, kg</t>
  </si>
  <si>
    <t>Volumen a elaborado, m3</t>
  </si>
  <si>
    <t>PUT</t>
  </si>
  <si>
    <t>Peso Unitario Teórico, kg/m3</t>
  </si>
  <si>
    <t>Cont. de aire teórico, %</t>
  </si>
  <si>
    <t xml:space="preserve">(T - P.U.)*100 / T </t>
  </si>
  <si>
    <t>CONSISTENCIA DE FLUJO, ASTM D-6103</t>
  </si>
  <si>
    <t>Diametro Fluidez, pulg</t>
  </si>
  <si>
    <t xml:space="preserve">    10            10</t>
  </si>
  <si>
    <t>Diametro Fluidez Prom., pulg</t>
  </si>
  <si>
    <t>REVENIMIENTO, ASTM C-143</t>
  </si>
  <si>
    <t>Revenimiento, pulg</t>
  </si>
  <si>
    <t>--</t>
  </si>
  <si>
    <t>TIEMPO DE FLUIDEZ, ASTM C-939</t>
  </si>
  <si>
    <t>Tiempo de Fluidez, seg.</t>
  </si>
  <si>
    <t>TIEMPO DE APLICACIÓN DE CARGA, ASTM D-6024</t>
  </si>
  <si>
    <t>H</t>
  </si>
  <si>
    <t>Hora, Tiempo de inicio</t>
  </si>
  <si>
    <t>09:00am</t>
  </si>
  <si>
    <t>Tiempo Transcurrido, h</t>
  </si>
  <si>
    <t>Indentación, pulg</t>
  </si>
  <si>
    <t>TIEMPOS DE FRAGUADO POR RESISTENCIA A LA PENETRACION, ASTM C-403</t>
  </si>
  <si>
    <t>AA</t>
  </si>
  <si>
    <t>Area de Aguja, in2</t>
  </si>
  <si>
    <t>Hora</t>
  </si>
  <si>
    <t>Tiempo Transc.</t>
  </si>
  <si>
    <t>Carga, lb</t>
  </si>
  <si>
    <t>Esfuerzo, psi</t>
  </si>
  <si>
    <t>11:00am</t>
  </si>
  <si>
    <t>11:30am</t>
  </si>
  <si>
    <t>12:00m</t>
  </si>
  <si>
    <t>12:30pm</t>
  </si>
  <si>
    <t>01:00pm</t>
  </si>
  <si>
    <t>02:00pm</t>
  </si>
  <si>
    <t>03:00pm</t>
  </si>
  <si>
    <t>03.30pm</t>
  </si>
  <si>
    <t xml:space="preserve">ENSAYOS  DE  RESISTENCIA  DE  CILINDROS  DE  LODOCRETO [ASTM D-4832]      </t>
  </si>
  <si>
    <t>CILINDRO  N°</t>
  </si>
  <si>
    <r>
      <t xml:space="preserve">Peso </t>
    </r>
    <r>
      <rPr>
        <b/>
        <sz val="10"/>
        <rFont val="Calibri"/>
        <family val="2"/>
      </rPr>
      <t>[Kg]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</si>
</sst>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164" formatCode="&quot;$&quot;#,##0.00_);[Red]\(&quot;$&quot;#,##0.00\)"/>
    <numFmt numFmtId="165" formatCode="_(* #,##0.00_);_(* \(#,##0.00\);_(* &quot;-&quot;??_);_(@_)"/>
    <numFmt numFmtId="166" formatCode="0.00_)"/>
    <numFmt numFmtId="167" formatCode="#,##0.000"/>
    <numFmt numFmtId="168" formatCode="0.0%"/>
    <numFmt numFmtId="169" formatCode="#,##0.0"/>
    <numFmt numFmtId="170" formatCode="General_)"/>
    <numFmt numFmtId="171" formatCode="dd\-mmm\-yyyy"/>
    <numFmt numFmtId="172" formatCode="0.0"/>
    <numFmt numFmtId="173" formatCode="0.000_)"/>
    <numFmt numFmtId="174" formatCode="0.000"/>
    <numFmt numFmtId="175" formatCode="d\ &quot;de&quot;\ mmmm\ &quot;de&quot;\ yyyy"/>
    <numFmt numFmtId="176" formatCode="mmmm\ d\,\ yyyy"/>
    <numFmt numFmtId="177" formatCode="&quot;DL-&quot;000"/>
    <numFmt numFmtId="178" formatCode="000"/>
    <numFmt numFmtId="179" formatCode="dd/mm/yy"/>
    <numFmt numFmtId="180" formatCode="0.000000"/>
    <numFmt numFmtId="181" formatCode="0.0000"/>
    <numFmt numFmtId="182" formatCode="#,##0.00&quot;  &quot;"/>
    <numFmt numFmtId="183" formatCode="0.000000%"/>
    <numFmt numFmtId="184" formatCode="&quot;Y= &quot;0.00%"/>
    <numFmt numFmtId="185" formatCode="&quot;SC-&quot;000"/>
    <numFmt numFmtId="186" formatCode="dd/mm/yyyy;@"/>
    <numFmt numFmtId="187" formatCode="0_);\(0\)"/>
    <numFmt numFmtId="188" formatCode="0.00_);\(0.00\)"/>
    <numFmt numFmtId="189" formatCode="[$-440A]hh:mm:ss\ \a\.m\./\p\.m\.;@"/>
    <numFmt numFmtId="190" formatCode="[$-F400]h:mm:ss\ \a\.m\./\p\.m\."/>
    <numFmt numFmtId="191" formatCode="&quot;LC-&quot;000"/>
  </numFmts>
  <fonts count="16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b/>
      <sz val="10"/>
      <name val="Book Antiqua"/>
      <family val="1"/>
    </font>
    <font>
      <b/>
      <sz val="9"/>
      <name val="Book Antiqua"/>
      <family val="1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Tms Rmn"/>
    </font>
    <font>
      <sz val="10"/>
      <name val="Courier"/>
      <family val="3"/>
    </font>
    <font>
      <b/>
      <sz val="10"/>
      <name val="Arial"/>
      <family val="2"/>
    </font>
    <font>
      <b/>
      <sz val="9"/>
      <name val="Arial"/>
      <family val="2"/>
    </font>
    <font>
      <b/>
      <sz val="9"/>
      <name val="Tahoma"/>
      <family val="2"/>
    </font>
    <font>
      <b/>
      <sz val="10"/>
      <color indexed="10"/>
      <name val="Arial"/>
      <family val="2"/>
    </font>
    <font>
      <b/>
      <sz val="12"/>
      <color indexed="8"/>
      <name val="Tahoma"/>
      <family val="2"/>
    </font>
    <font>
      <b/>
      <sz val="10"/>
      <color theme="1"/>
      <name val="Tahoma"/>
      <family val="2"/>
    </font>
    <font>
      <sz val="10"/>
      <color indexed="12"/>
      <name val="Book Antiqua"/>
      <family val="1"/>
    </font>
    <font>
      <b/>
      <i/>
      <sz val="11"/>
      <name val="Calibri"/>
      <family val="2"/>
    </font>
    <font>
      <sz val="10"/>
      <name val="MS Sans Serif"/>
    </font>
    <font>
      <b/>
      <sz val="8"/>
      <name val="Arial"/>
      <family val="2"/>
    </font>
    <font>
      <b/>
      <sz val="8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i/>
      <sz val="14"/>
      <name val="Calibri"/>
      <family val="2"/>
    </font>
    <font>
      <sz val="11"/>
      <name val="Tahoma"/>
      <family val="2"/>
    </font>
    <font>
      <sz val="11"/>
      <name val="Calibri"/>
      <family val="2"/>
    </font>
    <font>
      <b/>
      <i/>
      <sz val="11"/>
      <name val="Calibri"/>
      <family val="2"/>
      <scheme val="minor"/>
    </font>
    <font>
      <i/>
      <sz val="11"/>
      <name val="Calibri"/>
      <family val="2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12"/>
      <name val="Calibri"/>
      <family val="2"/>
    </font>
    <font>
      <b/>
      <sz val="9"/>
      <name val="Calibri"/>
      <family val="2"/>
    </font>
    <font>
      <b/>
      <sz val="16"/>
      <name val="Calibri"/>
      <family val="2"/>
    </font>
    <font>
      <i/>
      <sz val="11"/>
      <color rgb="FF0070C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Arial"/>
      <family val="2"/>
    </font>
    <font>
      <b/>
      <sz val="11"/>
      <color rgb="FF0000FF"/>
      <name val="Calibri"/>
      <family val="2"/>
    </font>
    <font>
      <b/>
      <sz val="11"/>
      <color rgb="FFFF0000"/>
      <name val="Calibri"/>
      <family val="2"/>
    </font>
    <font>
      <b/>
      <vertAlign val="superscript"/>
      <sz val="10"/>
      <name val="Calibri"/>
      <family val="2"/>
    </font>
    <font>
      <sz val="8"/>
      <color theme="1"/>
      <name val="Calibri"/>
      <family val="2"/>
      <scheme val="minor"/>
    </font>
    <font>
      <sz val="9"/>
      <name val="Calibri"/>
      <family val="2"/>
    </font>
    <font>
      <sz val="10"/>
      <name val="Calibri"/>
      <family val="2"/>
    </font>
    <font>
      <sz val="8"/>
      <color theme="1"/>
      <name val="Tahoma"/>
      <family val="2"/>
    </font>
    <font>
      <b/>
      <sz val="9"/>
      <color theme="1"/>
      <name val="Tahoma"/>
      <family val="2"/>
    </font>
    <font>
      <b/>
      <sz val="2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Tahoma"/>
      <family val="2"/>
    </font>
    <font>
      <b/>
      <sz val="7"/>
      <color theme="1"/>
      <name val="Tahoma"/>
      <family val="2"/>
    </font>
    <font>
      <b/>
      <i/>
      <sz val="10"/>
      <color indexed="8"/>
      <name val="Century Gothic"/>
      <family val="2"/>
    </font>
    <font>
      <b/>
      <sz val="8"/>
      <name val="Tahoma"/>
      <family val="2"/>
    </font>
    <font>
      <b/>
      <sz val="10"/>
      <color rgb="FFFF0000"/>
      <name val="Tahoma"/>
      <family val="2"/>
    </font>
    <font>
      <sz val="9"/>
      <color theme="1"/>
      <name val="Tahoma"/>
      <family val="2"/>
    </font>
    <font>
      <b/>
      <sz val="8"/>
      <color rgb="FFFF0000"/>
      <name val="Tahoma"/>
      <family val="2"/>
    </font>
    <font>
      <sz val="9"/>
      <color rgb="FFFF0000"/>
      <name val="Tahoma"/>
      <family val="2"/>
    </font>
    <font>
      <sz val="9"/>
      <name val="Tahoma"/>
      <family val="2"/>
    </font>
    <font>
      <sz val="9"/>
      <color indexed="8"/>
      <name val="Tahoma"/>
      <family val="2"/>
    </font>
    <font>
      <b/>
      <sz val="9"/>
      <color rgb="FFFF0000"/>
      <name val="Calibri"/>
      <family val="2"/>
    </font>
    <font>
      <b/>
      <sz val="8"/>
      <color rgb="FFFF0000"/>
      <name val="Calibri"/>
      <family val="2"/>
      <scheme val="minor"/>
    </font>
    <font>
      <b/>
      <sz val="9"/>
      <color rgb="FFFF0000"/>
      <name val="Tahoma"/>
      <family val="2"/>
    </font>
    <font>
      <sz val="8"/>
      <name val="Calibri"/>
      <family val="2"/>
    </font>
    <font>
      <sz val="9"/>
      <color rgb="FF0000CC"/>
      <name val="Tahoma"/>
      <family val="2"/>
    </font>
    <font>
      <b/>
      <sz val="9"/>
      <color theme="1"/>
      <name val="Calibri"/>
      <family val="2"/>
      <scheme val="minor"/>
    </font>
    <font>
      <sz val="8"/>
      <name val="Tahoma"/>
      <family val="2"/>
    </font>
    <font>
      <b/>
      <sz val="12"/>
      <color theme="1"/>
      <name val="Tahoma"/>
      <family val="2"/>
    </font>
    <font>
      <sz val="10"/>
      <color indexed="10"/>
      <name val="Arial"/>
      <family val="2"/>
    </font>
    <font>
      <b/>
      <sz val="11"/>
      <color theme="1"/>
      <name val="Tahoma"/>
      <family val="2"/>
    </font>
    <font>
      <b/>
      <sz val="10"/>
      <color indexed="12"/>
      <name val="Arial"/>
      <family val="2"/>
    </font>
    <font>
      <b/>
      <sz val="8"/>
      <color indexed="12"/>
      <name val="Tahoma"/>
      <family val="2"/>
    </font>
    <font>
      <sz val="7"/>
      <name val="Tahoma"/>
      <family val="2"/>
    </font>
    <font>
      <b/>
      <sz val="11"/>
      <name val="Tahoma"/>
      <family val="2"/>
    </font>
    <font>
      <sz val="6"/>
      <name val="Tahoma"/>
      <family val="2"/>
    </font>
    <font>
      <b/>
      <sz val="8"/>
      <color indexed="10"/>
      <name val="Tahoma"/>
      <family val="2"/>
    </font>
    <font>
      <b/>
      <sz val="6"/>
      <color indexed="1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"/>
      <name val="Tahoma"/>
      <family val="2"/>
    </font>
    <font>
      <sz val="7"/>
      <color theme="1"/>
      <name val="Tahoma"/>
      <family val="2"/>
    </font>
    <font>
      <b/>
      <vertAlign val="subscript"/>
      <sz val="10"/>
      <color indexed="8"/>
      <name val="Tahoma"/>
      <family val="2"/>
    </font>
    <font>
      <sz val="7"/>
      <color theme="0" tint="-0.34998626667073579"/>
      <name val="Tahoma"/>
      <family val="2"/>
    </font>
    <font>
      <sz val="7"/>
      <color theme="0"/>
      <name val="Tahoma"/>
      <family val="2"/>
    </font>
    <font>
      <sz val="11"/>
      <color theme="1"/>
      <name val="Tahom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Tahoma"/>
      <family val="2"/>
    </font>
    <font>
      <b/>
      <sz val="20"/>
      <color theme="1"/>
      <name val="Tahoma"/>
      <family val="2"/>
    </font>
    <font>
      <b/>
      <sz val="14"/>
      <color theme="1"/>
      <name val="Tahoma"/>
      <family val="2"/>
    </font>
    <font>
      <sz val="7"/>
      <color theme="0" tint="-0.499984740745262"/>
      <name val="Tahoma"/>
      <family val="2"/>
    </font>
    <font>
      <b/>
      <i/>
      <sz val="8"/>
      <name val="Arial"/>
      <family val="2"/>
    </font>
    <font>
      <b/>
      <sz val="16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6"/>
      <name val="Calibri"/>
      <family val="2"/>
      <scheme val="minor"/>
    </font>
    <font>
      <b/>
      <sz val="16"/>
      <name val="Tahoma"/>
      <family val="2"/>
    </font>
    <font>
      <sz val="8"/>
      <color indexed="8"/>
      <name val="Calibri"/>
      <family val="2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b/>
      <sz val="8"/>
      <color indexed="8"/>
      <name val="Calibri"/>
      <family val="2"/>
    </font>
    <font>
      <b/>
      <sz val="11"/>
      <color rgb="FF000000"/>
      <name val="Tahoma"/>
      <family val="2"/>
    </font>
    <font>
      <b/>
      <sz val="10"/>
      <color indexed="10"/>
      <name val="Tahoma"/>
      <family val="2"/>
    </font>
    <font>
      <sz val="10"/>
      <color indexed="8"/>
      <name val="Tahoma"/>
      <family val="2"/>
    </font>
    <font>
      <sz val="10"/>
      <color indexed="8"/>
      <name val="Calibri"/>
      <family val="2"/>
    </font>
    <font>
      <sz val="8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8"/>
      <name val="Calibri"/>
      <family val="2"/>
    </font>
    <font>
      <sz val="10"/>
      <color rgb="FFFF0000"/>
      <name val="Tahoma"/>
      <family val="2"/>
    </font>
    <font>
      <b/>
      <sz val="12"/>
      <color indexed="8"/>
      <name val="Calibri"/>
      <family val="2"/>
    </font>
    <font>
      <sz val="7"/>
      <color indexed="8"/>
      <name val="Tahoma"/>
      <family val="2"/>
    </font>
    <font>
      <sz val="7"/>
      <color indexed="9"/>
      <name val="Tahoma"/>
      <family val="2"/>
    </font>
    <font>
      <b/>
      <sz val="14"/>
      <color indexed="8"/>
      <name val="Tahoma"/>
      <family val="2"/>
    </font>
    <font>
      <b/>
      <sz val="14"/>
      <color indexed="8"/>
      <name val="Calibri"/>
      <family val="2"/>
    </font>
    <font>
      <b/>
      <sz val="20"/>
      <color indexed="8"/>
      <name val="Tahoma"/>
      <family val="2"/>
    </font>
    <font>
      <b/>
      <sz val="10"/>
      <color rgb="FFFF0000"/>
      <name val="Book Antiqua"/>
      <family val="1"/>
    </font>
    <font>
      <b/>
      <sz val="9"/>
      <color rgb="FF0000FF"/>
      <name val="Tahoma"/>
      <family val="2"/>
    </font>
    <font>
      <sz val="10"/>
      <color rgb="FFFF0000"/>
      <name val="Book Antiqua"/>
      <family val="1"/>
    </font>
    <font>
      <b/>
      <sz val="14"/>
      <color rgb="FFFF0000"/>
      <name val="Calibri"/>
      <family val="2"/>
    </font>
    <font>
      <sz val="10"/>
      <color rgb="FF0000FF"/>
      <name val="Book Antiqua"/>
      <family val="1"/>
    </font>
    <font>
      <b/>
      <sz val="10"/>
      <color rgb="FFFF0000"/>
      <name val="Calibri"/>
      <family val="2"/>
    </font>
    <font>
      <b/>
      <sz val="16"/>
      <color indexed="8"/>
      <name val="Tahoma"/>
      <family val="2"/>
    </font>
    <font>
      <b/>
      <sz val="16"/>
      <color indexed="8"/>
      <name val="Calibri"/>
      <family val="2"/>
    </font>
    <font>
      <b/>
      <sz val="14"/>
      <name val="Arial"/>
      <family val="2"/>
    </font>
    <font>
      <b/>
      <sz val="8"/>
      <name val="Eras Medium ITC"/>
      <family val="2"/>
    </font>
    <font>
      <b/>
      <sz val="11"/>
      <name val="Eras Medium ITC"/>
      <family val="2"/>
    </font>
    <font>
      <b/>
      <sz val="10"/>
      <name val="Eras Medium ITC"/>
      <family val="2"/>
    </font>
    <font>
      <sz val="10"/>
      <name val="Eras Medium ITC"/>
      <family val="2"/>
    </font>
    <font>
      <b/>
      <sz val="12"/>
      <name val="Eras Medium ITC"/>
      <family val="2"/>
    </font>
    <font>
      <b/>
      <sz val="9"/>
      <name val="Eras Medium ITC"/>
      <family val="2"/>
    </font>
    <font>
      <b/>
      <sz val="9"/>
      <color theme="1"/>
      <name val="Eras Medium ITC"/>
      <family val="2"/>
    </font>
    <font>
      <sz val="8"/>
      <name val="Eras Medium ITC"/>
      <family val="2"/>
    </font>
    <font>
      <sz val="10"/>
      <color indexed="10"/>
      <name val="Eras Medium ITC"/>
      <family val="2"/>
    </font>
    <font>
      <sz val="6"/>
      <name val="Eras Medium ITC"/>
      <family val="2"/>
    </font>
    <font>
      <sz val="11"/>
      <name val="Eras Medium ITC"/>
      <family val="2"/>
    </font>
    <font>
      <b/>
      <sz val="10"/>
      <color indexed="10"/>
      <name val="Eras Medium ITC"/>
      <family val="2"/>
    </font>
    <font>
      <b/>
      <sz val="8"/>
      <color indexed="10"/>
      <name val="Eras Medium ITC"/>
      <family val="2"/>
    </font>
    <font>
      <sz val="10"/>
      <color indexed="18"/>
      <name val="Eras Medium ITC"/>
      <family val="2"/>
    </font>
    <font>
      <sz val="8.6"/>
      <name val="Eras Medium ITC"/>
      <family val="2"/>
    </font>
    <font>
      <b/>
      <sz val="10"/>
      <color rgb="FFFF0000"/>
      <name val="Eras Medium ITC"/>
      <family val="2"/>
    </font>
    <font>
      <sz val="9"/>
      <name val="Eras Medium ITC"/>
      <family val="2"/>
    </font>
    <font>
      <b/>
      <sz val="11"/>
      <color rgb="FFFF0000"/>
      <name val="Tahoma"/>
      <family val="2"/>
    </font>
    <font>
      <i/>
      <sz val="11"/>
      <color rgb="FFFF0000"/>
      <name val="Calibri"/>
      <family val="2"/>
    </font>
    <font>
      <b/>
      <sz val="9"/>
      <color indexed="10"/>
      <name val="Eras Medium ITC"/>
      <family val="2"/>
    </font>
    <font>
      <b/>
      <sz val="9"/>
      <color indexed="12"/>
      <name val="Eras Medium ITC"/>
      <family val="2"/>
    </font>
    <font>
      <sz val="10"/>
      <color indexed="12"/>
      <name val="Eras Medium ITC"/>
      <family val="2"/>
    </font>
    <font>
      <b/>
      <sz val="9"/>
      <color indexed="18"/>
      <name val="Eras Medium ITC"/>
      <family val="2"/>
    </font>
    <font>
      <sz val="10"/>
      <name val="Tempus Sans ITC"/>
      <family val="5"/>
    </font>
    <font>
      <b/>
      <sz val="11"/>
      <name val="Tempus Sans ITC"/>
      <family val="5"/>
    </font>
    <font>
      <b/>
      <sz val="9"/>
      <name val="Tempus Sans ITC"/>
      <family val="5"/>
    </font>
    <font>
      <b/>
      <i/>
      <sz val="10"/>
      <name val="Tempus Sans ITC"/>
      <family val="5"/>
    </font>
    <font>
      <b/>
      <sz val="10"/>
      <color rgb="FF0000FF"/>
      <name val="Tempus Sans ITC"/>
      <family val="5"/>
    </font>
    <font>
      <b/>
      <sz val="10"/>
      <name val="Tempus Sans ITC"/>
      <family val="5"/>
    </font>
    <font>
      <b/>
      <sz val="8"/>
      <name val="Tempus Sans ITC"/>
      <family val="5"/>
    </font>
    <font>
      <sz val="10"/>
      <color indexed="12"/>
      <name val="Tempus Sans ITC"/>
      <family val="5"/>
    </font>
    <font>
      <sz val="8"/>
      <name val="Tempus Sans ITC"/>
      <family val="5"/>
    </font>
    <font>
      <sz val="9"/>
      <name val="Tempus Sans ITC"/>
      <family val="5"/>
    </font>
    <font>
      <b/>
      <sz val="12"/>
      <name val="Tempus Sans ITC"/>
      <family val="5"/>
    </font>
    <font>
      <vertAlign val="superscript"/>
      <sz val="10"/>
      <name val="Tempus Sans ITC"/>
      <family val="5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gray0625"/>
    </fill>
  </fills>
  <borders count="323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 style="hair">
        <color indexed="64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 style="thin">
        <color indexed="64"/>
      </right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thin">
        <color indexed="64"/>
      </bottom>
      <diagonal/>
    </border>
    <border>
      <left/>
      <right style="medium">
        <color theme="0" tint="-0.24994659260841701"/>
      </right>
      <top/>
      <bottom style="thin">
        <color indexed="64"/>
      </bottom>
      <diagonal/>
    </border>
    <border>
      <left style="medium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0" tint="-0.24994659260841701"/>
      </right>
      <top style="thin">
        <color indexed="64"/>
      </top>
      <bottom style="thin">
        <color indexed="64"/>
      </bottom>
      <diagonal/>
    </border>
    <border>
      <left style="medium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0" tint="-0.24994659260841701"/>
      </right>
      <top style="thin">
        <color indexed="64"/>
      </top>
      <bottom style="thin">
        <color indexed="64"/>
      </bottom>
      <diagonal/>
    </border>
    <border>
      <left/>
      <right style="medium">
        <color theme="0" tint="-0.24994659260841701"/>
      </right>
      <top style="thin">
        <color indexed="64"/>
      </top>
      <bottom/>
      <diagonal/>
    </border>
    <border>
      <left/>
      <right style="medium">
        <color theme="0" tint="-0.24994659260841701"/>
      </right>
      <top style="thin">
        <color indexed="64"/>
      </top>
      <bottom style="hair">
        <color indexed="64"/>
      </bottom>
      <diagonal/>
    </border>
    <border>
      <left/>
      <right style="medium">
        <color theme="0" tint="-0.24994659260841701"/>
      </right>
      <top style="hair">
        <color indexed="64"/>
      </top>
      <bottom style="hair">
        <color indexed="64"/>
      </bottom>
      <diagonal/>
    </border>
    <border>
      <left/>
      <right style="medium">
        <color theme="0" tint="-0.24994659260841701"/>
      </right>
      <top style="hair">
        <color indexed="64"/>
      </top>
      <bottom style="thin">
        <color indexed="64"/>
      </bottom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thin">
        <color indexed="64"/>
      </bottom>
      <diagonal/>
    </border>
    <border>
      <left/>
      <right style="medium">
        <color theme="1" tint="0.499984740745262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1" tint="0.499984740745262"/>
      </left>
      <right style="double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 style="medium">
        <color indexed="23"/>
      </right>
      <top style="medium">
        <color indexed="23"/>
      </top>
      <bottom/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hair">
        <color indexed="64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 style="medium">
        <color theme="1" tint="0.499984740745262"/>
      </bottom>
      <diagonal/>
    </border>
    <border>
      <left style="medium">
        <color theme="0" tint="-0.34998626667073579"/>
      </left>
      <right/>
      <top/>
      <bottom style="medium">
        <color theme="1" tint="0.499984740745262"/>
      </bottom>
      <diagonal/>
    </border>
    <border>
      <left/>
      <right style="medium">
        <color theme="0" tint="-0.34998626667073579"/>
      </right>
      <top style="medium">
        <color theme="1" tint="0.499984740745262"/>
      </top>
      <bottom/>
      <diagonal/>
    </border>
    <border>
      <left style="medium">
        <color theme="0" tint="-0.34998626667073579"/>
      </left>
      <right/>
      <top style="medium">
        <color theme="1" tint="0.499984740745262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thin">
        <color auto="1"/>
      </top>
      <bottom style="medium">
        <color theme="1" tint="0.499984740745262"/>
      </bottom>
      <diagonal/>
    </border>
    <border>
      <left style="thin">
        <color indexed="64"/>
      </left>
      <right style="medium">
        <color theme="1" tint="0.499984740745262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medium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medium">
        <color theme="1" tint="0.499984740745262"/>
      </right>
      <top style="medium">
        <color theme="1" tint="0.499984740745262"/>
      </top>
      <bottom style="thin">
        <color auto="1"/>
      </bottom>
      <diagonal/>
    </border>
    <border>
      <left/>
      <right style="thin">
        <color auto="1"/>
      </right>
      <top style="medium">
        <color theme="1" tint="0.499984740745262"/>
      </top>
      <bottom style="thin">
        <color auto="1"/>
      </bottom>
      <diagonal/>
    </border>
    <border>
      <left style="hair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medium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medium">
        <color theme="0" tint="-0.34998626667073579"/>
      </left>
      <right style="thin">
        <color indexed="23"/>
      </right>
      <top/>
      <bottom/>
      <diagonal/>
    </border>
    <border>
      <left style="thin">
        <color indexed="23"/>
      </left>
      <right/>
      <top style="medium">
        <color theme="1" tint="0.499984740745262"/>
      </top>
      <bottom/>
      <diagonal/>
    </border>
    <border>
      <left style="thin">
        <color indexed="23"/>
      </left>
      <right style="thin">
        <color indexed="23"/>
      </right>
      <top style="medium">
        <color theme="1" tint="0.499984740745262"/>
      </top>
      <bottom/>
      <diagonal/>
    </border>
    <border>
      <left/>
      <right style="thin">
        <color indexed="23"/>
      </right>
      <top style="medium">
        <color theme="1" tint="0.499984740745262"/>
      </top>
      <bottom style="thin">
        <color indexed="23"/>
      </bottom>
      <diagonal/>
    </border>
    <border>
      <left style="thin">
        <color indexed="23"/>
      </left>
      <right/>
      <top style="medium">
        <color theme="1" tint="0.499984740745262"/>
      </top>
      <bottom style="thin">
        <color indexed="23"/>
      </bottom>
      <diagonal/>
    </border>
    <border>
      <left style="medium">
        <color theme="0" tint="-0.34998626667073579"/>
      </left>
      <right style="thin">
        <color indexed="23"/>
      </right>
      <top style="medium">
        <color theme="1" tint="0.499984740745262"/>
      </top>
      <bottom/>
      <diagonal/>
    </border>
    <border>
      <left/>
      <right style="medium">
        <color theme="0" tint="-0.34998626667073579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0" tint="-0.34998626667073579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hair">
        <color indexed="64"/>
      </top>
      <bottom style="medium">
        <color theme="1" tint="0.499984740745262"/>
      </bottom>
      <diagonal/>
    </border>
    <border>
      <left style="hair">
        <color theme="1" tint="0.499984740745262"/>
      </left>
      <right style="medium">
        <color theme="0" tint="-0.34998626667073579"/>
      </right>
      <top style="hair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medium">
        <color theme="1" tint="0.499984740745262"/>
      </bottom>
      <diagonal/>
    </border>
    <border>
      <left style="medium">
        <color theme="0" tint="-0.34998626667073579"/>
      </left>
      <right style="hair">
        <color theme="1" tint="0.499984740745262"/>
      </right>
      <top style="hair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hair">
        <color theme="1" tint="0.499984740745262"/>
      </left>
      <right style="medium">
        <color theme="0" tint="-0.34998626667073579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0" tint="-0.34998626667073579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medium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hair">
        <color theme="1" tint="0.499984740745262"/>
      </left>
      <right style="medium">
        <color theme="0" tint="-0.34998626667073579"/>
      </right>
      <top style="medium">
        <color indexed="23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indexed="23"/>
      </top>
      <bottom style="hair">
        <color theme="1" tint="0.499984740745262"/>
      </bottom>
      <diagonal/>
    </border>
    <border>
      <left style="medium">
        <color theme="0" tint="-0.34998626667073579"/>
      </left>
      <right style="hair">
        <color theme="1" tint="0.499984740745262"/>
      </right>
      <top style="medium">
        <color indexed="23"/>
      </top>
      <bottom style="hair">
        <color theme="1" tint="0.499984740745262"/>
      </bottom>
      <diagonal/>
    </border>
    <border>
      <left/>
      <right style="medium">
        <color theme="0" tint="-0.34998626667073579"/>
      </right>
      <top style="medium">
        <color indexed="23"/>
      </top>
      <bottom style="medium">
        <color indexed="23"/>
      </bottom>
      <diagonal/>
    </border>
    <border>
      <left style="medium">
        <color theme="0" tint="-0.34998626667073579"/>
      </left>
      <right/>
      <top style="medium">
        <color indexed="23"/>
      </top>
      <bottom style="medium">
        <color indexed="23"/>
      </bottom>
      <diagonal/>
    </border>
    <border>
      <left style="medium">
        <color theme="0" tint="-0.34998626667073579"/>
      </left>
      <right/>
      <top/>
      <bottom style="medium">
        <color indexed="23"/>
      </bottom>
      <diagonal/>
    </border>
    <border>
      <left/>
      <right style="medium">
        <color indexed="23"/>
      </right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medium">
        <color indexed="23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/>
      <bottom style="thin">
        <color indexed="64"/>
      </bottom>
      <diagonal/>
    </border>
    <border>
      <left style="medium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thin">
        <color indexed="64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theme="1" tint="0.499984740745262"/>
      </right>
      <top style="thin">
        <color indexed="64"/>
      </top>
      <bottom style="medium">
        <color indexed="64"/>
      </bottom>
      <diagonal/>
    </border>
    <border>
      <left style="medium">
        <color theme="1" tint="0.499984740745262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499984740745262"/>
      </right>
      <top style="medium">
        <color indexed="64"/>
      </top>
      <bottom style="thin">
        <color indexed="64"/>
      </bottom>
      <diagonal/>
    </border>
    <border>
      <left style="medium">
        <color theme="1" tint="0.49998474074526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theme="1" tint="0.499984740745262"/>
      </right>
      <top style="thin">
        <color indexed="64"/>
      </top>
      <bottom/>
      <diagonal/>
    </border>
    <border>
      <left/>
      <right style="medium">
        <color theme="1" tint="0.499984740745262"/>
      </right>
      <top style="thin">
        <color indexed="64"/>
      </top>
      <bottom/>
      <diagonal/>
    </border>
    <border>
      <left style="medium">
        <color theme="1" tint="0.499984740745262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theme="1" tint="0.499984740745262"/>
      </right>
      <top/>
      <bottom style="medium">
        <color indexed="64"/>
      </bottom>
      <diagonal/>
    </border>
    <border>
      <left style="medium">
        <color theme="1" tint="0.499984740745262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theme="1" tint="0.499984740745262"/>
      </right>
      <top style="thin">
        <color auto="1"/>
      </top>
      <bottom style="medium">
        <color theme="1" tint="0.499984740745262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/>
      <right style="medium">
        <color theme="0" tint="-0.34998626667073579"/>
      </right>
      <top/>
      <bottom style="medium">
        <color indexed="23"/>
      </bottom>
      <diagonal/>
    </border>
    <border>
      <left style="hair">
        <color indexed="64"/>
      </left>
      <right style="medium">
        <color theme="1" tint="0.499984740745262"/>
      </right>
      <top/>
      <bottom style="hair">
        <color indexed="64"/>
      </bottom>
      <diagonal/>
    </border>
    <border>
      <left style="thin">
        <color indexed="64"/>
      </left>
      <right/>
      <top style="medium">
        <color theme="0" tint="-0.24994659260841701"/>
      </top>
      <bottom style="thin">
        <color indexed="64"/>
      </bottom>
      <diagonal/>
    </border>
    <border>
      <left/>
      <right/>
      <top style="medium">
        <color theme="0" tint="-0.24994659260841701"/>
      </top>
      <bottom style="thin">
        <color indexed="64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medium">
        <color theme="0" tint="-0.24994659260841701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34998626667073579"/>
      </bottom>
      <diagonal/>
    </border>
    <border>
      <left/>
      <right style="medium">
        <color theme="0" tint="-0.499984740745262"/>
      </right>
      <top/>
      <bottom style="medium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23"/>
      </left>
      <right/>
      <top style="medium">
        <color indexed="23"/>
      </top>
      <bottom/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hair">
        <color theme="1" tint="0.499984740745262"/>
      </right>
      <top style="medium">
        <color indexed="23"/>
      </top>
      <bottom style="hair">
        <color theme="1" tint="0.499984740745262"/>
      </bottom>
      <diagonal/>
    </border>
    <border>
      <left style="hair">
        <color theme="1" tint="0.499984740745262"/>
      </left>
      <right style="medium">
        <color indexed="23"/>
      </right>
      <top style="medium">
        <color indexed="23"/>
      </top>
      <bottom style="hair">
        <color theme="1" tint="0.499984740745262"/>
      </bottom>
      <diagonal/>
    </border>
    <border>
      <left style="medium">
        <color indexed="23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medium">
        <color indexed="23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indexed="23"/>
      </left>
      <right style="hair">
        <color theme="1" tint="0.499984740745262"/>
      </right>
      <top style="hair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medium">
        <color indexed="23"/>
      </right>
      <top style="hair">
        <color theme="1" tint="0.499984740745262"/>
      </top>
      <bottom style="medium">
        <color theme="1" tint="0.499984740745262"/>
      </bottom>
      <diagonal/>
    </border>
    <border>
      <left style="medium">
        <color indexed="23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indexed="23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indexed="23"/>
      </left>
      <right style="thin">
        <color indexed="23"/>
      </right>
      <top style="medium">
        <color theme="1" tint="0.499984740745262"/>
      </top>
      <bottom/>
      <diagonal/>
    </border>
    <border>
      <left/>
      <right style="medium">
        <color indexed="23"/>
      </right>
      <top style="medium">
        <color theme="1" tint="0.499984740745262"/>
      </top>
      <bottom/>
      <diagonal/>
    </border>
    <border>
      <left style="medium">
        <color indexed="23"/>
      </left>
      <right style="thin">
        <color indexed="23"/>
      </right>
      <top/>
      <bottom style="medium">
        <color theme="1" tint="0.499984740745262"/>
      </bottom>
      <diagonal/>
    </border>
    <border>
      <left style="thin">
        <color indexed="23"/>
      </left>
      <right style="thin">
        <color indexed="23"/>
      </right>
      <top/>
      <bottom style="medium">
        <color theme="1" tint="0.499984740745262"/>
      </bottom>
      <diagonal/>
    </border>
    <border>
      <left style="thin">
        <color indexed="23"/>
      </left>
      <right/>
      <top/>
      <bottom style="medium">
        <color theme="1" tint="0.499984740745262"/>
      </bottom>
      <diagonal/>
    </border>
    <border>
      <left/>
      <right style="medium">
        <color indexed="23"/>
      </right>
      <top/>
      <bottom style="medium">
        <color theme="1" tint="0.499984740745262"/>
      </bottom>
      <diagonal/>
    </border>
    <border>
      <left style="medium">
        <color indexed="23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medium">
        <color theme="1" tint="0.499984740745262"/>
      </top>
      <bottom style="hair">
        <color theme="1" tint="0.499984740745262"/>
      </bottom>
      <diagonal/>
    </border>
    <border>
      <left/>
      <right style="medium">
        <color indexed="23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medium">
        <color indexed="23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medium">
        <color theme="1" tint="0.499984740745262"/>
      </bottom>
      <diagonal/>
    </border>
    <border>
      <left/>
      <right style="medium">
        <color indexed="23"/>
      </right>
      <top style="hair">
        <color theme="1" tint="0.499984740745262"/>
      </top>
      <bottom style="medium">
        <color theme="1" tint="0.499984740745262"/>
      </bottom>
      <diagonal/>
    </border>
    <border>
      <left style="medium">
        <color indexed="23"/>
      </left>
      <right/>
      <top style="medium">
        <color theme="1" tint="0.499984740745262"/>
      </top>
      <bottom/>
      <diagonal/>
    </border>
    <border>
      <left style="medium">
        <color indexed="23"/>
      </left>
      <right/>
      <top/>
      <bottom style="medium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medium">
        <color theme="1" tint="0.499984740745262"/>
      </bottom>
      <diagonal/>
    </border>
  </borders>
  <cellStyleXfs count="49">
    <xf numFmtId="0" fontId="0" fillId="0" borderId="0"/>
    <xf numFmtId="9" fontId="15" fillId="0" borderId="0" applyFont="0" applyFill="0" applyBorder="0" applyAlignment="0" applyProtection="0"/>
    <xf numFmtId="0" fontId="15" fillId="0" borderId="0"/>
    <xf numFmtId="0" fontId="16" fillId="0" borderId="0"/>
    <xf numFmtId="0" fontId="11" fillId="0" borderId="0"/>
    <xf numFmtId="166" fontId="19" fillId="0" borderId="0"/>
    <xf numFmtId="170" fontId="20" fillId="0" borderId="0"/>
    <xf numFmtId="166" fontId="19" fillId="0" borderId="0"/>
    <xf numFmtId="170" fontId="19" fillId="0" borderId="0"/>
    <xf numFmtId="0" fontId="10" fillId="0" borderId="0"/>
    <xf numFmtId="9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9" fillId="0" borderId="0"/>
    <xf numFmtId="0" fontId="29" fillId="0" borderId="0"/>
    <xf numFmtId="164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0" fontId="34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7" fillId="0" borderId="0"/>
    <xf numFmtId="0" fontId="7" fillId="0" borderId="0"/>
    <xf numFmtId="165" fontId="15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0" fontId="5" fillId="0" borderId="0"/>
    <xf numFmtId="0" fontId="15" fillId="0" borderId="0">
      <alignment vertical="top"/>
    </xf>
    <xf numFmtId="0" fontId="5" fillId="0" borderId="0"/>
    <xf numFmtId="9" fontId="5" fillId="0" borderId="0" applyFont="0" applyFill="0" applyBorder="0" applyAlignment="0" applyProtection="0"/>
    <xf numFmtId="0" fontId="5" fillId="0" borderId="0"/>
    <xf numFmtId="166" fontId="1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99">
    <xf numFmtId="0" fontId="0" fillId="0" borderId="0" xfId="0"/>
    <xf numFmtId="0" fontId="18" fillId="0" borderId="0" xfId="3" applyFont="1" applyAlignment="1">
      <alignment vertical="center"/>
    </xf>
    <xf numFmtId="0" fontId="35" fillId="0" borderId="0" xfId="16" applyFont="1"/>
    <xf numFmtId="0" fontId="36" fillId="0" borderId="124" xfId="2" applyFont="1" applyBorder="1" applyAlignment="1">
      <alignment vertical="center" wrapText="1"/>
    </xf>
    <xf numFmtId="0" fontId="13" fillId="0" borderId="14" xfId="2" applyFont="1" applyBorder="1" applyAlignment="1">
      <alignment vertical="center" wrapText="1"/>
    </xf>
    <xf numFmtId="0" fontId="13" fillId="0" borderId="15" xfId="2" applyFont="1" applyBorder="1" applyAlignment="1">
      <alignment vertical="center" wrapText="1"/>
    </xf>
    <xf numFmtId="0" fontId="36" fillId="0" borderId="0" xfId="2" applyFont="1" applyAlignment="1">
      <alignment vertical="center" wrapText="1"/>
    </xf>
    <xf numFmtId="0" fontId="13" fillId="0" borderId="16" xfId="2" applyFont="1" applyBorder="1" applyAlignment="1">
      <alignment vertical="center" wrapText="1"/>
    </xf>
    <xf numFmtId="0" fontId="13" fillId="0" borderId="17" xfId="2" applyFont="1" applyBorder="1" applyAlignment="1">
      <alignment vertical="center" wrapText="1"/>
    </xf>
    <xf numFmtId="10" fontId="35" fillId="0" borderId="0" xfId="16" applyNumberFormat="1" applyFont="1"/>
    <xf numFmtId="172" fontId="35" fillId="0" borderId="0" xfId="16" applyNumberFormat="1" applyFont="1"/>
    <xf numFmtId="177" fontId="35" fillId="0" borderId="0" xfId="16" applyNumberFormat="1" applyFont="1" applyAlignment="1">
      <alignment horizontal="left"/>
    </xf>
    <xf numFmtId="0" fontId="50" fillId="0" borderId="35" xfId="16" applyFont="1" applyBorder="1"/>
    <xf numFmtId="0" fontId="51" fillId="0" borderId="35" xfId="16" applyFont="1" applyBorder="1"/>
    <xf numFmtId="0" fontId="35" fillId="0" borderId="35" xfId="16" applyFont="1" applyBorder="1" applyAlignment="1">
      <alignment horizontal="right"/>
    </xf>
    <xf numFmtId="0" fontId="18" fillId="0" borderId="123" xfId="3" applyFont="1" applyBorder="1" applyAlignment="1">
      <alignment vertical="center"/>
    </xf>
    <xf numFmtId="0" fontId="18" fillId="0" borderId="122" xfId="3" applyFont="1" applyBorder="1" applyAlignment="1">
      <alignment vertical="center"/>
    </xf>
    <xf numFmtId="0" fontId="18" fillId="0" borderId="118" xfId="3" applyFont="1" applyBorder="1" applyAlignment="1">
      <alignment vertical="center"/>
    </xf>
    <xf numFmtId="0" fontId="18" fillId="0" borderId="117" xfId="3" applyFont="1" applyBorder="1" applyAlignment="1">
      <alignment vertical="center"/>
    </xf>
    <xf numFmtId="0" fontId="35" fillId="0" borderId="136" xfId="16" applyFont="1" applyBorder="1" applyAlignment="1">
      <alignment horizontal="center"/>
    </xf>
    <xf numFmtId="0" fontId="35" fillId="0" borderId="127" xfId="16" applyFont="1" applyBorder="1" applyAlignment="1">
      <alignment horizontal="center"/>
    </xf>
    <xf numFmtId="0" fontId="35" fillId="0" borderId="137" xfId="16" applyFont="1" applyBorder="1" applyAlignment="1">
      <alignment horizontal="center"/>
    </xf>
    <xf numFmtId="0" fontId="35" fillId="0" borderId="134" xfId="16" applyFont="1" applyBorder="1" applyAlignment="1">
      <alignment horizontal="center"/>
    </xf>
    <xf numFmtId="0" fontId="35" fillId="0" borderId="0" xfId="16" applyFont="1" applyAlignment="1">
      <alignment horizontal="center"/>
    </xf>
    <xf numFmtId="0" fontId="35" fillId="0" borderId="135" xfId="16" applyFont="1" applyBorder="1" applyAlignment="1">
      <alignment horizontal="center"/>
    </xf>
    <xf numFmtId="0" fontId="35" fillId="0" borderId="138" xfId="16" applyFont="1" applyBorder="1" applyAlignment="1">
      <alignment horizontal="center"/>
    </xf>
    <xf numFmtId="0" fontId="35" fillId="0" borderId="125" xfId="16" applyFont="1" applyBorder="1" applyAlignment="1">
      <alignment horizontal="center"/>
    </xf>
    <xf numFmtId="0" fontId="35" fillId="0" borderId="139" xfId="16" applyFont="1" applyBorder="1" applyAlignment="1">
      <alignment horizontal="center"/>
    </xf>
    <xf numFmtId="0" fontId="46" fillId="0" borderId="140" xfId="16" applyFont="1" applyBorder="1" applyAlignment="1">
      <alignment horizontal="center" vertical="center" wrapText="1"/>
    </xf>
    <xf numFmtId="1" fontId="37" fillId="0" borderId="140" xfId="16" applyNumberFormat="1" applyFont="1" applyBorder="1" applyAlignment="1">
      <alignment horizontal="center"/>
    </xf>
    <xf numFmtId="15" fontId="37" fillId="0" borderId="140" xfId="16" applyNumberFormat="1" applyFont="1" applyBorder="1" applyAlignment="1">
      <alignment horizontal="center"/>
    </xf>
    <xf numFmtId="15" fontId="46" fillId="0" borderId="140" xfId="16" applyNumberFormat="1" applyFont="1" applyBorder="1" applyAlignment="1">
      <alignment horizontal="center"/>
    </xf>
    <xf numFmtId="2" fontId="35" fillId="0" borderId="142" xfId="16" applyNumberFormat="1" applyFont="1" applyBorder="1" applyAlignment="1">
      <alignment horizontal="right"/>
    </xf>
    <xf numFmtId="2" fontId="35" fillId="0" borderId="143" xfId="16" applyNumberFormat="1" applyFont="1" applyBorder="1"/>
    <xf numFmtId="2" fontId="35" fillId="0" borderId="145" xfId="16" applyNumberFormat="1" applyFont="1" applyBorder="1"/>
    <xf numFmtId="2" fontId="28" fillId="0" borderId="146" xfId="16" applyNumberFormat="1" applyFont="1" applyBorder="1"/>
    <xf numFmtId="2" fontId="37" fillId="0" borderId="148" xfId="16" applyNumberFormat="1" applyFont="1" applyBorder="1" applyAlignment="1">
      <alignment horizontal="center" vertical="center" wrapText="1"/>
    </xf>
    <xf numFmtId="1" fontId="37" fillId="0" borderId="148" xfId="16" applyNumberFormat="1" applyFont="1" applyBorder="1" applyAlignment="1">
      <alignment horizontal="center"/>
    </xf>
    <xf numFmtId="15" fontId="37" fillId="0" borderId="148" xfId="16" applyNumberFormat="1" applyFont="1" applyBorder="1" applyAlignment="1">
      <alignment horizontal="center"/>
    </xf>
    <xf numFmtId="15" fontId="46" fillId="0" borderId="148" xfId="16" applyNumberFormat="1" applyFont="1" applyBorder="1" applyAlignment="1">
      <alignment horizontal="center"/>
    </xf>
    <xf numFmtId="172" fontId="35" fillId="0" borderId="0" xfId="16" applyNumberFormat="1" applyFont="1" applyAlignment="1">
      <alignment horizontal="center" vertical="center" wrapText="1"/>
    </xf>
    <xf numFmtId="172" fontId="35" fillId="0" borderId="0" xfId="16" applyNumberFormat="1" applyFont="1" applyAlignment="1">
      <alignment horizontal="center"/>
    </xf>
    <xf numFmtId="0" fontId="41" fillId="9" borderId="129" xfId="16" applyFont="1" applyFill="1" applyBorder="1" applyAlignment="1">
      <alignment horizontal="center" vertical="center" wrapText="1"/>
    </xf>
    <xf numFmtId="176" fontId="38" fillId="0" borderId="158" xfId="2" applyNumberFormat="1" applyFont="1" applyBorder="1" applyAlignment="1">
      <alignment horizontal="left"/>
    </xf>
    <xf numFmtId="0" fontId="36" fillId="0" borderId="126" xfId="2" applyFont="1" applyBorder="1" applyAlignment="1">
      <alignment vertical="center" wrapText="1"/>
    </xf>
    <xf numFmtId="176" fontId="38" fillId="0" borderId="162" xfId="2" applyNumberFormat="1" applyFont="1" applyBorder="1" applyAlignment="1">
      <alignment horizontal="left"/>
    </xf>
    <xf numFmtId="176" fontId="38" fillId="0" borderId="165" xfId="2" applyNumberFormat="1" applyFont="1" applyBorder="1" applyAlignment="1">
      <alignment horizontal="left"/>
    </xf>
    <xf numFmtId="176" fontId="38" fillId="0" borderId="166" xfId="2" applyNumberFormat="1" applyFont="1" applyBorder="1" applyAlignment="1">
      <alignment horizontal="left"/>
    </xf>
    <xf numFmtId="0" fontId="36" fillId="0" borderId="125" xfId="2" applyFont="1" applyBorder="1" applyAlignment="1">
      <alignment vertical="center" wrapText="1"/>
    </xf>
    <xf numFmtId="0" fontId="41" fillId="10" borderId="0" xfId="16" applyFont="1" applyFill="1" applyAlignment="1">
      <alignment horizontal="center"/>
    </xf>
    <xf numFmtId="39" fontId="41" fillId="10" borderId="0" xfId="23" applyNumberFormat="1" applyFont="1" applyFill="1" applyAlignment="1">
      <alignment horizontal="center"/>
    </xf>
    <xf numFmtId="0" fontId="41" fillId="10" borderId="0" xfId="16" applyFont="1" applyFill="1"/>
    <xf numFmtId="2" fontId="37" fillId="0" borderId="140" xfId="16" applyNumberFormat="1" applyFont="1" applyBorder="1" applyAlignment="1">
      <alignment horizontal="center" vertical="center" wrapText="1"/>
    </xf>
    <xf numFmtId="0" fontId="53" fillId="0" borderId="0" xfId="26" applyFont="1" applyAlignment="1">
      <alignment horizontal="center" vertical="center"/>
    </xf>
    <xf numFmtId="0" fontId="54" fillId="0" borderId="0" xfId="2" applyFont="1" applyAlignment="1">
      <alignment horizontal="center"/>
    </xf>
    <xf numFmtId="0" fontId="55" fillId="0" borderId="0" xfId="2" applyFont="1"/>
    <xf numFmtId="0" fontId="25" fillId="0" borderId="6" xfId="3" applyFont="1" applyBorder="1" applyAlignment="1">
      <alignment vertical="center" wrapText="1"/>
    </xf>
    <xf numFmtId="0" fontId="58" fillId="0" borderId="0" xfId="26" applyFont="1" applyAlignment="1">
      <alignment vertical="center"/>
    </xf>
    <xf numFmtId="0" fontId="55" fillId="8" borderId="0" xfId="2" applyFont="1" applyFill="1"/>
    <xf numFmtId="0" fontId="59" fillId="0" borderId="0" xfId="26" applyFont="1" applyAlignment="1">
      <alignment horizontal="center" vertical="center"/>
    </xf>
    <xf numFmtId="0" fontId="31" fillId="0" borderId="22" xfId="26" applyFont="1" applyBorder="1" applyAlignment="1">
      <alignment vertical="top"/>
    </xf>
    <xf numFmtId="0" fontId="42" fillId="0" borderId="0" xfId="2" applyFont="1" applyProtection="1">
      <protection hidden="1"/>
    </xf>
    <xf numFmtId="0" fontId="55" fillId="0" borderId="0" xfId="2" applyFont="1" applyProtection="1">
      <protection hidden="1"/>
    </xf>
    <xf numFmtId="0" fontId="64" fillId="0" borderId="188" xfId="26" applyFont="1" applyBorder="1" applyAlignment="1">
      <alignment horizontal="center" vertical="center"/>
    </xf>
    <xf numFmtId="0" fontId="64" fillId="0" borderId="0" xfId="26" applyFont="1" applyAlignment="1">
      <alignment horizontal="center" vertical="center"/>
    </xf>
    <xf numFmtId="178" fontId="64" fillId="0" borderId="0" xfId="26" applyNumberFormat="1" applyFont="1" applyAlignment="1">
      <alignment horizontal="center" vertical="center" wrapText="1"/>
    </xf>
    <xf numFmtId="179" fontId="64" fillId="0" borderId="0" xfId="26" applyNumberFormat="1" applyFont="1" applyAlignment="1">
      <alignment horizontal="center" vertical="center" wrapText="1"/>
    </xf>
    <xf numFmtId="179" fontId="64" fillId="0" borderId="162" xfId="26" applyNumberFormat="1" applyFont="1" applyBorder="1" applyAlignment="1">
      <alignment horizontal="center" vertical="center" wrapText="1"/>
    </xf>
    <xf numFmtId="0" fontId="65" fillId="0" borderId="35" xfId="27" applyFont="1" applyBorder="1" applyAlignment="1">
      <alignment vertical="center"/>
    </xf>
    <xf numFmtId="0" fontId="65" fillId="0" borderId="35" xfId="27" applyFont="1" applyBorder="1" applyAlignment="1">
      <alignment horizontal="center" vertical="center"/>
    </xf>
    <xf numFmtId="0" fontId="65" fillId="0" borderId="191" xfId="27" applyFont="1" applyBorder="1" applyAlignment="1">
      <alignment horizontal="center" vertical="center"/>
    </xf>
    <xf numFmtId="0" fontId="65" fillId="0" borderId="192" xfId="27" applyFont="1" applyBorder="1" applyAlignment="1">
      <alignment horizontal="center" vertical="center"/>
    </xf>
    <xf numFmtId="172" fontId="44" fillId="0" borderId="35" xfId="2" applyNumberFormat="1" applyFont="1" applyBorder="1" applyAlignment="1">
      <alignment horizontal="center"/>
    </xf>
    <xf numFmtId="172" fontId="70" fillId="0" borderId="35" xfId="2" applyNumberFormat="1" applyFont="1" applyBorder="1" applyAlignment="1">
      <alignment horizontal="center"/>
    </xf>
    <xf numFmtId="172" fontId="71" fillId="0" borderId="35" xfId="26" applyNumberFormat="1" applyFont="1" applyBorder="1" applyAlignment="1">
      <alignment horizontal="center" vertical="center"/>
    </xf>
    <xf numFmtId="0" fontId="44" fillId="3" borderId="0" xfId="2" applyFont="1" applyFill="1" applyAlignment="1">
      <alignment horizontal="center"/>
    </xf>
    <xf numFmtId="0" fontId="65" fillId="0" borderId="30" xfId="27" applyFont="1" applyBorder="1" applyAlignment="1">
      <alignment vertical="center"/>
    </xf>
    <xf numFmtId="0" fontId="65" fillId="0" borderId="22" xfId="27" applyFont="1" applyBorder="1" applyAlignment="1">
      <alignment vertical="center"/>
    </xf>
    <xf numFmtId="0" fontId="65" fillId="0" borderId="69" xfId="27" applyFont="1" applyBorder="1" applyAlignment="1">
      <alignment vertical="center"/>
    </xf>
    <xf numFmtId="2" fontId="54" fillId="3" borderId="0" xfId="2" applyNumberFormat="1" applyFont="1" applyFill="1" applyAlignment="1">
      <alignment horizontal="center"/>
    </xf>
    <xf numFmtId="0" fontId="54" fillId="3" borderId="0" xfId="2" applyFont="1" applyFill="1" applyAlignment="1">
      <alignment horizontal="center"/>
    </xf>
    <xf numFmtId="0" fontId="54" fillId="11" borderId="5" xfId="2" applyFont="1" applyFill="1" applyBorder="1" applyAlignment="1">
      <alignment horizontal="center"/>
    </xf>
    <xf numFmtId="169" fontId="54" fillId="11" borderId="5" xfId="2" applyNumberFormat="1" applyFont="1" applyFill="1" applyBorder="1" applyAlignment="1">
      <alignment horizontal="center"/>
    </xf>
    <xf numFmtId="0" fontId="73" fillId="11" borderId="5" xfId="2" applyFont="1" applyFill="1" applyBorder="1" applyAlignment="1">
      <alignment horizontal="center"/>
    </xf>
    <xf numFmtId="172" fontId="54" fillId="11" borderId="5" xfId="2" applyNumberFormat="1" applyFont="1" applyFill="1" applyBorder="1" applyAlignment="1">
      <alignment horizontal="center"/>
    </xf>
    <xf numFmtId="0" fontId="54" fillId="12" borderId="5" xfId="2" applyFont="1" applyFill="1" applyBorder="1" applyAlignment="1">
      <alignment horizontal="center"/>
    </xf>
    <xf numFmtId="172" fontId="54" fillId="12" borderId="5" xfId="2" applyNumberFormat="1" applyFont="1" applyFill="1" applyBorder="1" applyAlignment="1">
      <alignment horizontal="center"/>
    </xf>
    <xf numFmtId="9" fontId="75" fillId="0" borderId="0" xfId="1" applyFont="1" applyAlignment="1">
      <alignment vertical="center"/>
    </xf>
    <xf numFmtId="0" fontId="54" fillId="12" borderId="2" xfId="2" applyFont="1" applyFill="1" applyBorder="1" applyAlignment="1">
      <alignment horizontal="center"/>
    </xf>
    <xf numFmtId="0" fontId="56" fillId="0" borderId="188" xfId="26" applyFont="1" applyBorder="1" applyAlignment="1">
      <alignment horizontal="center" vertical="center"/>
    </xf>
    <xf numFmtId="0" fontId="56" fillId="0" borderId="0" xfId="26" applyFont="1" applyAlignment="1">
      <alignment horizontal="center" vertical="center"/>
    </xf>
    <xf numFmtId="0" fontId="56" fillId="0" borderId="162" xfId="26" applyFont="1" applyBorder="1" applyAlignment="1">
      <alignment horizontal="center" vertical="center"/>
    </xf>
    <xf numFmtId="180" fontId="54" fillId="0" borderId="0" xfId="2" applyNumberFormat="1" applyFont="1" applyAlignment="1">
      <alignment horizontal="center"/>
    </xf>
    <xf numFmtId="1" fontId="55" fillId="0" borderId="0" xfId="2" applyNumberFormat="1" applyFont="1" applyAlignment="1">
      <alignment horizontal="center"/>
    </xf>
    <xf numFmtId="0" fontId="54" fillId="13" borderId="5" xfId="28" applyFont="1" applyFill="1" applyBorder="1" applyAlignment="1">
      <alignment horizontal="center" vertical="top"/>
    </xf>
    <xf numFmtId="174" fontId="54" fillId="13" borderId="5" xfId="28" applyNumberFormat="1" applyFont="1" applyFill="1" applyBorder="1" applyAlignment="1">
      <alignment horizontal="center" vertical="top"/>
    </xf>
    <xf numFmtId="172" fontId="54" fillId="13" borderId="5" xfId="28" applyNumberFormat="1" applyFont="1" applyFill="1" applyBorder="1" applyAlignment="1">
      <alignment horizontal="center" vertical="top"/>
    </xf>
    <xf numFmtId="0" fontId="54" fillId="12" borderId="5" xfId="28" applyFont="1" applyFill="1" applyBorder="1" applyAlignment="1">
      <alignment horizontal="center" vertical="top"/>
    </xf>
    <xf numFmtId="0" fontId="54" fillId="13" borderId="7" xfId="28" applyFont="1" applyFill="1" applyBorder="1" applyAlignment="1">
      <alignment horizontal="center" vertical="top"/>
    </xf>
    <xf numFmtId="174" fontId="54" fillId="13" borderId="7" xfId="28" applyNumberFormat="1" applyFont="1" applyFill="1" applyBorder="1" applyAlignment="1">
      <alignment horizontal="center" vertical="top"/>
    </xf>
    <xf numFmtId="0" fontId="54" fillId="13" borderId="0" xfId="28" applyFont="1" applyFill="1" applyAlignment="1">
      <alignment horizontal="center" vertical="top"/>
    </xf>
    <xf numFmtId="174" fontId="54" fillId="13" borderId="0" xfId="28" applyNumberFormat="1" applyFont="1" applyFill="1" applyAlignment="1">
      <alignment horizontal="center" vertical="top"/>
    </xf>
    <xf numFmtId="172" fontId="54" fillId="13" borderId="0" xfId="28" applyNumberFormat="1" applyFont="1" applyFill="1" applyAlignment="1">
      <alignment horizontal="center" vertical="top"/>
    </xf>
    <xf numFmtId="0" fontId="18" fillId="8" borderId="0" xfId="2" applyFont="1" applyFill="1"/>
    <xf numFmtId="0" fontId="73" fillId="0" borderId="0" xfId="28" applyFont="1" applyAlignment="1">
      <alignment horizontal="center" vertical="top"/>
    </xf>
    <xf numFmtId="174" fontId="54" fillId="0" borderId="0" xfId="28" applyNumberFormat="1" applyFont="1" applyAlignment="1">
      <alignment horizontal="center" vertical="top"/>
    </xf>
    <xf numFmtId="172" fontId="54" fillId="0" borderId="0" xfId="28" applyNumberFormat="1" applyFont="1" applyAlignment="1">
      <alignment horizontal="center" vertical="top"/>
    </xf>
    <xf numFmtId="0" fontId="18" fillId="8" borderId="127" xfId="2" applyFont="1" applyFill="1" applyBorder="1"/>
    <xf numFmtId="174" fontId="54" fillId="12" borderId="5" xfId="28" applyNumberFormat="1" applyFont="1" applyFill="1" applyBorder="1" applyAlignment="1">
      <alignment horizontal="center" vertical="top"/>
    </xf>
    <xf numFmtId="0" fontId="42" fillId="14" borderId="5" xfId="2" applyFont="1" applyFill="1" applyBorder="1" applyAlignment="1">
      <alignment horizontal="center"/>
    </xf>
    <xf numFmtId="2" fontId="42" fillId="14" borderId="5" xfId="2" applyNumberFormat="1" applyFont="1" applyFill="1" applyBorder="1" applyAlignment="1">
      <alignment horizontal="center"/>
    </xf>
    <xf numFmtId="0" fontId="42" fillId="14" borderId="0" xfId="2" applyFont="1" applyFill="1" applyAlignment="1">
      <alignment horizontal="center"/>
    </xf>
    <xf numFmtId="2" fontId="42" fillId="14" borderId="0" xfId="2" applyNumberFormat="1" applyFont="1" applyFill="1" applyAlignment="1">
      <alignment horizontal="center"/>
    </xf>
    <xf numFmtId="0" fontId="42" fillId="8" borderId="0" xfId="2" applyFont="1" applyFill="1"/>
    <xf numFmtId="168" fontId="15" fillId="0" borderId="0" xfId="1" applyNumberFormat="1" applyAlignment="1">
      <alignment horizontal="center" vertical="center"/>
    </xf>
    <xf numFmtId="10" fontId="76" fillId="0" borderId="0" xfId="1" applyNumberFormat="1" applyFont="1" applyAlignment="1">
      <alignment horizontal="center" vertical="center"/>
    </xf>
    <xf numFmtId="0" fontId="31" fillId="0" borderId="26" xfId="26" applyFont="1" applyBorder="1" applyAlignment="1">
      <alignment vertical="top"/>
    </xf>
    <xf numFmtId="0" fontId="31" fillId="0" borderId="35" xfId="26" applyFont="1" applyBorder="1" applyAlignment="1">
      <alignment vertical="center"/>
    </xf>
    <xf numFmtId="0" fontId="31" fillId="0" borderId="25" xfId="26" applyFont="1" applyBorder="1" applyAlignment="1">
      <alignment vertical="center"/>
    </xf>
    <xf numFmtId="0" fontId="31" fillId="0" borderId="22" xfId="26" applyFont="1" applyBorder="1" applyAlignment="1">
      <alignment vertical="center"/>
    </xf>
    <xf numFmtId="0" fontId="15" fillId="0" borderId="0" xfId="2"/>
    <xf numFmtId="0" fontId="55" fillId="3" borderId="0" xfId="2" applyFont="1" applyFill="1" applyProtection="1">
      <protection hidden="1"/>
    </xf>
    <xf numFmtId="0" fontId="53" fillId="3" borderId="0" xfId="26" applyFont="1" applyFill="1" applyAlignment="1">
      <alignment horizontal="center" vertical="center"/>
    </xf>
    <xf numFmtId="0" fontId="90" fillId="0" borderId="187" xfId="26" applyFont="1" applyBorder="1" applyAlignment="1">
      <alignment vertical="center"/>
    </xf>
    <xf numFmtId="0" fontId="90" fillId="0" borderId="24" xfId="26" applyFont="1" applyBorder="1" applyAlignment="1">
      <alignment vertical="center"/>
    </xf>
    <xf numFmtId="0" fontId="90" fillId="0" borderId="24" xfId="26" applyFont="1" applyBorder="1" applyAlignment="1">
      <alignment vertical="center" wrapText="1"/>
    </xf>
    <xf numFmtId="0" fontId="48" fillId="0" borderId="0" xfId="26" applyFont="1" applyAlignment="1">
      <alignment vertical="center"/>
    </xf>
    <xf numFmtId="0" fontId="90" fillId="0" borderId="188" xfId="26" applyFont="1" applyBorder="1" applyAlignment="1">
      <alignment vertical="center"/>
    </xf>
    <xf numFmtId="0" fontId="90" fillId="0" borderId="0" xfId="26" applyFont="1" applyAlignment="1">
      <alignment vertical="center"/>
    </xf>
    <xf numFmtId="167" fontId="90" fillId="0" borderId="0" xfId="26" applyNumberFormat="1" applyFont="1" applyAlignment="1">
      <alignment vertical="center"/>
    </xf>
    <xf numFmtId="4" fontId="90" fillId="0" borderId="0" xfId="26" applyNumberFormat="1" applyFont="1" applyAlignment="1">
      <alignment vertical="center" wrapText="1"/>
    </xf>
    <xf numFmtId="168" fontId="90" fillId="0" borderId="0" xfId="30" applyNumberFormat="1" applyFont="1" applyAlignment="1">
      <alignment vertical="center" wrapText="1"/>
    </xf>
    <xf numFmtId="10" fontId="90" fillId="0" borderId="0" xfId="30" applyNumberFormat="1" applyFont="1" applyAlignment="1">
      <alignment vertical="center" wrapText="1"/>
    </xf>
    <xf numFmtId="9" fontId="92" fillId="0" borderId="0" xfId="30" applyFont="1" applyAlignment="1">
      <alignment vertical="center" wrapText="1"/>
    </xf>
    <xf numFmtId="9" fontId="93" fillId="0" borderId="0" xfId="30" applyFont="1" applyAlignment="1">
      <alignment vertical="center" wrapText="1"/>
    </xf>
    <xf numFmtId="181" fontId="59" fillId="0" borderId="0" xfId="26" applyNumberFormat="1" applyFont="1" applyAlignment="1">
      <alignment vertical="center"/>
    </xf>
    <xf numFmtId="2" fontId="48" fillId="0" borderId="0" xfId="26" applyNumberFormat="1" applyFont="1" applyAlignment="1">
      <alignment vertical="center"/>
    </xf>
    <xf numFmtId="0" fontId="55" fillId="3" borderId="0" xfId="2" applyFont="1" applyFill="1" applyAlignment="1" applyProtection="1">
      <alignment horizontal="right"/>
      <protection hidden="1"/>
    </xf>
    <xf numFmtId="0" fontId="56" fillId="0" borderId="188" xfId="26" applyFont="1" applyBorder="1" applyAlignment="1">
      <alignment vertical="center"/>
    </xf>
    <xf numFmtId="0" fontId="56" fillId="0" borderId="0" xfId="26" applyFont="1" applyAlignment="1">
      <alignment vertical="center"/>
    </xf>
    <xf numFmtId="0" fontId="31" fillId="0" borderId="188" xfId="26" applyFont="1" applyBorder="1" applyAlignment="1">
      <alignment vertical="center"/>
    </xf>
    <xf numFmtId="0" fontId="31" fillId="0" borderId="0" xfId="26" applyFont="1" applyAlignment="1">
      <alignment vertical="center"/>
    </xf>
    <xf numFmtId="0" fontId="90" fillId="0" borderId="0" xfId="26" applyFont="1" applyAlignment="1">
      <alignment vertical="center" wrapText="1"/>
    </xf>
    <xf numFmtId="0" fontId="5" fillId="0" borderId="0" xfId="26"/>
    <xf numFmtId="9" fontId="95" fillId="0" borderId="0" xfId="26" applyNumberFormat="1" applyFont="1" applyAlignment="1">
      <alignment vertical="center"/>
    </xf>
    <xf numFmtId="0" fontId="90" fillId="0" borderId="185" xfId="26" applyFont="1" applyBorder="1" applyAlignment="1">
      <alignment vertical="center"/>
    </xf>
    <xf numFmtId="0" fontId="90" fillId="0" borderId="22" xfId="26" applyFont="1" applyBorder="1" applyAlignment="1">
      <alignment vertical="center"/>
    </xf>
    <xf numFmtId="167" fontId="90" fillId="0" borderId="22" xfId="26" applyNumberFormat="1" applyFont="1" applyBorder="1" applyAlignment="1">
      <alignment vertical="center"/>
    </xf>
    <xf numFmtId="4" fontId="90" fillId="0" borderId="22" xfId="26" applyNumberFormat="1" applyFont="1" applyBorder="1" applyAlignment="1">
      <alignment vertical="center" wrapText="1"/>
    </xf>
    <xf numFmtId="168" fontId="90" fillId="0" borderId="22" xfId="30" applyNumberFormat="1" applyFont="1" applyBorder="1" applyAlignment="1">
      <alignment vertical="center" wrapText="1"/>
    </xf>
    <xf numFmtId="10" fontId="90" fillId="0" borderId="22" xfId="30" applyNumberFormat="1" applyFont="1" applyBorder="1" applyAlignment="1">
      <alignment vertical="center" wrapText="1"/>
    </xf>
    <xf numFmtId="9" fontId="93" fillId="0" borderId="22" xfId="30" applyFont="1" applyBorder="1" applyAlignment="1">
      <alignment vertical="center" wrapText="1"/>
    </xf>
    <xf numFmtId="0" fontId="42" fillId="3" borderId="0" xfId="2" applyFont="1" applyFill="1" applyAlignment="1" applyProtection="1">
      <alignment horizontal="center"/>
      <protection hidden="1"/>
    </xf>
    <xf numFmtId="182" fontId="56" fillId="0" borderId="162" xfId="26" applyNumberFormat="1" applyFont="1" applyBorder="1" applyAlignment="1">
      <alignment vertical="center"/>
    </xf>
    <xf numFmtId="182" fontId="53" fillId="0" borderId="0" xfId="26" applyNumberFormat="1" applyFont="1" applyAlignment="1">
      <alignment vertical="center"/>
    </xf>
    <xf numFmtId="0" fontId="96" fillId="0" borderId="0" xfId="26" applyFont="1" applyAlignment="1">
      <alignment vertical="center"/>
    </xf>
    <xf numFmtId="0" fontId="95" fillId="0" borderId="0" xfId="26" applyFont="1" applyAlignment="1">
      <alignment horizontal="center" vertical="center"/>
    </xf>
    <xf numFmtId="0" fontId="53" fillId="0" borderId="0" xfId="26" applyFont="1" applyAlignment="1">
      <alignment vertical="center"/>
    </xf>
    <xf numFmtId="0" fontId="26" fillId="0" borderId="0" xfId="26" applyFont="1" applyAlignment="1">
      <alignment vertical="center"/>
    </xf>
    <xf numFmtId="0" fontId="26" fillId="0" borderId="162" xfId="26" applyFont="1" applyBorder="1" applyAlignment="1">
      <alignment vertical="center"/>
    </xf>
    <xf numFmtId="0" fontId="97" fillId="0" borderId="0" xfId="26" applyFont="1" applyAlignment="1">
      <alignment horizontal="center" vertical="center"/>
    </xf>
    <xf numFmtId="0" fontId="77" fillId="0" borderId="0" xfId="26" applyFont="1" applyAlignment="1">
      <alignment vertical="center"/>
    </xf>
    <xf numFmtId="0" fontId="77" fillId="0" borderId="162" xfId="26" applyFont="1" applyBorder="1" applyAlignment="1">
      <alignment vertical="center"/>
    </xf>
    <xf numFmtId="9" fontId="96" fillId="0" borderId="0" xfId="26" applyNumberFormat="1" applyFont="1" applyAlignment="1">
      <alignment vertical="center"/>
    </xf>
    <xf numFmtId="9" fontId="96" fillId="0" borderId="0" xfId="26" applyNumberFormat="1" applyFont="1" applyAlignment="1">
      <alignment horizontal="center" vertical="center"/>
    </xf>
    <xf numFmtId="0" fontId="79" fillId="0" borderId="0" xfId="26" applyFont="1" applyAlignment="1">
      <alignment horizontal="center" vertical="center"/>
    </xf>
    <xf numFmtId="9" fontId="79" fillId="0" borderId="0" xfId="26" applyNumberFormat="1" applyFont="1" applyAlignment="1">
      <alignment vertical="center"/>
    </xf>
    <xf numFmtId="9" fontId="98" fillId="0" borderId="0" xfId="26" applyNumberFormat="1" applyFont="1" applyAlignment="1">
      <alignment vertical="center"/>
    </xf>
    <xf numFmtId="9" fontId="98" fillId="0" borderId="162" xfId="26" applyNumberFormat="1" applyFont="1" applyBorder="1" applyAlignment="1">
      <alignment vertical="center"/>
    </xf>
    <xf numFmtId="9" fontId="99" fillId="0" borderId="0" xfId="26" applyNumberFormat="1" applyFont="1" applyAlignment="1">
      <alignment vertical="center"/>
    </xf>
    <xf numFmtId="0" fontId="100" fillId="0" borderId="188" xfId="26" applyFont="1" applyBorder="1" applyAlignment="1">
      <alignment vertical="center"/>
    </xf>
    <xf numFmtId="0" fontId="100" fillId="0" borderId="0" xfId="26" applyFont="1" applyAlignment="1">
      <alignment vertical="center"/>
    </xf>
    <xf numFmtId="4" fontId="100" fillId="0" borderId="0" xfId="26" applyNumberFormat="1" applyFont="1" applyAlignment="1">
      <alignment vertical="center" wrapText="1"/>
    </xf>
    <xf numFmtId="0" fontId="99" fillId="0" borderId="0" xfId="26" applyFont="1" applyAlignment="1">
      <alignment vertical="center"/>
    </xf>
    <xf numFmtId="0" fontId="99" fillId="0" borderId="162" xfId="26" applyFont="1" applyBorder="1" applyAlignment="1">
      <alignment vertical="center"/>
    </xf>
    <xf numFmtId="0" fontId="53" fillId="0" borderId="0" xfId="26" applyFont="1" applyAlignment="1">
      <alignment horizontal="left" vertical="center"/>
    </xf>
    <xf numFmtId="0" fontId="56" fillId="0" borderId="162" xfId="26" applyFont="1" applyBorder="1" applyAlignment="1">
      <alignment vertical="center"/>
    </xf>
    <xf numFmtId="0" fontId="102" fillId="0" borderId="0" xfId="26" applyFont="1"/>
    <xf numFmtId="0" fontId="55" fillId="3" borderId="35" xfId="2" applyFont="1" applyFill="1" applyBorder="1" applyProtection="1">
      <protection hidden="1"/>
    </xf>
    <xf numFmtId="1" fontId="103" fillId="3" borderId="35" xfId="2" applyNumberFormat="1" applyFont="1" applyFill="1" applyBorder="1" applyAlignment="1" applyProtection="1">
      <alignment horizontal="center" vertical="center"/>
      <protection hidden="1"/>
    </xf>
    <xf numFmtId="0" fontId="21" fillId="3" borderId="0" xfId="2" applyFont="1" applyFill="1" applyAlignment="1">
      <alignment horizontal="center"/>
    </xf>
    <xf numFmtId="183" fontId="53" fillId="0" borderId="0" xfId="26" applyNumberFormat="1" applyFont="1" applyAlignment="1">
      <alignment horizontal="center" vertical="center"/>
    </xf>
    <xf numFmtId="0" fontId="55" fillId="3" borderId="35" xfId="2" applyFont="1" applyFill="1" applyBorder="1" applyAlignment="1" applyProtection="1">
      <alignment horizontal="center"/>
      <protection hidden="1"/>
    </xf>
    <xf numFmtId="2" fontId="103" fillId="3" borderId="35" xfId="2" applyNumberFormat="1" applyFont="1" applyFill="1" applyBorder="1" applyAlignment="1" applyProtection="1">
      <alignment horizontal="center" vertical="center"/>
      <protection hidden="1"/>
    </xf>
    <xf numFmtId="0" fontId="47" fillId="0" borderId="0" xfId="26" applyFont="1" applyAlignment="1">
      <alignment vertical="top" wrapText="1"/>
    </xf>
    <xf numFmtId="0" fontId="43" fillId="3" borderId="35" xfId="2" applyFont="1" applyFill="1" applyBorder="1" applyAlignment="1" applyProtection="1">
      <alignment horizontal="center"/>
      <protection hidden="1"/>
    </xf>
    <xf numFmtId="0" fontId="55" fillId="3" borderId="35" xfId="2" applyFont="1" applyFill="1" applyBorder="1" applyAlignment="1" applyProtection="1">
      <alignment horizontal="center" vertical="center"/>
      <protection hidden="1"/>
    </xf>
    <xf numFmtId="184" fontId="59" fillId="0" borderId="0" xfId="30" applyNumberFormat="1" applyFont="1" applyAlignment="1">
      <alignment horizontal="center" vertical="center"/>
    </xf>
    <xf numFmtId="0" fontId="104" fillId="0" borderId="0" xfId="26" applyFont="1" applyAlignment="1">
      <alignment vertical="center"/>
    </xf>
    <xf numFmtId="4" fontId="59" fillId="0" borderId="0" xfId="30" applyNumberFormat="1" applyFont="1" applyAlignment="1">
      <alignment horizontal="center" vertical="center"/>
    </xf>
    <xf numFmtId="4" fontId="59" fillId="0" borderId="0" xfId="26" applyNumberFormat="1" applyFont="1" applyAlignment="1">
      <alignment horizontal="center" vertical="center"/>
    </xf>
    <xf numFmtId="181" fontId="53" fillId="0" borderId="0" xfId="26" applyNumberFormat="1" applyFont="1" applyAlignment="1">
      <alignment horizontal="center" vertical="center"/>
    </xf>
    <xf numFmtId="10" fontId="53" fillId="0" borderId="0" xfId="30" applyNumberFormat="1" applyFont="1" applyAlignment="1">
      <alignment horizontal="center" vertical="center"/>
    </xf>
    <xf numFmtId="0" fontId="56" fillId="0" borderId="185" xfId="26" applyFont="1" applyBorder="1" applyAlignment="1">
      <alignment vertical="center"/>
    </xf>
    <xf numFmtId="0" fontId="56" fillId="0" borderId="22" xfId="26" applyFont="1" applyBorder="1" applyAlignment="1">
      <alignment vertical="center"/>
    </xf>
    <xf numFmtId="0" fontId="100" fillId="0" borderId="22" xfId="26" applyFont="1" applyBorder="1" applyAlignment="1">
      <alignment horizontal="left" vertical="center" indent="1"/>
    </xf>
    <xf numFmtId="4" fontId="100" fillId="0" borderId="22" xfId="26" applyNumberFormat="1" applyFont="1" applyBorder="1" applyAlignment="1">
      <alignment horizontal="right" vertical="center" wrapText="1" indent="1"/>
    </xf>
    <xf numFmtId="0" fontId="56" fillId="0" borderId="187" xfId="26" applyFont="1" applyBorder="1" applyAlignment="1">
      <alignment vertical="center"/>
    </xf>
    <xf numFmtId="0" fontId="100" fillId="0" borderId="0" xfId="26" applyFont="1" applyAlignment="1">
      <alignment horizontal="left" vertical="center" indent="1"/>
    </xf>
    <xf numFmtId="4" fontId="100" fillId="0" borderId="0" xfId="26" applyNumberFormat="1" applyFont="1" applyAlignment="1">
      <alignment horizontal="right" vertical="center" wrapText="1" indent="1"/>
    </xf>
    <xf numFmtId="0" fontId="77" fillId="0" borderId="0" xfId="26" applyFont="1" applyAlignment="1">
      <alignment horizontal="center" vertical="center" textRotation="90"/>
    </xf>
    <xf numFmtId="0" fontId="105" fillId="0" borderId="0" xfId="26" applyFont="1" applyAlignment="1">
      <alignment horizontal="center" vertical="center"/>
    </xf>
    <xf numFmtId="0" fontId="105" fillId="0" borderId="162" xfId="26" applyFont="1" applyBorder="1" applyAlignment="1">
      <alignment horizontal="center" vertical="center"/>
    </xf>
    <xf numFmtId="0" fontId="56" fillId="0" borderId="183" xfId="26" applyFont="1" applyBorder="1" applyAlignment="1">
      <alignment horizontal="center" vertical="center"/>
    </xf>
    <xf numFmtId="0" fontId="56" fillId="0" borderId="127" xfId="26" applyFont="1" applyBorder="1" applyAlignment="1">
      <alignment horizontal="center" vertical="center"/>
    </xf>
    <xf numFmtId="0" fontId="56" fillId="0" borderId="184" xfId="26" applyFont="1" applyBorder="1" applyAlignment="1">
      <alignment horizontal="center" vertical="center"/>
    </xf>
    <xf numFmtId="0" fontId="106" fillId="0" borderId="0" xfId="31" applyFont="1" applyAlignment="1">
      <alignment horizontal="center" vertical="center"/>
    </xf>
    <xf numFmtId="0" fontId="12" fillId="8" borderId="0" xfId="2" applyFont="1" applyFill="1"/>
    <xf numFmtId="0" fontId="107" fillId="0" borderId="0" xfId="31" applyFont="1" applyAlignment="1">
      <alignment vertical="center"/>
    </xf>
    <xf numFmtId="0" fontId="108" fillId="0" borderId="0" xfId="31" applyFont="1"/>
    <xf numFmtId="0" fontId="109" fillId="0" borderId="0" xfId="31" applyFont="1" applyAlignment="1">
      <alignment horizontal="center" vertical="center"/>
    </xf>
    <xf numFmtId="0" fontId="31" fillId="0" borderId="22" xfId="31" applyFont="1" applyBorder="1" applyAlignment="1">
      <alignment vertical="top"/>
    </xf>
    <xf numFmtId="0" fontId="75" fillId="0" borderId="0" xfId="31" applyFont="1" applyAlignment="1">
      <alignment vertical="center"/>
    </xf>
    <xf numFmtId="0" fontId="53" fillId="0" borderId="0" xfId="31" applyFont="1" applyAlignment="1">
      <alignment horizontal="center" vertical="center"/>
    </xf>
    <xf numFmtId="0" fontId="110" fillId="0" borderId="0" xfId="0" applyFont="1" applyAlignment="1">
      <alignment vertical="center"/>
    </xf>
    <xf numFmtId="0" fontId="59" fillId="0" borderId="0" xfId="31" applyFont="1" applyAlignment="1">
      <alignment vertical="top"/>
    </xf>
    <xf numFmtId="0" fontId="59" fillId="0" borderId="0" xfId="31" applyFont="1" applyAlignment="1">
      <alignment vertical="center"/>
    </xf>
    <xf numFmtId="0" fontId="75" fillId="3" borderId="0" xfId="31" applyFont="1" applyFill="1" applyAlignment="1">
      <alignment vertical="center"/>
    </xf>
    <xf numFmtId="0" fontId="111" fillId="0" borderId="188" xfId="31" applyFont="1" applyBorder="1" applyAlignment="1">
      <alignment horizontal="center" vertical="center"/>
    </xf>
    <xf numFmtId="179" fontId="111" fillId="0" borderId="162" xfId="31" applyNumberFormat="1" applyFont="1" applyBorder="1" applyAlignment="1">
      <alignment horizontal="center" vertical="center" wrapText="1"/>
    </xf>
    <xf numFmtId="178" fontId="111" fillId="6" borderId="26" xfId="31" applyNumberFormat="1" applyFont="1" applyFill="1" applyBorder="1" applyAlignment="1">
      <alignment horizontal="center" vertical="center" wrapText="1"/>
    </xf>
    <xf numFmtId="0" fontId="111" fillId="6" borderId="26" xfId="31" applyFont="1" applyFill="1" applyBorder="1" applyAlignment="1">
      <alignment horizontal="center" vertical="center" wrapText="1"/>
    </xf>
    <xf numFmtId="0" fontId="111" fillId="6" borderId="70" xfId="31" applyFont="1" applyFill="1" applyBorder="1" applyAlignment="1">
      <alignment horizontal="center" vertical="center" wrapText="1"/>
    </xf>
    <xf numFmtId="0" fontId="113" fillId="0" borderId="0" xfId="31" applyFont="1" applyAlignment="1">
      <alignment horizontal="center"/>
    </xf>
    <xf numFmtId="0" fontId="114" fillId="0" borderId="188" xfId="31" applyFont="1" applyBorder="1" applyAlignment="1">
      <alignment horizontal="center" vertical="center"/>
    </xf>
    <xf numFmtId="0" fontId="18" fillId="0" borderId="25" xfId="31" applyFont="1" applyBorder="1" applyAlignment="1">
      <alignment vertical="center"/>
    </xf>
    <xf numFmtId="0" fontId="18" fillId="0" borderId="26" xfId="31" applyFont="1" applyBorder="1" applyAlignment="1">
      <alignment vertical="center"/>
    </xf>
    <xf numFmtId="0" fontId="18" fillId="0" borderId="26" xfId="31" applyFont="1" applyBorder="1" applyAlignment="1">
      <alignment horizontal="right" vertical="center"/>
    </xf>
    <xf numFmtId="0" fontId="115" fillId="0" borderId="162" xfId="31" applyFont="1" applyBorder="1" applyAlignment="1">
      <alignment vertical="center"/>
    </xf>
    <xf numFmtId="0" fontId="116" fillId="0" borderId="0" xfId="31" applyFont="1" applyAlignment="1">
      <alignment vertical="center"/>
    </xf>
    <xf numFmtId="0" fontId="12" fillId="7" borderId="0" xfId="2" applyFont="1" applyFill="1"/>
    <xf numFmtId="0" fontId="55" fillId="8" borderId="0" xfId="2" applyFont="1" applyFill="1" applyProtection="1">
      <protection hidden="1"/>
    </xf>
    <xf numFmtId="0" fontId="18" fillId="0" borderId="19" xfId="31" applyFont="1" applyBorder="1" applyAlignment="1">
      <alignment vertical="center"/>
    </xf>
    <xf numFmtId="0" fontId="18" fillId="0" borderId="19" xfId="31" applyFont="1" applyBorder="1" applyAlignment="1">
      <alignment horizontal="right" vertical="center"/>
    </xf>
    <xf numFmtId="0" fontId="18" fillId="0" borderId="1" xfId="31" applyFont="1" applyBorder="1" applyAlignment="1">
      <alignment vertical="center"/>
    </xf>
    <xf numFmtId="0" fontId="18" fillId="0" borderId="1" xfId="31" applyFont="1" applyBorder="1" applyAlignment="1">
      <alignment horizontal="right" vertical="center"/>
    </xf>
    <xf numFmtId="174" fontId="60" fillId="0" borderId="162" xfId="31" quotePrefix="1" applyNumberFormat="1" applyFont="1" applyBorder="1" applyAlignment="1">
      <alignment vertical="center"/>
    </xf>
    <xf numFmtId="181" fontId="109" fillId="0" borderId="0" xfId="31" applyNumberFormat="1" applyFont="1" applyAlignment="1">
      <alignment vertical="center"/>
    </xf>
    <xf numFmtId="2" fontId="115" fillId="0" borderId="162" xfId="31" applyNumberFormat="1" applyFont="1" applyBorder="1" applyAlignment="1">
      <alignment vertical="center"/>
    </xf>
    <xf numFmtId="2" fontId="116" fillId="0" borderId="0" xfId="31" applyNumberFormat="1" applyFont="1" applyAlignment="1">
      <alignment vertical="center"/>
    </xf>
    <xf numFmtId="0" fontId="106" fillId="8" borderId="0" xfId="31" applyFont="1" applyFill="1" applyAlignment="1">
      <alignment horizontal="center" vertical="center"/>
    </xf>
    <xf numFmtId="0" fontId="109" fillId="0" borderId="0" xfId="31" applyFont="1" applyAlignment="1">
      <alignment vertical="center" wrapText="1"/>
    </xf>
    <xf numFmtId="2" fontId="116" fillId="0" borderId="0" xfId="31" quotePrefix="1" applyNumberFormat="1" applyFont="1" applyAlignment="1">
      <alignment vertical="center"/>
    </xf>
    <xf numFmtId="0" fontId="18" fillId="0" borderId="71" xfId="31" applyFont="1" applyBorder="1" applyAlignment="1">
      <alignment vertical="center"/>
    </xf>
    <xf numFmtId="0" fontId="18" fillId="0" borderId="71" xfId="31" applyFont="1" applyBorder="1" applyAlignment="1">
      <alignment horizontal="right" vertical="center"/>
    </xf>
    <xf numFmtId="0" fontId="18" fillId="6" borderId="26" xfId="31" applyFont="1" applyFill="1" applyBorder="1" applyAlignment="1">
      <alignment vertical="center"/>
    </xf>
    <xf numFmtId="0" fontId="55" fillId="8" borderId="0" xfId="2" applyFont="1" applyFill="1" applyAlignment="1" applyProtection="1">
      <alignment horizontal="right"/>
      <protection hidden="1"/>
    </xf>
    <xf numFmtId="0" fontId="94" fillId="0" borderId="162" xfId="31" applyFont="1" applyBorder="1"/>
    <xf numFmtId="0" fontId="5" fillId="0" borderId="0" xfId="31"/>
    <xf numFmtId="0" fontId="109" fillId="0" borderId="0" xfId="31" applyFont="1" applyAlignment="1">
      <alignment vertical="center"/>
    </xf>
    <xf numFmtId="0" fontId="89" fillId="0" borderId="0" xfId="31" applyFont="1" applyAlignment="1">
      <alignment vertical="center"/>
    </xf>
    <xf numFmtId="2" fontId="12" fillId="8" borderId="0" xfId="2" applyNumberFormat="1" applyFont="1" applyFill="1"/>
    <xf numFmtId="9" fontId="25" fillId="0" borderId="162" xfId="31" applyNumberFormat="1" applyFont="1" applyBorder="1" applyAlignment="1">
      <alignment vertical="center"/>
    </xf>
    <xf numFmtId="9" fontId="118" fillId="0" borderId="0" xfId="31" applyNumberFormat="1" applyFont="1" applyAlignment="1">
      <alignment vertical="center"/>
    </xf>
    <xf numFmtId="0" fontId="42" fillId="8" borderId="0" xfId="2" applyFont="1" applyFill="1" applyAlignment="1" applyProtection="1">
      <alignment horizontal="center"/>
      <protection hidden="1"/>
    </xf>
    <xf numFmtId="0" fontId="119" fillId="0" borderId="188" xfId="31" applyFont="1" applyBorder="1" applyAlignment="1">
      <alignment vertical="center"/>
    </xf>
    <xf numFmtId="182" fontId="114" fillId="0" borderId="162" xfId="31" applyNumberFormat="1" applyFont="1" applyBorder="1" applyAlignment="1">
      <alignment vertical="center"/>
    </xf>
    <xf numFmtId="182" fontId="106" fillId="0" borderId="0" xfId="31" applyNumberFormat="1" applyFont="1" applyAlignment="1">
      <alignment vertical="center"/>
    </xf>
    <xf numFmtId="0" fontId="121" fillId="0" borderId="188" xfId="31" applyFont="1" applyBorder="1" applyAlignment="1">
      <alignment vertical="center"/>
    </xf>
    <xf numFmtId="0" fontId="121" fillId="0" borderId="162" xfId="31" applyFont="1" applyBorder="1" applyAlignment="1">
      <alignment vertical="center"/>
    </xf>
    <xf numFmtId="0" fontId="122" fillId="0" borderId="0" xfId="31" applyFont="1" applyAlignment="1">
      <alignment vertical="center"/>
    </xf>
    <xf numFmtId="0" fontId="118" fillId="0" borderId="0" xfId="31" applyFont="1" applyAlignment="1">
      <alignment horizontal="center" vertical="center"/>
    </xf>
    <xf numFmtId="0" fontId="106" fillId="0" borderId="0" xfId="31" applyFont="1" applyAlignment="1">
      <alignment vertical="center"/>
    </xf>
    <xf numFmtId="0" fontId="12" fillId="8" borderId="0" xfId="2" applyFont="1" applyFill="1" applyAlignment="1">
      <alignment horizontal="right"/>
    </xf>
    <xf numFmtId="0" fontId="25" fillId="0" borderId="162" xfId="31" applyFont="1" applyBorder="1" applyAlignment="1">
      <alignment vertical="center"/>
    </xf>
    <xf numFmtId="0" fontId="27" fillId="8" borderId="0" xfId="2" applyFont="1" applyFill="1"/>
    <xf numFmtId="9" fontId="122" fillId="0" borderId="0" xfId="31" applyNumberFormat="1" applyFont="1" applyAlignment="1">
      <alignment horizontal="center" vertical="center"/>
    </xf>
    <xf numFmtId="0" fontId="18" fillId="0" borderId="188" xfId="2" applyFont="1" applyBorder="1" applyProtection="1">
      <protection hidden="1"/>
    </xf>
    <xf numFmtId="9" fontId="123" fillId="0" borderId="162" xfId="31" applyNumberFormat="1" applyFont="1" applyBorder="1" applyAlignment="1">
      <alignment vertical="center"/>
    </xf>
    <xf numFmtId="0" fontId="124" fillId="8" borderId="0" xfId="2" applyFont="1" applyFill="1" applyAlignment="1">
      <alignment horizontal="center" vertical="center"/>
    </xf>
    <xf numFmtId="0" fontId="114" fillId="0" borderId="188" xfId="31" applyFont="1" applyBorder="1" applyAlignment="1">
      <alignment vertical="center"/>
    </xf>
    <xf numFmtId="0" fontId="126" fillId="8" borderId="35" xfId="2" applyFont="1" applyFill="1" applyBorder="1"/>
    <xf numFmtId="0" fontId="124" fillId="8" borderId="35" xfId="2" applyFont="1" applyFill="1" applyBorder="1" applyAlignment="1">
      <alignment horizontal="center"/>
    </xf>
    <xf numFmtId="0" fontId="127" fillId="0" borderId="35" xfId="31" applyFont="1" applyBorder="1" applyAlignment="1">
      <alignment vertical="center"/>
    </xf>
    <xf numFmtId="0" fontId="127" fillId="0" borderId="0" xfId="31" applyFont="1" applyAlignment="1">
      <alignment vertical="center"/>
    </xf>
    <xf numFmtId="0" fontId="128" fillId="8" borderId="35" xfId="2" applyFont="1" applyFill="1" applyBorder="1" applyAlignment="1">
      <alignment vertical="center"/>
    </xf>
    <xf numFmtId="3" fontId="124" fillId="8" borderId="35" xfId="2" applyNumberFormat="1" applyFont="1" applyFill="1" applyBorder="1" applyAlignment="1">
      <alignment horizontal="center" vertical="center"/>
    </xf>
    <xf numFmtId="0" fontId="129" fillId="0" borderId="35" xfId="31" applyFont="1" applyBorder="1" applyAlignment="1">
      <alignment vertical="center"/>
    </xf>
    <xf numFmtId="0" fontId="129" fillId="0" borderId="0" xfId="31" applyFont="1" applyAlignment="1">
      <alignment vertical="center"/>
    </xf>
    <xf numFmtId="0" fontId="114" fillId="0" borderId="162" xfId="31" applyFont="1" applyBorder="1" applyAlignment="1">
      <alignment vertical="center"/>
    </xf>
    <xf numFmtId="3" fontId="13" fillId="8" borderId="35" xfId="2" applyNumberFormat="1" applyFont="1" applyFill="1" applyBorder="1" applyAlignment="1">
      <alignment horizontal="center" vertical="center"/>
    </xf>
    <xf numFmtId="0" fontId="103" fillId="0" borderId="35" xfId="31" applyFont="1" applyBorder="1" applyAlignment="1">
      <alignment horizontal="center" vertical="center"/>
    </xf>
    <xf numFmtId="0" fontId="103" fillId="0" borderId="0" xfId="31" applyFont="1" applyAlignment="1">
      <alignment horizontal="center" vertical="center"/>
    </xf>
    <xf numFmtId="0" fontId="106" fillId="0" borderId="0" xfId="31" applyFont="1" applyAlignment="1">
      <alignment horizontal="left" vertical="center"/>
    </xf>
    <xf numFmtId="0" fontId="130" fillId="0" borderId="162" xfId="31" applyFont="1" applyBorder="1"/>
    <xf numFmtId="0" fontId="131" fillId="0" borderId="0" xfId="31" applyFont="1"/>
    <xf numFmtId="0" fontId="124" fillId="8" borderId="35" xfId="2" applyFont="1" applyFill="1" applyBorder="1" applyAlignment="1">
      <alignment horizontal="center" vertical="center"/>
    </xf>
    <xf numFmtId="183" fontId="106" fillId="0" borderId="0" xfId="31" applyNumberFormat="1" applyFont="1" applyAlignment="1">
      <alignment horizontal="center" vertical="center"/>
    </xf>
    <xf numFmtId="0" fontId="30" fillId="8" borderId="0" xfId="2" applyFont="1" applyFill="1" applyAlignment="1">
      <alignment horizontal="center"/>
    </xf>
    <xf numFmtId="0" fontId="21" fillId="8" borderId="0" xfId="2" applyFont="1" applyFill="1" applyAlignment="1">
      <alignment horizontal="center"/>
    </xf>
    <xf numFmtId="0" fontId="112" fillId="0" borderId="162" xfId="31" applyFont="1" applyBorder="1" applyAlignment="1">
      <alignment vertical="top" wrapText="1"/>
    </xf>
    <xf numFmtId="0" fontId="113" fillId="0" borderId="0" xfId="31" applyFont="1" applyAlignment="1">
      <alignment vertical="top" wrapText="1"/>
    </xf>
    <xf numFmtId="0" fontId="13" fillId="8" borderId="35" xfId="2" applyFont="1" applyFill="1" applyBorder="1" applyAlignment="1">
      <alignment horizontal="center" vertical="center"/>
    </xf>
    <xf numFmtId="2" fontId="124" fillId="8" borderId="35" xfId="2" applyNumberFormat="1" applyFont="1" applyFill="1" applyBorder="1" applyAlignment="1">
      <alignment horizontal="center" vertical="center"/>
    </xf>
    <xf numFmtId="184" fontId="109" fillId="0" borderId="0" xfId="11" applyNumberFormat="1" applyFont="1" applyAlignment="1">
      <alignment horizontal="center" vertical="center"/>
    </xf>
    <xf numFmtId="0" fontId="12" fillId="8" borderId="35" xfId="2" applyFont="1" applyFill="1" applyBorder="1" applyAlignment="1">
      <alignment vertical="center"/>
    </xf>
    <xf numFmtId="0" fontId="113" fillId="0" borderId="35" xfId="31" applyFont="1" applyBorder="1" applyAlignment="1">
      <alignment horizontal="center" vertical="center"/>
    </xf>
    <xf numFmtId="0" fontId="113" fillId="0" borderId="0" xfId="31" applyFont="1" applyAlignment="1">
      <alignment horizontal="center" vertical="center"/>
    </xf>
    <xf numFmtId="0" fontId="12" fillId="8" borderId="0" xfId="2" applyFont="1" applyFill="1" applyAlignment="1">
      <alignment vertical="center"/>
    </xf>
    <xf numFmtId="0" fontId="18" fillId="8" borderId="188" xfId="2" applyFont="1" applyFill="1" applyBorder="1"/>
    <xf numFmtId="0" fontId="18" fillId="8" borderId="162" xfId="2" applyFont="1" applyFill="1" applyBorder="1"/>
    <xf numFmtId="0" fontId="45" fillId="0" borderId="0" xfId="31" applyFont="1" applyAlignment="1">
      <alignment vertical="center"/>
    </xf>
    <xf numFmtId="0" fontId="114" fillId="0" borderId="183" xfId="31" applyFont="1" applyBorder="1" applyAlignment="1">
      <alignment horizontal="center" vertical="center"/>
    </xf>
    <xf numFmtId="0" fontId="114" fillId="0" borderId="127" xfId="31" applyFont="1" applyBorder="1" applyAlignment="1">
      <alignment horizontal="center" vertical="center"/>
    </xf>
    <xf numFmtId="0" fontId="114" fillId="0" borderId="184" xfId="31" applyFont="1" applyBorder="1" applyAlignment="1">
      <alignment horizontal="center" vertical="center"/>
    </xf>
    <xf numFmtId="2" fontId="35" fillId="0" borderId="225" xfId="16" applyNumberFormat="1" applyFont="1" applyBorder="1"/>
    <xf numFmtId="0" fontId="53" fillId="0" borderId="0" xfId="12" applyFont="1" applyAlignment="1">
      <alignment horizontal="center" vertical="center"/>
    </xf>
    <xf numFmtId="0" fontId="53" fillId="0" borderId="0" xfId="12" applyFont="1" applyAlignment="1">
      <alignment horizontal="left" vertical="center"/>
    </xf>
    <xf numFmtId="174" fontId="53" fillId="0" borderId="0" xfId="12" applyNumberFormat="1" applyFont="1" applyAlignment="1">
      <alignment horizontal="center" vertical="center"/>
    </xf>
    <xf numFmtId="0" fontId="26" fillId="0" borderId="22" xfId="38" applyFont="1" applyBorder="1" applyAlignment="1">
      <alignment vertical="center" wrapText="1"/>
    </xf>
    <xf numFmtId="0" fontId="26" fillId="0" borderId="69" xfId="38" applyFont="1" applyBorder="1" applyAlignment="1">
      <alignment vertical="center" wrapText="1"/>
    </xf>
    <xf numFmtId="0" fontId="26" fillId="0" borderId="26" xfId="38" applyFont="1" applyBorder="1" applyAlignment="1">
      <alignment vertical="center"/>
    </xf>
    <xf numFmtId="0" fontId="26" fillId="0" borderId="70" xfId="38" applyFont="1" applyBorder="1" applyAlignment="1">
      <alignment vertical="center"/>
    </xf>
    <xf numFmtId="0" fontId="23" fillId="0" borderId="0" xfId="37" applyFont="1" applyAlignment="1">
      <alignment vertical="center" wrapText="1"/>
    </xf>
    <xf numFmtId="185" fontId="37" fillId="0" borderId="149" xfId="16" applyNumberFormat="1" applyFont="1" applyBorder="1" applyAlignment="1">
      <alignment horizontal="center" vertical="center" wrapText="1"/>
    </xf>
    <xf numFmtId="172" fontId="46" fillId="0" borderId="148" xfId="16" applyNumberFormat="1" applyFont="1" applyBorder="1" applyAlignment="1">
      <alignment horizontal="center" vertical="center" wrapText="1"/>
    </xf>
    <xf numFmtId="1" fontId="37" fillId="0" borderId="148" xfId="16" applyNumberFormat="1" applyFont="1" applyBorder="1" applyAlignment="1">
      <alignment horizontal="center" vertical="center" wrapText="1"/>
    </xf>
    <xf numFmtId="185" fontId="37" fillId="0" borderId="141" xfId="16" applyNumberFormat="1" applyFont="1" applyBorder="1" applyAlignment="1">
      <alignment horizontal="center" vertical="center" wrapText="1"/>
    </xf>
    <xf numFmtId="172" fontId="46" fillId="0" borderId="140" xfId="16" applyNumberFormat="1" applyFont="1" applyBorder="1" applyAlignment="1">
      <alignment horizontal="center" vertical="center" wrapText="1"/>
    </xf>
    <xf numFmtId="1" fontId="37" fillId="0" borderId="140" xfId="16" applyNumberFormat="1" applyFont="1" applyBorder="1" applyAlignment="1">
      <alignment horizontal="center" vertical="center" wrapText="1"/>
    </xf>
    <xf numFmtId="0" fontId="21" fillId="6" borderId="115" xfId="2" applyFont="1" applyFill="1" applyBorder="1" applyAlignment="1">
      <alignment vertical="center"/>
    </xf>
    <xf numFmtId="0" fontId="21" fillId="6" borderId="111" xfId="2" applyFont="1" applyFill="1" applyBorder="1" applyAlignment="1">
      <alignment vertical="center"/>
    </xf>
    <xf numFmtId="0" fontId="132" fillId="6" borderId="115" xfId="2" applyFont="1" applyFill="1" applyBorder="1" applyAlignment="1">
      <alignment vertical="center"/>
    </xf>
    <xf numFmtId="0" fontId="132" fillId="6" borderId="111" xfId="2" applyFont="1" applyFill="1" applyBorder="1" applyAlignment="1">
      <alignment vertical="center"/>
    </xf>
    <xf numFmtId="0" fontId="21" fillId="6" borderId="0" xfId="2" applyFont="1" applyFill="1" applyAlignment="1">
      <alignment vertical="center"/>
    </xf>
    <xf numFmtId="0" fontId="21" fillId="6" borderId="99" xfId="2" applyFont="1" applyFill="1" applyBorder="1" applyAlignment="1">
      <alignment vertical="center"/>
    </xf>
    <xf numFmtId="0" fontId="132" fillId="6" borderId="0" xfId="2" applyFont="1" applyFill="1" applyAlignment="1">
      <alignment vertical="center"/>
    </xf>
    <xf numFmtId="0" fontId="132" fillId="6" borderId="99" xfId="2" applyFont="1" applyFill="1" applyBorder="1" applyAlignment="1">
      <alignment vertical="center"/>
    </xf>
    <xf numFmtId="0" fontId="21" fillId="6" borderId="116" xfId="2" applyFont="1" applyFill="1" applyBorder="1" applyAlignment="1">
      <alignment vertical="center"/>
    </xf>
    <xf numFmtId="0" fontId="21" fillId="6" borderId="114" xfId="2" applyFont="1" applyFill="1" applyBorder="1" applyAlignment="1">
      <alignment vertical="center"/>
    </xf>
    <xf numFmtId="0" fontId="132" fillId="6" borderId="116" xfId="2" applyFont="1" applyFill="1" applyBorder="1" applyAlignment="1">
      <alignment vertical="center"/>
    </xf>
    <xf numFmtId="0" fontId="132" fillId="6" borderId="114" xfId="2" applyFont="1" applyFill="1" applyBorder="1" applyAlignment="1">
      <alignment vertical="center"/>
    </xf>
    <xf numFmtId="0" fontId="21" fillId="6" borderId="107" xfId="2" applyFont="1" applyFill="1" applyBorder="1" applyAlignment="1">
      <alignment horizontal="center" vertical="center"/>
    </xf>
    <xf numFmtId="0" fontId="21" fillId="6" borderId="35" xfId="2" applyFont="1" applyFill="1" applyBorder="1" applyAlignment="1">
      <alignment horizontal="center" vertical="center"/>
    </xf>
    <xf numFmtId="0" fontId="21" fillId="6" borderId="101" xfId="2" applyFont="1" applyFill="1" applyBorder="1" applyAlignment="1">
      <alignment horizontal="center" vertical="center" wrapText="1"/>
    </xf>
    <xf numFmtId="9" fontId="15" fillId="0" borderId="219" xfId="1" applyBorder="1" applyAlignment="1">
      <alignment horizontal="center" vertical="center"/>
    </xf>
    <xf numFmtId="0" fontId="15" fillId="0" borderId="31" xfId="2" applyBorder="1" applyAlignment="1">
      <alignment vertical="center"/>
    </xf>
    <xf numFmtId="9" fontId="15" fillId="0" borderId="101" xfId="1" applyBorder="1" applyAlignment="1">
      <alignment vertical="center"/>
    </xf>
    <xf numFmtId="0" fontId="15" fillId="0" borderId="27" xfId="2" applyBorder="1" applyAlignment="1">
      <alignment vertical="center"/>
    </xf>
    <xf numFmtId="9" fontId="15" fillId="0" borderId="35" xfId="1" applyBorder="1" applyAlignment="1">
      <alignment vertical="center"/>
    </xf>
    <xf numFmtId="0" fontId="15" fillId="0" borderId="103" xfId="2" applyBorder="1" applyAlignment="1">
      <alignment vertical="center"/>
    </xf>
    <xf numFmtId="9" fontId="15" fillId="0" borderId="104" xfId="1" applyBorder="1" applyAlignment="1">
      <alignment vertical="center"/>
    </xf>
    <xf numFmtId="0" fontId="132" fillId="3" borderId="0" xfId="2" applyFont="1" applyFill="1" applyAlignment="1">
      <alignment vertical="center"/>
    </xf>
    <xf numFmtId="0" fontId="21" fillId="6" borderId="231" xfId="2" applyFont="1" applyFill="1" applyBorder="1" applyAlignment="1">
      <alignment horizontal="center" vertical="center" wrapText="1"/>
    </xf>
    <xf numFmtId="0" fontId="21" fillId="6" borderId="232" xfId="2" applyFont="1" applyFill="1" applyBorder="1" applyAlignment="1">
      <alignment horizontal="center" vertical="center" wrapText="1"/>
    </xf>
    <xf numFmtId="168" fontId="124" fillId="0" borderId="14" xfId="0" applyNumberFormat="1" applyFont="1" applyBorder="1" applyAlignment="1">
      <alignment horizontal="center" vertical="center" wrapText="1"/>
    </xf>
    <xf numFmtId="0" fontId="13" fillId="0" borderId="14" xfId="0" applyFont="1" applyBorder="1" applyAlignment="1">
      <alignment vertical="center" wrapText="1"/>
    </xf>
    <xf numFmtId="0" fontId="13" fillId="0" borderId="15" xfId="0" applyFont="1" applyBorder="1" applyAlignment="1">
      <alignment vertical="center" wrapText="1"/>
    </xf>
    <xf numFmtId="0" fontId="13" fillId="0" borderId="237" xfId="0" applyFont="1" applyBorder="1" applyAlignment="1">
      <alignment vertical="center" wrapText="1"/>
    </xf>
    <xf numFmtId="0" fontId="13" fillId="0" borderId="240" xfId="0" applyFont="1" applyBorder="1" applyAlignment="1">
      <alignment vertical="center" wrapText="1"/>
    </xf>
    <xf numFmtId="0" fontId="13" fillId="0" borderId="16" xfId="0" applyFont="1" applyBorder="1" applyAlignment="1">
      <alignment vertical="center" wrapText="1"/>
    </xf>
    <xf numFmtId="0" fontId="13" fillId="0" borderId="17" xfId="0" applyFont="1" applyBorder="1" applyAlignment="1">
      <alignment vertical="center" wrapText="1"/>
    </xf>
    <xf numFmtId="0" fontId="21" fillId="6" borderId="35" xfId="2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21" fillId="0" borderId="0" xfId="2" applyFont="1" applyAlignment="1">
      <alignment horizontal="center" vertical="center"/>
    </xf>
    <xf numFmtId="0" fontId="15" fillId="0" borderId="0" xfId="2" applyAlignment="1">
      <alignment horizontal="center" vertical="center" wrapText="1"/>
    </xf>
    <xf numFmtId="166" fontId="136" fillId="0" borderId="0" xfId="5" applyFont="1"/>
    <xf numFmtId="166" fontId="143" fillId="0" borderId="0" xfId="5" applyFont="1"/>
    <xf numFmtId="170" fontId="136" fillId="0" borderId="0" xfId="6" applyFont="1"/>
    <xf numFmtId="166" fontId="136" fillId="0" borderId="50" xfId="5" applyFont="1" applyBorder="1"/>
    <xf numFmtId="166" fontId="136" fillId="0" borderId="51" xfId="5" applyFont="1" applyBorder="1"/>
    <xf numFmtId="170" fontId="136" fillId="0" borderId="0" xfId="8" applyFont="1" applyAlignment="1">
      <alignment horizontal="left" vertical="center"/>
    </xf>
    <xf numFmtId="170" fontId="136" fillId="0" borderId="0" xfId="8" applyFont="1" applyAlignment="1">
      <alignment horizontal="left"/>
    </xf>
    <xf numFmtId="166" fontId="135" fillId="0" borderId="35" xfId="5" applyFont="1" applyBorder="1" applyAlignment="1">
      <alignment horizontal="center"/>
    </xf>
    <xf numFmtId="166" fontId="136" fillId="0" borderId="0" xfId="5" applyFont="1" applyAlignment="1">
      <alignment horizontal="center"/>
    </xf>
    <xf numFmtId="172" fontId="141" fillId="0" borderId="37" xfId="5" applyNumberFormat="1" applyFont="1" applyBorder="1"/>
    <xf numFmtId="172" fontId="141" fillId="0" borderId="38" xfId="5" applyNumberFormat="1" applyFont="1" applyBorder="1"/>
    <xf numFmtId="1" fontId="141" fillId="0" borderId="0" xfId="5" applyNumberFormat="1" applyFont="1"/>
    <xf numFmtId="172" fontId="141" fillId="0" borderId="5" xfId="5" applyNumberFormat="1" applyFont="1" applyBorder="1"/>
    <xf numFmtId="172" fontId="141" fillId="0" borderId="39" xfId="5" applyNumberFormat="1" applyFont="1" applyBorder="1"/>
    <xf numFmtId="172" fontId="146" fillId="0" borderId="5" xfId="5" applyNumberFormat="1" applyFont="1" applyBorder="1" applyProtection="1">
      <protection locked="0"/>
    </xf>
    <xf numFmtId="172" fontId="146" fillId="0" borderId="39" xfId="5" applyNumberFormat="1" applyFont="1" applyBorder="1" applyProtection="1">
      <protection locked="0"/>
    </xf>
    <xf numFmtId="1" fontId="146" fillId="0" borderId="0" xfId="5" applyNumberFormat="1" applyFont="1" applyProtection="1">
      <protection locked="0"/>
    </xf>
    <xf numFmtId="166" fontId="146" fillId="0" borderId="5" xfId="5" applyFont="1" applyBorder="1" applyProtection="1">
      <protection locked="0"/>
    </xf>
    <xf numFmtId="166" fontId="146" fillId="0" borderId="39" xfId="5" applyFont="1" applyBorder="1" applyProtection="1">
      <protection locked="0"/>
    </xf>
    <xf numFmtId="166" fontId="135" fillId="0" borderId="25" xfId="5" applyFont="1" applyBorder="1" applyAlignment="1">
      <alignment horizontal="centerContinuous"/>
    </xf>
    <xf numFmtId="170" fontId="135" fillId="0" borderId="55" xfId="6" applyFont="1" applyBorder="1" applyAlignment="1">
      <alignment horizontal="centerContinuous"/>
    </xf>
    <xf numFmtId="173" fontId="146" fillId="0" borderId="5" xfId="5" applyNumberFormat="1" applyFont="1" applyBorder="1"/>
    <xf numFmtId="173" fontId="146" fillId="0" borderId="39" xfId="5" applyNumberFormat="1" applyFont="1" applyBorder="1"/>
    <xf numFmtId="174" fontId="146" fillId="5" borderId="5" xfId="5" applyNumberFormat="1" applyFont="1" applyFill="1" applyBorder="1"/>
    <xf numFmtId="174" fontId="146" fillId="5" borderId="39" xfId="5" applyNumberFormat="1" applyFont="1" applyFill="1" applyBorder="1"/>
    <xf numFmtId="173" fontId="148" fillId="0" borderId="0" xfId="5" applyNumberFormat="1" applyFont="1"/>
    <xf numFmtId="166" fontId="149" fillId="0" borderId="42" xfId="5" applyFont="1" applyBorder="1" applyAlignment="1">
      <alignment horizontal="center"/>
    </xf>
    <xf numFmtId="173" fontId="146" fillId="0" borderId="42" xfId="5" applyNumberFormat="1" applyFont="1" applyBorder="1"/>
    <xf numFmtId="173" fontId="146" fillId="0" borderId="43" xfId="5" applyNumberFormat="1" applyFont="1" applyBorder="1"/>
    <xf numFmtId="173" fontId="146" fillId="0" borderId="80" xfId="5" applyNumberFormat="1" applyFont="1" applyBorder="1"/>
    <xf numFmtId="170" fontId="136" fillId="0" borderId="51" xfId="6" applyFont="1" applyBorder="1"/>
    <xf numFmtId="173" fontId="146" fillId="5" borderId="83" xfId="5" applyNumberFormat="1" applyFont="1" applyFill="1" applyBorder="1"/>
    <xf numFmtId="173" fontId="146" fillId="0" borderId="83" xfId="5" applyNumberFormat="1" applyFont="1" applyBorder="1"/>
    <xf numFmtId="173" fontId="146" fillId="5" borderId="85" xfId="5" applyNumberFormat="1" applyFont="1" applyFill="1" applyBorder="1"/>
    <xf numFmtId="166" fontId="136" fillId="5" borderId="86" xfId="5" applyFont="1" applyFill="1" applyBorder="1" applyAlignment="1">
      <alignment horizontal="center" vertical="center"/>
    </xf>
    <xf numFmtId="166" fontId="136" fillId="5" borderId="87" xfId="5" applyFont="1" applyFill="1" applyBorder="1"/>
    <xf numFmtId="170" fontId="141" fillId="0" borderId="0" xfId="5" applyNumberFormat="1" applyFont="1" applyProtection="1">
      <protection locked="0"/>
    </xf>
    <xf numFmtId="166" fontId="149" fillId="0" borderId="50" xfId="5" applyFont="1" applyBorder="1"/>
    <xf numFmtId="166" fontId="149" fillId="0" borderId="0" xfId="5" applyFont="1"/>
    <xf numFmtId="0" fontId="136" fillId="0" borderId="0" xfId="3" applyFont="1" applyAlignment="1">
      <alignment vertical="center"/>
    </xf>
    <xf numFmtId="0" fontId="136" fillId="0" borderId="12" xfId="3" applyFont="1" applyBorder="1" applyAlignment="1">
      <alignment vertical="center"/>
    </xf>
    <xf numFmtId="166" fontId="136" fillId="0" borderId="62" xfId="5" applyFont="1" applyBorder="1"/>
    <xf numFmtId="166" fontId="136" fillId="0" borderId="63" xfId="5" applyFont="1" applyBorder="1"/>
    <xf numFmtId="166" fontId="136" fillId="0" borderId="64" xfId="5" applyFont="1" applyBorder="1"/>
    <xf numFmtId="170" fontId="140" fillId="0" borderId="0" xfId="6" applyFont="1"/>
    <xf numFmtId="170" fontId="142" fillId="0" borderId="0" xfId="6" applyFont="1"/>
    <xf numFmtId="170" fontId="142" fillId="0" borderId="0" xfId="6" applyFont="1" applyAlignment="1">
      <alignment horizontal="left"/>
    </xf>
    <xf numFmtId="0" fontId="118" fillId="0" borderId="0" xfId="31" applyFont="1" applyAlignment="1">
      <alignment horizontal="center" vertical="center"/>
    </xf>
    <xf numFmtId="9" fontId="122" fillId="0" borderId="0" xfId="31" applyNumberFormat="1" applyFont="1" applyAlignment="1">
      <alignment horizontal="center" vertical="center"/>
    </xf>
    <xf numFmtId="0" fontId="21" fillId="8" borderId="0" xfId="2" applyFont="1" applyFill="1" applyAlignment="1">
      <alignment horizontal="center"/>
    </xf>
    <xf numFmtId="0" fontId="117" fillId="0" borderId="208" xfId="26" applyFont="1" applyBorder="1" applyAlignment="1">
      <alignment vertical="center" wrapText="1"/>
    </xf>
    <xf numFmtId="0" fontId="117" fillId="0" borderId="211" xfId="26" applyFont="1" applyBorder="1" applyAlignment="1">
      <alignment vertical="center" wrapText="1"/>
    </xf>
    <xf numFmtId="0" fontId="111" fillId="0" borderId="0" xfId="31" applyFont="1" applyBorder="1" applyAlignment="1">
      <alignment horizontal="center" vertical="center"/>
    </xf>
    <xf numFmtId="178" fontId="111" fillId="0" borderId="0" xfId="31" applyNumberFormat="1" applyFont="1" applyBorder="1" applyAlignment="1">
      <alignment horizontal="center" vertical="center" wrapText="1"/>
    </xf>
    <xf numFmtId="179" fontId="111" fillId="0" borderId="0" xfId="31" applyNumberFormat="1" applyFont="1" applyBorder="1" applyAlignment="1">
      <alignment horizontal="center" vertical="center" wrapText="1"/>
    </xf>
    <xf numFmtId="0" fontId="117" fillId="0" borderId="248" xfId="26" applyFont="1" applyBorder="1" applyAlignment="1">
      <alignment vertical="center" wrapText="1"/>
    </xf>
    <xf numFmtId="0" fontId="18" fillId="0" borderId="0" xfId="31" applyFont="1" applyBorder="1" applyAlignment="1">
      <alignment vertical="center"/>
    </xf>
    <xf numFmtId="0" fontId="18" fillId="0" borderId="0" xfId="31" applyFont="1" applyBorder="1" applyAlignment="1">
      <alignment horizontal="right" vertical="center"/>
    </xf>
    <xf numFmtId="168" fontId="18" fillId="0" borderId="0" xfId="11" applyNumberFormat="1" applyFont="1" applyBorder="1" applyAlignment="1">
      <alignment vertical="center" wrapText="1"/>
    </xf>
    <xf numFmtId="10" fontId="18" fillId="0" borderId="0" xfId="11" applyNumberFormat="1" applyFont="1" applyBorder="1" applyAlignment="1">
      <alignment vertical="center" wrapText="1"/>
    </xf>
    <xf numFmtId="9" fontId="18" fillId="0" borderId="0" xfId="11" applyFont="1" applyBorder="1" applyAlignment="1">
      <alignment vertical="center" wrapText="1"/>
    </xf>
    <xf numFmtId="0" fontId="17" fillId="0" borderId="0" xfId="26" applyFont="1" applyBorder="1" applyAlignment="1">
      <alignment vertical="center" wrapText="1"/>
    </xf>
    <xf numFmtId="2" fontId="17" fillId="0" borderId="0" xfId="26" applyNumberFormat="1" applyFont="1" applyBorder="1" applyAlignment="1">
      <alignment vertical="center"/>
    </xf>
    <xf numFmtId="0" fontId="119" fillId="0" borderId="0" xfId="31" applyFont="1" applyBorder="1" applyAlignment="1">
      <alignment vertical="center"/>
    </xf>
    <xf numFmtId="167" fontId="119" fillId="0" borderId="0" xfId="31" applyNumberFormat="1" applyFont="1" applyBorder="1" applyAlignment="1">
      <alignment vertical="center"/>
    </xf>
    <xf numFmtId="4" fontId="119" fillId="0" borderId="0" xfId="31" applyNumberFormat="1" applyFont="1" applyBorder="1" applyAlignment="1">
      <alignment vertical="center" wrapText="1"/>
    </xf>
    <xf numFmtId="168" fontId="119" fillId="0" borderId="0" xfId="11" applyNumberFormat="1" applyFont="1" applyBorder="1" applyAlignment="1">
      <alignment vertical="center" wrapText="1"/>
    </xf>
    <xf numFmtId="10" fontId="119" fillId="0" borderId="0" xfId="11" applyNumberFormat="1" applyFont="1" applyBorder="1" applyAlignment="1">
      <alignment vertical="center" wrapText="1"/>
    </xf>
    <xf numFmtId="9" fontId="120" fillId="0" borderId="0" xfId="11" applyFont="1" applyBorder="1" applyAlignment="1">
      <alignment vertical="center" wrapText="1"/>
    </xf>
    <xf numFmtId="0" fontId="114" fillId="0" borderId="0" xfId="31" applyFont="1" applyBorder="1" applyAlignment="1">
      <alignment vertical="center"/>
    </xf>
    <xf numFmtId="0" fontId="121" fillId="0" borderId="0" xfId="31" applyFont="1" applyBorder="1" applyAlignment="1">
      <alignment vertical="center"/>
    </xf>
    <xf numFmtId="0" fontId="114" fillId="0" borderId="0" xfId="31" applyFont="1" applyBorder="1" applyAlignment="1">
      <alignment horizontal="center" vertical="center"/>
    </xf>
    <xf numFmtId="0" fontId="18" fillId="0" borderId="0" xfId="2" applyFont="1" applyBorder="1" applyProtection="1">
      <protection hidden="1"/>
    </xf>
    <xf numFmtId="0" fontId="69" fillId="0" borderId="0" xfId="31" applyFont="1" applyBorder="1" applyAlignment="1">
      <alignment horizontal="left" vertical="center"/>
    </xf>
    <xf numFmtId="0" fontId="69" fillId="0" borderId="0" xfId="31" applyFont="1" applyBorder="1" applyAlignment="1">
      <alignment horizontal="center" vertical="center"/>
    </xf>
    <xf numFmtId="0" fontId="18" fillId="8" borderId="0" xfId="2" applyFont="1" applyFill="1" applyBorder="1"/>
    <xf numFmtId="166" fontId="136" fillId="0" borderId="37" xfId="5" applyFont="1" applyBorder="1" applyAlignment="1">
      <alignment horizontal="center"/>
    </xf>
    <xf numFmtId="166" fontId="136" fillId="0" borderId="5" xfId="5" applyFont="1" applyBorder="1" applyAlignment="1">
      <alignment horizontal="center"/>
    </xf>
    <xf numFmtId="166" fontId="133" fillId="0" borderId="50" xfId="5" applyFont="1" applyBorder="1" applyAlignment="1">
      <alignment horizontal="left" vertical="top"/>
    </xf>
    <xf numFmtId="166" fontId="133" fillId="0" borderId="0" xfId="5" applyFont="1" applyAlignment="1">
      <alignment horizontal="left" vertical="top"/>
    </xf>
    <xf numFmtId="166" fontId="133" fillId="0" borderId="51" xfId="5" applyFont="1" applyBorder="1" applyAlignment="1">
      <alignment horizontal="left" vertical="top"/>
    </xf>
    <xf numFmtId="0" fontId="18" fillId="0" borderId="0" xfId="3" applyFont="1" applyAlignment="1">
      <alignment horizontal="center" vertical="center"/>
    </xf>
    <xf numFmtId="166" fontId="133" fillId="0" borderId="50" xfId="5" applyFont="1" applyBorder="1" applyAlignment="1">
      <alignment horizontal="left" vertical="top"/>
    </xf>
    <xf numFmtId="166" fontId="133" fillId="0" borderId="0" xfId="5" applyFont="1" applyAlignment="1">
      <alignment horizontal="left" vertical="top"/>
    </xf>
    <xf numFmtId="166" fontId="133" fillId="0" borderId="51" xfId="5" applyFont="1" applyBorder="1" applyAlignment="1">
      <alignment horizontal="left" vertical="top"/>
    </xf>
    <xf numFmtId="0" fontId="35" fillId="0" borderId="0" xfId="16" applyFont="1" applyAlignment="1">
      <alignment horizontal="center"/>
    </xf>
    <xf numFmtId="0" fontId="15" fillId="0" borderId="0" xfId="2" applyAlignment="1">
      <alignment horizontal="center" vertical="center"/>
    </xf>
    <xf numFmtId="0" fontId="18" fillId="0" borderId="0" xfId="2" applyFont="1" applyAlignment="1">
      <alignment vertical="center"/>
    </xf>
    <xf numFmtId="0" fontId="18" fillId="0" borderId="0" xfId="2" applyFont="1" applyAlignment="1">
      <alignment horizontal="center" vertical="center"/>
    </xf>
    <xf numFmtId="3" fontId="15" fillId="0" borderId="0" xfId="2" applyNumberFormat="1" applyAlignment="1">
      <alignment horizontal="center" vertical="center"/>
    </xf>
    <xf numFmtId="2" fontId="15" fillId="0" borderId="0" xfId="2" applyNumberFormat="1" applyAlignment="1">
      <alignment horizontal="center" vertical="center"/>
    </xf>
    <xf numFmtId="4" fontId="15" fillId="0" borderId="0" xfId="2" applyNumberFormat="1" applyAlignment="1">
      <alignment horizontal="center" vertical="center"/>
    </xf>
    <xf numFmtId="169" fontId="15" fillId="0" borderId="0" xfId="2" applyNumberFormat="1" applyAlignment="1">
      <alignment horizontal="center" vertical="center"/>
    </xf>
    <xf numFmtId="0" fontId="77" fillId="0" borderId="0" xfId="42" applyFont="1" applyAlignment="1">
      <alignment vertical="center" wrapText="1"/>
    </xf>
    <xf numFmtId="0" fontId="14" fillId="0" borderId="0" xfId="2" applyFont="1" applyAlignment="1">
      <alignment vertical="center" wrapText="1"/>
    </xf>
    <xf numFmtId="3" fontId="78" fillId="0" borderId="0" xfId="2" applyNumberFormat="1" applyFont="1" applyAlignment="1">
      <alignment horizontal="center" vertical="center"/>
    </xf>
    <xf numFmtId="0" fontId="76" fillId="0" borderId="0" xfId="2" applyFont="1" applyAlignment="1">
      <alignment vertical="center"/>
    </xf>
    <xf numFmtId="0" fontId="76" fillId="0" borderId="22" xfId="2" applyFont="1" applyBorder="1" applyAlignment="1">
      <alignment vertical="center"/>
    </xf>
    <xf numFmtId="0" fontId="57" fillId="0" borderId="0" xfId="42" applyFont="1" applyAlignment="1">
      <alignment vertical="top"/>
    </xf>
    <xf numFmtId="0" fontId="15" fillId="0" borderId="0" xfId="2" applyAlignment="1">
      <alignment horizontal="left" vertical="center" indent="1"/>
    </xf>
    <xf numFmtId="2" fontId="21" fillId="0" borderId="0" xfId="2" applyNumberFormat="1" applyFont="1" applyAlignment="1">
      <alignment horizontal="center" vertical="center"/>
    </xf>
    <xf numFmtId="2" fontId="80" fillId="12" borderId="35" xfId="2" applyNumberFormat="1" applyFont="1" applyFill="1" applyBorder="1" applyAlignment="1">
      <alignment horizontal="center" vertical="center"/>
    </xf>
    <xf numFmtId="168" fontId="24" fillId="14" borderId="197" xfId="2" applyNumberFormat="1" applyFont="1" applyFill="1" applyBorder="1" applyAlignment="1">
      <alignment horizontal="center" vertical="center"/>
    </xf>
    <xf numFmtId="0" fontId="57" fillId="0" borderId="0" xfId="42" applyFont="1" applyAlignment="1">
      <alignment vertical="top" wrapText="1"/>
    </xf>
    <xf numFmtId="168" fontId="15" fillId="2" borderId="205" xfId="2" applyNumberFormat="1" applyFill="1" applyBorder="1" applyAlignment="1">
      <alignment horizontal="center" vertical="center"/>
    </xf>
    <xf numFmtId="3" fontId="24" fillId="14" borderId="35" xfId="2" applyNumberFormat="1" applyFont="1" applyFill="1" applyBorder="1" applyAlignment="1">
      <alignment horizontal="center" vertical="center"/>
    </xf>
    <xf numFmtId="168" fontId="15" fillId="0" borderId="0" xfId="2" applyNumberFormat="1" applyAlignment="1">
      <alignment horizontal="center" vertical="center"/>
    </xf>
    <xf numFmtId="4" fontId="56" fillId="0" borderId="5" xfId="2" applyNumberFormat="1" applyFont="1" applyBorder="1" applyAlignment="1">
      <alignment vertical="center"/>
    </xf>
    <xf numFmtId="0" fontId="76" fillId="0" borderId="0" xfId="2" applyFont="1" applyAlignment="1">
      <alignment horizontal="left" vertical="center" indent="1"/>
    </xf>
    <xf numFmtId="0" fontId="63" fillId="0" borderId="0" xfId="2" applyFont="1" applyAlignment="1">
      <alignment vertical="center"/>
    </xf>
    <xf numFmtId="10" fontId="81" fillId="0" borderId="0" xfId="2" applyNumberFormat="1" applyFont="1" applyAlignment="1">
      <alignment vertical="center"/>
    </xf>
    <xf numFmtId="168" fontId="76" fillId="0" borderId="0" xfId="2" applyNumberFormat="1" applyFont="1" applyAlignment="1">
      <alignment vertical="center"/>
    </xf>
    <xf numFmtId="168" fontId="63" fillId="0" borderId="0" xfId="2" applyNumberFormat="1" applyFont="1" applyAlignment="1">
      <alignment vertical="center"/>
    </xf>
    <xf numFmtId="168" fontId="81" fillId="0" borderId="0" xfId="2" applyNumberFormat="1" applyFont="1" applyAlignment="1">
      <alignment horizontal="center" vertical="center" wrapText="1"/>
    </xf>
    <xf numFmtId="0" fontId="82" fillId="0" borderId="0" xfId="2" applyFont="1" applyAlignment="1">
      <alignment vertical="center"/>
    </xf>
    <xf numFmtId="0" fontId="76" fillId="0" borderId="0" xfId="2" applyFont="1" applyAlignment="1">
      <alignment horizontal="center" vertical="center"/>
    </xf>
    <xf numFmtId="0" fontId="53" fillId="0" borderId="0" xfId="4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166" fontId="135" fillId="0" borderId="0" xfId="32" applyFont="1" applyAlignment="1">
      <alignment horizontal="center" vertical="center"/>
    </xf>
    <xf numFmtId="166" fontId="136" fillId="0" borderId="0" xfId="32" applyFont="1" applyAlignment="1">
      <alignment vertical="center"/>
    </xf>
    <xf numFmtId="166" fontId="137" fillId="0" borderId="0" xfId="32" applyFont="1" applyAlignment="1">
      <alignment horizontal="center" vertical="center" wrapText="1"/>
    </xf>
    <xf numFmtId="166" fontId="137" fillId="0" borderId="0" xfId="32" applyFont="1" applyAlignment="1">
      <alignment horizontal="center" vertical="center"/>
    </xf>
    <xf numFmtId="166" fontId="140" fillId="0" borderId="0" xfId="32" applyFont="1" applyAlignment="1">
      <alignment horizontal="left" vertical="center" indent="1"/>
    </xf>
    <xf numFmtId="166" fontId="138" fillId="0" borderId="0" xfId="32" applyFont="1" applyAlignment="1">
      <alignment horizontal="left" vertical="center" wrapText="1" indent="1"/>
    </xf>
    <xf numFmtId="166" fontId="135" fillId="0" borderId="0" xfId="32" applyFont="1" applyAlignment="1">
      <alignment horizontal="center" vertical="center" wrapText="1"/>
    </xf>
    <xf numFmtId="166" fontId="138" fillId="0" borderId="0" xfId="32" applyFont="1" applyAlignment="1">
      <alignment vertical="center" wrapText="1"/>
    </xf>
    <xf numFmtId="171" fontId="144" fillId="0" borderId="0" xfId="32" applyNumberFormat="1" applyFont="1" applyAlignment="1">
      <alignment horizontal="left" vertical="center"/>
    </xf>
    <xf numFmtId="166" fontId="144" fillId="0" borderId="0" xfId="32" applyFont="1" applyAlignment="1">
      <alignment horizontal="left" vertical="center" wrapText="1" indent="1"/>
    </xf>
    <xf numFmtId="166" fontId="136" fillId="0" borderId="0" xfId="32" applyFont="1" applyAlignment="1">
      <alignment horizontal="left" vertical="center" indent="1"/>
    </xf>
    <xf numFmtId="18" fontId="144" fillId="0" borderId="0" xfId="32" applyNumberFormat="1" applyFont="1" applyAlignment="1">
      <alignment horizontal="left" vertical="center"/>
    </xf>
    <xf numFmtId="166" fontId="136" fillId="0" borderId="0" xfId="32" applyFont="1"/>
    <xf numFmtId="0" fontId="134" fillId="4" borderId="18" xfId="2" applyFont="1" applyFill="1" applyBorder="1" applyAlignment="1">
      <alignment vertical="center"/>
    </xf>
    <xf numFmtId="0" fontId="134" fillId="4" borderId="11" xfId="2" applyFont="1" applyFill="1" applyBorder="1" applyAlignment="1">
      <alignment vertical="center"/>
    </xf>
    <xf numFmtId="0" fontId="135" fillId="0" borderId="16" xfId="2" applyFont="1" applyBorder="1" applyAlignment="1">
      <alignment vertical="center"/>
    </xf>
    <xf numFmtId="0" fontId="135" fillId="0" borderId="16" xfId="2" applyFont="1" applyBorder="1" applyAlignment="1">
      <alignment vertical="center" wrapText="1"/>
    </xf>
    <xf numFmtId="0" fontId="135" fillId="0" borderId="98" xfId="2" applyFont="1" applyBorder="1" applyAlignment="1">
      <alignment vertical="center" wrapText="1"/>
    </xf>
    <xf numFmtId="0" fontId="144" fillId="0" borderId="0" xfId="2" applyFont="1" applyAlignment="1">
      <alignment vertical="center" wrapText="1"/>
    </xf>
    <xf numFmtId="15" fontId="138" fillId="0" borderId="26" xfId="44" applyNumberFormat="1" applyFont="1" applyBorder="1" applyAlignment="1">
      <alignment vertical="center"/>
    </xf>
    <xf numFmtId="15" fontId="138" fillId="0" borderId="27" xfId="44" applyNumberFormat="1" applyFont="1" applyBorder="1" applyAlignment="1">
      <alignment vertical="center"/>
    </xf>
    <xf numFmtId="0" fontId="144" fillId="0" borderId="12" xfId="2" applyFont="1" applyBorder="1" applyAlignment="1">
      <alignment vertical="center" wrapText="1"/>
    </xf>
    <xf numFmtId="166" fontId="145" fillId="0" borderId="0" xfId="32" applyFont="1" applyAlignment="1">
      <alignment horizontal="left" vertical="center"/>
    </xf>
    <xf numFmtId="0" fontId="138" fillId="0" borderId="56" xfId="43" applyFont="1" applyBorder="1" applyAlignment="1">
      <alignment horizontal="left" vertical="center" wrapText="1"/>
    </xf>
    <xf numFmtId="15" fontId="138" fillId="0" borderId="26" xfId="44" applyNumberFormat="1" applyFont="1" applyBorder="1" applyAlignment="1">
      <alignment horizontal="center" vertical="center"/>
    </xf>
    <xf numFmtId="0" fontId="139" fillId="3" borderId="35" xfId="43" applyFont="1" applyFill="1" applyBorder="1" applyAlignment="1">
      <alignment horizontal="center" vertical="center" wrapText="1"/>
    </xf>
    <xf numFmtId="0" fontId="138" fillId="0" borderId="8" xfId="2" applyFont="1" applyBorder="1" applyAlignment="1">
      <alignment vertical="center"/>
    </xf>
    <xf numFmtId="0" fontId="138" fillId="0" borderId="13" xfId="2" applyFont="1" applyBorder="1" applyAlignment="1">
      <alignment vertical="center"/>
    </xf>
    <xf numFmtId="168" fontId="13" fillId="8" borderId="35" xfId="2" applyNumberFormat="1" applyFont="1" applyFill="1" applyBorder="1" applyAlignment="1">
      <alignment horizontal="center" vertical="center"/>
    </xf>
    <xf numFmtId="0" fontId="18" fillId="0" borderId="188" xfId="3" applyFont="1" applyBorder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8" fillId="0" borderId="162" xfId="3" applyFont="1" applyBorder="1" applyAlignment="1">
      <alignment horizontal="center" vertical="center"/>
    </xf>
    <xf numFmtId="0" fontId="18" fillId="0" borderId="183" xfId="3" applyFont="1" applyBorder="1" applyAlignment="1">
      <alignment horizontal="center" vertical="center"/>
    </xf>
    <xf numFmtId="0" fontId="18" fillId="0" borderId="127" xfId="3" applyFont="1" applyBorder="1" applyAlignment="1">
      <alignment horizontal="center" vertical="center"/>
    </xf>
    <xf numFmtId="0" fontId="18" fillId="0" borderId="184" xfId="3" applyFont="1" applyBorder="1" applyAlignment="1">
      <alignment horizontal="center" vertical="center"/>
    </xf>
    <xf numFmtId="10" fontId="57" fillId="0" borderId="22" xfId="1" applyNumberFormat="1" applyFont="1" applyBorder="1" applyAlignment="1">
      <alignment horizontal="center" vertical="center"/>
    </xf>
    <xf numFmtId="10" fontId="57" fillId="0" borderId="69" xfId="1" applyNumberFormat="1" applyFont="1" applyBorder="1" applyAlignment="1">
      <alignment horizontal="center" vertical="center"/>
    </xf>
    <xf numFmtId="0" fontId="57" fillId="0" borderId="200" xfId="27" applyFont="1" applyBorder="1" applyAlignment="1">
      <alignment horizontal="center" vertical="center"/>
    </xf>
    <xf numFmtId="0" fontId="57" fillId="0" borderId="201" xfId="27" applyFont="1" applyBorder="1" applyAlignment="1">
      <alignment horizontal="center" vertical="center"/>
    </xf>
    <xf numFmtId="172" fontId="57" fillId="0" borderId="201" xfId="27" applyNumberFormat="1" applyFont="1" applyBorder="1" applyAlignment="1">
      <alignment horizontal="center" vertical="center"/>
    </xf>
    <xf numFmtId="1" fontId="23" fillId="0" borderId="201" xfId="27" applyNumberFormat="1" applyFont="1" applyBorder="1" applyAlignment="1">
      <alignment horizontal="center" vertical="center" wrapText="1"/>
    </xf>
    <xf numFmtId="172" fontId="65" fillId="0" borderId="102" xfId="27" applyNumberFormat="1" applyFont="1" applyBorder="1" applyAlignment="1">
      <alignment horizontal="center" vertical="center"/>
    </xf>
    <xf numFmtId="0" fontId="65" fillId="0" borderId="191" xfId="27" applyFont="1" applyBorder="1" applyAlignment="1">
      <alignment horizontal="center" vertical="center"/>
    </xf>
    <xf numFmtId="0" fontId="65" fillId="0" borderId="103" xfId="27" applyFont="1" applyBorder="1" applyAlignment="1">
      <alignment horizontal="center" vertical="center"/>
    </xf>
    <xf numFmtId="0" fontId="65" fillId="0" borderId="102" xfId="27" applyFont="1" applyBorder="1" applyAlignment="1">
      <alignment horizontal="center" vertical="center"/>
    </xf>
    <xf numFmtId="0" fontId="65" fillId="0" borderId="202" xfId="27" applyFont="1" applyBorder="1" applyAlignment="1">
      <alignment horizontal="center" vertical="center"/>
    </xf>
    <xf numFmtId="0" fontId="65" fillId="0" borderId="116" xfId="27" applyFont="1" applyBorder="1" applyAlignment="1">
      <alignment horizontal="center" vertical="center"/>
    </xf>
    <xf numFmtId="0" fontId="65" fillId="0" borderId="203" xfId="27" applyFont="1" applyBorder="1" applyAlignment="1">
      <alignment horizontal="center" vertical="center"/>
    </xf>
    <xf numFmtId="0" fontId="65" fillId="0" borderId="185" xfId="27" applyFont="1" applyBorder="1" applyAlignment="1">
      <alignment horizontal="center" vertical="center"/>
    </xf>
    <xf numFmtId="0" fontId="65" fillId="0" borderId="22" xfId="27" applyFont="1" applyBorder="1" applyAlignment="1">
      <alignment horizontal="center" vertical="center"/>
    </xf>
    <xf numFmtId="0" fontId="65" fillId="0" borderId="31" xfId="27" applyFont="1" applyBorder="1" applyAlignment="1">
      <alignment horizontal="center" vertical="center"/>
    </xf>
    <xf numFmtId="172" fontId="74" fillId="0" borderId="35" xfId="27" applyNumberFormat="1" applyFont="1" applyBorder="1" applyAlignment="1">
      <alignment horizontal="center" vertical="center"/>
    </xf>
    <xf numFmtId="0" fontId="74" fillId="0" borderId="35" xfId="27" applyFont="1" applyBorder="1" applyAlignment="1">
      <alignment horizontal="center" vertical="center"/>
    </xf>
    <xf numFmtId="172" fontId="68" fillId="0" borderId="35" xfId="27" applyNumberFormat="1" applyFont="1" applyBorder="1" applyAlignment="1">
      <alignment horizontal="center" vertical="center" wrapText="1"/>
    </xf>
    <xf numFmtId="1" fontId="65" fillId="0" borderId="35" xfId="27" applyNumberFormat="1" applyFont="1" applyBorder="1" applyAlignment="1">
      <alignment horizontal="center" vertical="center"/>
    </xf>
    <xf numFmtId="0" fontId="57" fillId="0" borderId="30" xfId="27" applyFont="1" applyBorder="1" applyAlignment="1">
      <alignment horizontal="center" vertical="center"/>
    </xf>
    <xf numFmtId="0" fontId="57" fillId="0" borderId="22" xfId="27" applyFont="1" applyBorder="1" applyAlignment="1">
      <alignment horizontal="center" vertical="center"/>
    </xf>
    <xf numFmtId="10" fontId="57" fillId="0" borderId="0" xfId="1" applyNumberFormat="1" applyFont="1" applyAlignment="1">
      <alignment horizontal="center" vertical="center"/>
    </xf>
    <xf numFmtId="10" fontId="57" fillId="0" borderId="162" xfId="1" applyNumberFormat="1" applyFont="1" applyBorder="1" applyAlignment="1">
      <alignment horizontal="center" vertical="center"/>
    </xf>
    <xf numFmtId="0" fontId="65" fillId="0" borderId="188" xfId="27" applyFont="1" applyBorder="1" applyAlignment="1">
      <alignment horizontal="center" vertical="center"/>
    </xf>
    <xf numFmtId="0" fontId="65" fillId="0" borderId="0" xfId="27" applyFont="1" applyAlignment="1">
      <alignment horizontal="center" vertical="center"/>
    </xf>
    <xf numFmtId="0" fontId="65" fillId="0" borderId="29" xfId="27" applyFont="1" applyBorder="1" applyAlignment="1">
      <alignment horizontal="center" vertical="center"/>
    </xf>
    <xf numFmtId="172" fontId="67" fillId="0" borderId="35" xfId="27" applyNumberFormat="1" applyFont="1" applyBorder="1" applyAlignment="1">
      <alignment horizontal="center" vertical="center"/>
    </xf>
    <xf numFmtId="172" fontId="65" fillId="0" borderId="35" xfId="27" applyNumberFormat="1" applyFont="1" applyBorder="1" applyAlignment="1">
      <alignment horizontal="center" vertical="center"/>
    </xf>
    <xf numFmtId="0" fontId="65" fillId="0" borderId="35" xfId="27" applyFont="1" applyBorder="1" applyAlignment="1">
      <alignment horizontal="center" vertical="center"/>
    </xf>
    <xf numFmtId="0" fontId="57" fillId="0" borderId="28" xfId="27" applyFont="1" applyBorder="1" applyAlignment="1">
      <alignment horizontal="center" vertical="center"/>
    </xf>
    <xf numFmtId="0" fontId="57" fillId="0" borderId="0" xfId="27" applyFont="1" applyAlignment="1">
      <alignment horizontal="center" vertical="center"/>
    </xf>
    <xf numFmtId="0" fontId="23" fillId="0" borderId="194" xfId="27" applyFont="1" applyBorder="1" applyAlignment="1">
      <alignment horizontal="center" vertical="center"/>
    </xf>
    <xf numFmtId="0" fontId="23" fillId="0" borderId="195" xfId="27" applyFont="1" applyBorder="1" applyAlignment="1">
      <alignment horizontal="center" vertical="center"/>
    </xf>
    <xf numFmtId="0" fontId="23" fillId="0" borderId="197" xfId="27" applyFont="1" applyBorder="1" applyAlignment="1">
      <alignment horizontal="center" vertical="center"/>
    </xf>
    <xf numFmtId="0" fontId="23" fillId="0" borderId="198" xfId="27" applyFont="1" applyBorder="1" applyAlignment="1">
      <alignment horizontal="center" vertical="center"/>
    </xf>
    <xf numFmtId="0" fontId="65" fillId="0" borderId="187" xfId="27" applyFont="1" applyBorder="1" applyAlignment="1">
      <alignment horizontal="center" vertical="center"/>
    </xf>
    <xf numFmtId="0" fontId="65" fillId="0" borderId="24" xfId="27" applyFont="1" applyBorder="1" applyAlignment="1">
      <alignment horizontal="center" vertical="center"/>
    </xf>
    <xf numFmtId="0" fontId="65" fillId="0" borderId="65" xfId="27" applyFont="1" applyBorder="1" applyAlignment="1">
      <alignment horizontal="center" vertical="center"/>
    </xf>
    <xf numFmtId="0" fontId="65" fillId="0" borderId="199" xfId="27" applyFont="1" applyBorder="1" applyAlignment="1">
      <alignment horizontal="center" vertical="center"/>
    </xf>
    <xf numFmtId="0" fontId="66" fillId="6" borderId="204" xfId="27" applyFont="1" applyFill="1" applyBorder="1" applyAlignment="1">
      <alignment horizontal="center" vertical="center"/>
    </xf>
    <xf numFmtId="0" fontId="66" fillId="6" borderId="88" xfId="27" applyFont="1" applyFill="1" applyBorder="1" applyAlignment="1">
      <alignment horizontal="center" vertical="center"/>
    </xf>
    <xf numFmtId="0" fontId="65" fillId="0" borderId="88" xfId="27" applyFont="1" applyBorder="1" applyAlignment="1">
      <alignment horizontal="center" vertical="center"/>
    </xf>
    <xf numFmtId="0" fontId="57" fillId="0" borderId="0" xfId="27" applyFont="1" applyAlignment="1">
      <alignment horizontal="left" vertical="center"/>
    </xf>
    <xf numFmtId="172" fontId="57" fillId="0" borderId="0" xfId="27" applyNumberFormat="1" applyFont="1" applyAlignment="1">
      <alignment horizontal="center" vertical="center"/>
    </xf>
    <xf numFmtId="172" fontId="57" fillId="0" borderId="162" xfId="27" applyNumberFormat="1" applyFont="1" applyBorder="1" applyAlignment="1">
      <alignment horizontal="center" vertical="center"/>
    </xf>
    <xf numFmtId="0" fontId="23" fillId="0" borderId="193" xfId="27" applyFont="1" applyBorder="1" applyAlignment="1">
      <alignment horizontal="center" vertical="center"/>
    </xf>
    <xf numFmtId="0" fontId="23" fillId="0" borderId="196" xfId="27" applyFont="1" applyBorder="1" applyAlignment="1">
      <alignment horizontal="center" vertical="center"/>
    </xf>
    <xf numFmtId="0" fontId="23" fillId="0" borderId="194" xfId="27" applyFont="1" applyBorder="1" applyAlignment="1">
      <alignment horizontal="center" vertical="center" wrapText="1"/>
    </xf>
    <xf numFmtId="0" fontId="23" fillId="0" borderId="197" xfId="27" applyFont="1" applyBorder="1" applyAlignment="1">
      <alignment horizontal="center" vertical="center" wrapText="1"/>
    </xf>
    <xf numFmtId="178" fontId="72" fillId="0" borderId="201" xfId="27" applyNumberFormat="1" applyFont="1" applyBorder="1" applyAlignment="1">
      <alignment horizontal="center" vertical="center" wrapText="1"/>
    </xf>
    <xf numFmtId="0" fontId="65" fillId="0" borderId="201" xfId="27" applyFont="1" applyBorder="1" applyAlignment="1">
      <alignment horizontal="center" vertical="center"/>
    </xf>
    <xf numFmtId="172" fontId="68" fillId="0" borderId="25" xfId="27" applyNumberFormat="1" applyFont="1" applyBorder="1" applyAlignment="1">
      <alignment horizontal="center" vertical="center" wrapText="1"/>
    </xf>
    <xf numFmtId="172" fontId="68" fillId="0" borderId="26" xfId="27" applyNumberFormat="1" applyFont="1" applyBorder="1" applyAlignment="1">
      <alignment horizontal="center" vertical="center" wrapText="1"/>
    </xf>
    <xf numFmtId="172" fontId="68" fillId="0" borderId="27" xfId="27" applyNumberFormat="1" applyFont="1" applyBorder="1" applyAlignment="1">
      <alignment horizontal="center" vertical="center" wrapText="1"/>
    </xf>
    <xf numFmtId="172" fontId="65" fillId="0" borderId="25" xfId="27" applyNumberFormat="1" applyFont="1" applyBorder="1" applyAlignment="1">
      <alignment horizontal="center" vertical="center"/>
    </xf>
    <xf numFmtId="172" fontId="65" fillId="0" borderId="26" xfId="27" applyNumberFormat="1" applyFont="1" applyBorder="1" applyAlignment="1">
      <alignment horizontal="center" vertical="center"/>
    </xf>
    <xf numFmtId="172" fontId="65" fillId="0" borderId="27" xfId="27" applyNumberFormat="1" applyFont="1" applyBorder="1" applyAlignment="1">
      <alignment horizontal="center" vertical="center"/>
    </xf>
    <xf numFmtId="0" fontId="65" fillId="0" borderId="25" xfId="27" applyFont="1" applyBorder="1" applyAlignment="1">
      <alignment horizontal="center" vertical="center"/>
    </xf>
    <xf numFmtId="0" fontId="65" fillId="0" borderId="26" xfId="27" applyFont="1" applyBorder="1" applyAlignment="1">
      <alignment horizontal="center" vertical="center"/>
    </xf>
    <xf numFmtId="0" fontId="65" fillId="0" borderId="27" xfId="27" applyFont="1" applyBorder="1" applyAlignment="1">
      <alignment horizontal="center" vertical="center"/>
    </xf>
    <xf numFmtId="172" fontId="57" fillId="0" borderId="0" xfId="27" applyNumberFormat="1" applyFont="1" applyAlignment="1">
      <alignment horizontal="left" vertical="center" indent="1"/>
    </xf>
    <xf numFmtId="172" fontId="57" fillId="0" borderId="162" xfId="27" applyNumberFormat="1" applyFont="1" applyBorder="1" applyAlignment="1">
      <alignment horizontal="left" vertical="center" indent="1"/>
    </xf>
    <xf numFmtId="172" fontId="67" fillId="0" borderId="25" xfId="27" applyNumberFormat="1" applyFont="1" applyBorder="1" applyAlignment="1">
      <alignment horizontal="center" vertical="center"/>
    </xf>
    <xf numFmtId="172" fontId="67" fillId="0" borderId="26" xfId="27" applyNumberFormat="1" applyFont="1" applyBorder="1" applyAlignment="1">
      <alignment horizontal="center" vertical="center"/>
    </xf>
    <xf numFmtId="172" fontId="67" fillId="0" borderId="27" xfId="27" applyNumberFormat="1" applyFont="1" applyBorder="1" applyAlignment="1">
      <alignment horizontal="center" vertical="center"/>
    </xf>
    <xf numFmtId="0" fontId="57" fillId="0" borderId="28" xfId="27" applyFont="1" applyBorder="1" applyAlignment="1">
      <alignment horizontal="left" vertical="center"/>
    </xf>
    <xf numFmtId="2" fontId="57" fillId="0" borderId="0" xfId="1" applyNumberFormat="1" applyFont="1" applyAlignment="1">
      <alignment horizontal="left" vertical="center" indent="1"/>
    </xf>
    <xf numFmtId="2" fontId="57" fillId="0" borderId="162" xfId="1" applyNumberFormat="1" applyFont="1" applyBorder="1" applyAlignment="1">
      <alignment horizontal="left" vertical="center" indent="1"/>
    </xf>
    <xf numFmtId="0" fontId="65" fillId="0" borderId="28" xfId="27" applyFont="1" applyBorder="1" applyAlignment="1">
      <alignment horizontal="left" vertical="center"/>
    </xf>
    <xf numFmtId="0" fontId="65" fillId="0" borderId="0" xfId="27" applyFont="1" applyAlignment="1">
      <alignment horizontal="left" vertical="center"/>
    </xf>
    <xf numFmtId="172" fontId="65" fillId="0" borderId="0" xfId="27" applyNumberFormat="1" applyFont="1" applyAlignment="1">
      <alignment horizontal="left" vertical="center" indent="1"/>
    </xf>
    <xf numFmtId="172" fontId="65" fillId="0" borderId="162" xfId="27" applyNumberFormat="1" applyFont="1" applyBorder="1" applyAlignment="1">
      <alignment horizontal="left" vertical="center" indent="1"/>
    </xf>
    <xf numFmtId="0" fontId="65" fillId="4" borderId="25" xfId="27" applyFont="1" applyFill="1" applyBorder="1" applyAlignment="1">
      <alignment horizontal="center" vertical="center"/>
    </xf>
    <xf numFmtId="0" fontId="65" fillId="4" borderId="26" xfId="27" applyFont="1" applyFill="1" applyBorder="1" applyAlignment="1">
      <alignment horizontal="center" vertical="center"/>
    </xf>
    <xf numFmtId="0" fontId="65" fillId="4" borderId="27" xfId="27" applyFont="1" applyFill="1" applyBorder="1" applyAlignment="1">
      <alignment horizontal="center" vertical="center"/>
    </xf>
    <xf numFmtId="172" fontId="67" fillId="4" borderId="25" xfId="27" applyNumberFormat="1" applyFont="1" applyFill="1" applyBorder="1" applyAlignment="1">
      <alignment horizontal="center" vertical="center"/>
    </xf>
    <xf numFmtId="172" fontId="67" fillId="4" borderId="26" xfId="27" applyNumberFormat="1" applyFont="1" applyFill="1" applyBorder="1" applyAlignment="1">
      <alignment horizontal="center" vertical="center"/>
    </xf>
    <xf numFmtId="172" fontId="67" fillId="4" borderId="27" xfId="27" applyNumberFormat="1" applyFont="1" applyFill="1" applyBorder="1" applyAlignment="1">
      <alignment horizontal="center" vertical="center"/>
    </xf>
    <xf numFmtId="172" fontId="68" fillId="4" borderId="25" xfId="27" applyNumberFormat="1" applyFont="1" applyFill="1" applyBorder="1" applyAlignment="1">
      <alignment horizontal="center" vertical="center" wrapText="1"/>
    </xf>
    <xf numFmtId="172" fontId="68" fillId="4" borderId="26" xfId="27" applyNumberFormat="1" applyFont="1" applyFill="1" applyBorder="1" applyAlignment="1">
      <alignment horizontal="center" vertical="center" wrapText="1"/>
    </xf>
    <xf numFmtId="172" fontId="68" fillId="4" borderId="27" xfId="27" applyNumberFormat="1" applyFont="1" applyFill="1" applyBorder="1" applyAlignment="1">
      <alignment horizontal="center" vertical="center" wrapText="1"/>
    </xf>
    <xf numFmtId="172" fontId="65" fillId="4" borderId="35" xfId="27" applyNumberFormat="1" applyFont="1" applyFill="1" applyBorder="1" applyAlignment="1">
      <alignment horizontal="center" vertical="center"/>
    </xf>
    <xf numFmtId="0" fontId="65" fillId="4" borderId="35" xfId="27" applyFont="1" applyFill="1" applyBorder="1" applyAlignment="1">
      <alignment horizontal="center" vertical="center"/>
    </xf>
    <xf numFmtId="172" fontId="65" fillId="4" borderId="25" xfId="27" applyNumberFormat="1" applyFont="1" applyFill="1" applyBorder="1" applyAlignment="1">
      <alignment horizontal="center" vertical="center"/>
    </xf>
    <xf numFmtId="172" fontId="65" fillId="4" borderId="26" xfId="27" applyNumberFormat="1" applyFont="1" applyFill="1" applyBorder="1" applyAlignment="1">
      <alignment horizontal="center" vertical="center"/>
    </xf>
    <xf numFmtId="172" fontId="65" fillId="4" borderId="27" xfId="27" applyNumberFormat="1" applyFont="1" applyFill="1" applyBorder="1" applyAlignment="1">
      <alignment horizontal="center" vertical="center"/>
    </xf>
    <xf numFmtId="0" fontId="65" fillId="0" borderId="28" xfId="27" applyFont="1" applyBorder="1" applyAlignment="1">
      <alignment horizontal="left" vertical="top"/>
    </xf>
    <xf numFmtId="0" fontId="65" fillId="0" borderId="0" xfId="27" applyFont="1" applyAlignment="1">
      <alignment horizontal="left" vertical="top"/>
    </xf>
    <xf numFmtId="0" fontId="57" fillId="0" borderId="162" xfId="27" applyFont="1" applyBorder="1" applyAlignment="1">
      <alignment horizontal="center" vertical="center"/>
    </xf>
    <xf numFmtId="0" fontId="65" fillId="0" borderId="23" xfId="27" applyFont="1" applyBorder="1" applyAlignment="1">
      <alignment horizontal="center" vertical="center"/>
    </xf>
    <xf numFmtId="0" fontId="66" fillId="6" borderId="190" xfId="27" applyFont="1" applyFill="1" applyBorder="1" applyAlignment="1">
      <alignment horizontal="center" vertical="center"/>
    </xf>
    <xf numFmtId="0" fontId="66" fillId="6" borderId="191" xfId="27" applyFont="1" applyFill="1" applyBorder="1" applyAlignment="1">
      <alignment horizontal="center" vertical="center"/>
    </xf>
    <xf numFmtId="0" fontId="66" fillId="6" borderId="103" xfId="27" applyFont="1" applyFill="1" applyBorder="1" applyAlignment="1">
      <alignment horizontal="center" vertical="center"/>
    </xf>
    <xf numFmtId="0" fontId="57" fillId="0" borderId="102" xfId="27" applyFont="1" applyBorder="1" applyAlignment="1">
      <alignment horizontal="left" vertical="center"/>
    </xf>
    <xf numFmtId="0" fontId="57" fillId="0" borderId="191" xfId="27" applyFont="1" applyBorder="1" applyAlignment="1">
      <alignment horizontal="left" vertical="center"/>
    </xf>
    <xf numFmtId="169" fontId="57" fillId="0" borderId="191" xfId="27" applyNumberFormat="1" applyFont="1" applyBorder="1" applyAlignment="1">
      <alignment horizontal="center" vertical="center"/>
    </xf>
    <xf numFmtId="0" fontId="23" fillId="6" borderId="193" xfId="27" applyFont="1" applyFill="1" applyBorder="1" applyAlignment="1">
      <alignment horizontal="center" vertical="center"/>
    </xf>
    <xf numFmtId="0" fontId="23" fillId="6" borderId="194" xfId="27" applyFont="1" applyFill="1" applyBorder="1" applyAlignment="1">
      <alignment horizontal="center" vertical="center"/>
    </xf>
    <xf numFmtId="0" fontId="23" fillId="6" borderId="196" xfId="27" applyFont="1" applyFill="1" applyBorder="1" applyAlignment="1">
      <alignment horizontal="center" vertical="center"/>
    </xf>
    <xf numFmtId="0" fontId="23" fillId="6" borderId="197" xfId="27" applyFont="1" applyFill="1" applyBorder="1" applyAlignment="1">
      <alignment horizontal="center" vertical="center"/>
    </xf>
    <xf numFmtId="0" fontId="23" fillId="6" borderId="194" xfId="27" applyFont="1" applyFill="1" applyBorder="1" applyAlignment="1">
      <alignment horizontal="center" vertical="center" wrapText="1"/>
    </xf>
    <xf numFmtId="0" fontId="23" fillId="6" borderId="197" xfId="27" applyFont="1" applyFill="1" applyBorder="1" applyAlignment="1">
      <alignment horizontal="center" vertical="center" wrapText="1"/>
    </xf>
    <xf numFmtId="0" fontId="23" fillId="6" borderId="35" xfId="27" applyFont="1" applyFill="1" applyBorder="1" applyAlignment="1">
      <alignment horizontal="center" vertical="center" wrapText="1"/>
    </xf>
    <xf numFmtId="0" fontId="23" fillId="6" borderId="195" xfId="27" applyFont="1" applyFill="1" applyBorder="1" applyAlignment="1">
      <alignment horizontal="center" vertical="center"/>
    </xf>
    <xf numFmtId="0" fontId="23" fillId="6" borderId="198" xfId="27" applyFont="1" applyFill="1" applyBorder="1" applyAlignment="1">
      <alignment horizontal="center" vertical="center"/>
    </xf>
    <xf numFmtId="0" fontId="31" fillId="3" borderId="26" xfId="26" applyFont="1" applyFill="1" applyBorder="1" applyAlignment="1">
      <alignment horizontal="center" vertical="center" wrapText="1"/>
    </xf>
    <xf numFmtId="0" fontId="31" fillId="3" borderId="70" xfId="26" applyFont="1" applyFill="1" applyBorder="1" applyAlignment="1">
      <alignment horizontal="center" vertical="center" wrapText="1"/>
    </xf>
    <xf numFmtId="0" fontId="65" fillId="0" borderId="189" xfId="27" applyFont="1" applyBorder="1" applyAlignment="1">
      <alignment horizontal="center" vertical="center"/>
    </xf>
    <xf numFmtId="169" fontId="65" fillId="0" borderId="25" xfId="27" applyNumberFormat="1" applyFont="1" applyBorder="1" applyAlignment="1">
      <alignment horizontal="center" vertical="center"/>
    </xf>
    <xf numFmtId="169" fontId="65" fillId="0" borderId="26" xfId="27" applyNumberFormat="1" applyFont="1" applyBorder="1" applyAlignment="1">
      <alignment horizontal="center" vertical="center"/>
    </xf>
    <xf numFmtId="169" fontId="65" fillId="0" borderId="27" xfId="27" applyNumberFormat="1" applyFont="1" applyBorder="1" applyAlignment="1">
      <alignment horizontal="center" vertical="center"/>
    </xf>
    <xf numFmtId="0" fontId="65" fillId="0" borderId="35" xfId="27" applyFont="1" applyBorder="1" applyAlignment="1">
      <alignment horizontal="left" vertical="center"/>
    </xf>
    <xf numFmtId="169" fontId="65" fillId="0" borderId="70" xfId="27" applyNumberFormat="1" applyFont="1" applyBorder="1" applyAlignment="1">
      <alignment horizontal="center" vertical="center"/>
    </xf>
    <xf numFmtId="0" fontId="62" fillId="0" borderId="26" xfId="3" applyFont="1" applyBorder="1" applyAlignment="1">
      <alignment horizontal="center" vertical="center" wrapText="1"/>
    </xf>
    <xf numFmtId="0" fontId="62" fillId="0" borderId="100" xfId="3" applyFont="1" applyBorder="1" applyAlignment="1">
      <alignment horizontal="center" vertical="center" wrapText="1"/>
    </xf>
    <xf numFmtId="0" fontId="31" fillId="0" borderId="185" xfId="26" applyFont="1" applyBorder="1" applyAlignment="1">
      <alignment horizontal="center" vertical="top"/>
    </xf>
    <xf numFmtId="0" fontId="31" fillId="0" borderId="22" xfId="26" applyFont="1" applyBorder="1" applyAlignment="1">
      <alignment horizontal="center" vertical="top"/>
    </xf>
    <xf numFmtId="0" fontId="31" fillId="0" borderId="31" xfId="26" applyFont="1" applyBorder="1" applyAlignment="1">
      <alignment horizontal="center" vertical="top"/>
    </xf>
    <xf numFmtId="0" fontId="31" fillId="0" borderId="35" xfId="26" applyFont="1" applyBorder="1" applyAlignment="1">
      <alignment horizontal="left" vertical="top"/>
    </xf>
    <xf numFmtId="0" fontId="31" fillId="0" borderId="25" xfId="26" applyFont="1" applyBorder="1" applyAlignment="1">
      <alignment horizontal="left" vertical="top"/>
    </xf>
    <xf numFmtId="0" fontId="31" fillId="0" borderId="22" xfId="26" applyFont="1" applyBorder="1" applyAlignment="1">
      <alignment horizontal="left" vertical="top"/>
    </xf>
    <xf numFmtId="0" fontId="31" fillId="0" borderId="69" xfId="26" applyFont="1" applyBorder="1" applyAlignment="1">
      <alignment horizontal="left" vertical="top"/>
    </xf>
    <xf numFmtId="0" fontId="62" fillId="0" borderId="26" xfId="3" applyFont="1" applyBorder="1" applyAlignment="1">
      <alignment horizontal="left" vertical="center" wrapText="1"/>
    </xf>
    <xf numFmtId="0" fontId="62" fillId="0" borderId="100" xfId="3" applyFont="1" applyBorder="1" applyAlignment="1">
      <alignment horizontal="left" vertical="center" wrapText="1"/>
    </xf>
    <xf numFmtId="0" fontId="63" fillId="0" borderId="186" xfId="26" applyFont="1" applyBorder="1" applyAlignment="1">
      <alignment horizontal="left" vertical="center" wrapText="1"/>
    </xf>
    <xf numFmtId="0" fontId="63" fillId="0" borderId="26" xfId="26" applyFont="1" applyBorder="1" applyAlignment="1">
      <alignment horizontal="left" vertical="center" wrapText="1"/>
    </xf>
    <xf numFmtId="15" fontId="63" fillId="0" borderId="26" xfId="26" applyNumberFormat="1" applyFont="1" applyBorder="1" applyAlignment="1">
      <alignment horizontal="center" vertical="center"/>
    </xf>
    <xf numFmtId="15" fontId="63" fillId="0" borderId="27" xfId="26" applyNumberFormat="1" applyFont="1" applyBorder="1" applyAlignment="1">
      <alignment horizontal="center" vertical="center"/>
    </xf>
    <xf numFmtId="0" fontId="31" fillId="3" borderId="25" xfId="26" applyFont="1" applyFill="1" applyBorder="1" applyAlignment="1">
      <alignment horizontal="left" vertical="center" wrapText="1"/>
    </xf>
    <xf numFmtId="0" fontId="31" fillId="3" borderId="26" xfId="26" applyFont="1" applyFill="1" applyBorder="1" applyAlignment="1">
      <alignment horizontal="left" vertical="center" wrapText="1"/>
    </xf>
    <xf numFmtId="0" fontId="31" fillId="3" borderId="27" xfId="26" applyFont="1" applyFill="1" applyBorder="1" applyAlignment="1">
      <alignment horizontal="center" vertical="center" wrapText="1"/>
    </xf>
    <xf numFmtId="0" fontId="31" fillId="3" borderId="25" xfId="26" applyFont="1" applyFill="1" applyBorder="1" applyAlignment="1">
      <alignment horizontal="center" vertical="center"/>
    </xf>
    <xf numFmtId="0" fontId="31" fillId="3" borderId="26" xfId="26" applyFont="1" applyFill="1" applyBorder="1" applyAlignment="1">
      <alignment horizontal="center" vertical="center"/>
    </xf>
    <xf numFmtId="0" fontId="57" fillId="9" borderId="182" xfId="26" applyFont="1" applyFill="1" applyBorder="1" applyAlignment="1">
      <alignment horizontal="center" vertical="center" wrapText="1"/>
    </xf>
    <xf numFmtId="0" fontId="57" fillId="9" borderId="125" xfId="26" applyFont="1" applyFill="1" applyBorder="1" applyAlignment="1">
      <alignment horizontal="center" vertical="center" wrapText="1"/>
    </xf>
    <xf numFmtId="0" fontId="57" fillId="9" borderId="166" xfId="26" applyFont="1" applyFill="1" applyBorder="1" applyAlignment="1">
      <alignment horizontal="center" vertical="center" wrapText="1"/>
    </xf>
    <xf numFmtId="0" fontId="57" fillId="9" borderId="66" xfId="26" applyFont="1" applyFill="1" applyBorder="1" applyAlignment="1">
      <alignment horizontal="center" vertical="center" wrapText="1"/>
    </xf>
    <xf numFmtId="0" fontId="57" fillId="9" borderId="67" xfId="26" applyFont="1" applyFill="1" applyBorder="1" applyAlignment="1">
      <alignment horizontal="center" vertical="center" wrapText="1"/>
    </xf>
    <xf numFmtId="0" fontId="57" fillId="9" borderId="68" xfId="26" applyFont="1" applyFill="1" applyBorder="1" applyAlignment="1">
      <alignment horizontal="center" vertical="center" wrapText="1"/>
    </xf>
    <xf numFmtId="0" fontId="56" fillId="0" borderId="182" xfId="26" applyFont="1" applyBorder="1" applyAlignment="1">
      <alignment horizontal="center" vertical="center"/>
    </xf>
    <xf numFmtId="0" fontId="56" fillId="0" borderId="125" xfId="26" applyFont="1" applyBorder="1" applyAlignment="1">
      <alignment horizontal="center" vertical="center"/>
    </xf>
    <xf numFmtId="0" fontId="56" fillId="0" borderId="166" xfId="26" applyFont="1" applyBorder="1" applyAlignment="1">
      <alignment horizontal="center" vertical="center"/>
    </xf>
    <xf numFmtId="0" fontId="56" fillId="0" borderId="183" xfId="26" applyFont="1" applyBorder="1" applyAlignment="1">
      <alignment horizontal="center" vertical="center"/>
    </xf>
    <xf numFmtId="0" fontId="56" fillId="0" borderId="127" xfId="26" applyFont="1" applyBorder="1" applyAlignment="1">
      <alignment horizontal="center" vertical="center"/>
    </xf>
    <xf numFmtId="0" fontId="56" fillId="0" borderId="184" xfId="26" applyFont="1" applyBorder="1" applyAlignment="1">
      <alignment horizontal="center" vertical="center"/>
    </xf>
    <xf numFmtId="0" fontId="31" fillId="0" borderId="186" xfId="26" applyFont="1" applyBorder="1" applyAlignment="1">
      <alignment horizontal="left" vertical="center" wrapText="1"/>
    </xf>
    <xf numFmtId="0" fontId="31" fillId="0" borderId="26" xfId="26" applyFont="1" applyBorder="1" applyAlignment="1">
      <alignment horizontal="left" vertical="center" wrapText="1"/>
    </xf>
    <xf numFmtId="0" fontId="31" fillId="0" borderId="26" xfId="26" applyFont="1" applyBorder="1" applyAlignment="1">
      <alignment horizontal="center" vertical="center"/>
    </xf>
    <xf numFmtId="0" fontId="31" fillId="0" borderId="70" xfId="26" applyFont="1" applyBorder="1" applyAlignment="1">
      <alignment horizontal="center" vertical="center"/>
    </xf>
    <xf numFmtId="0" fontId="60" fillId="0" borderId="187" xfId="3" applyFont="1" applyBorder="1" applyAlignment="1">
      <alignment horizontal="left" vertical="top"/>
    </xf>
    <xf numFmtId="0" fontId="60" fillId="0" borderId="24" xfId="3" applyFont="1" applyBorder="1" applyAlignment="1">
      <alignment horizontal="left" vertical="top"/>
    </xf>
    <xf numFmtId="0" fontId="60" fillId="0" borderId="65" xfId="3" applyFont="1" applyBorder="1" applyAlignment="1">
      <alignment horizontal="left" vertical="top"/>
    </xf>
    <xf numFmtId="0" fontId="31" fillId="0" borderId="23" xfId="26" applyFont="1" applyBorder="1" applyAlignment="1">
      <alignment horizontal="center" vertical="center"/>
    </xf>
    <xf numFmtId="0" fontId="31" fillId="0" borderId="24" xfId="26" applyFont="1" applyBorder="1" applyAlignment="1">
      <alignment horizontal="center" vertical="center"/>
    </xf>
    <xf numFmtId="0" fontId="31" fillId="0" borderId="30" xfId="26" applyFont="1" applyBorder="1" applyAlignment="1">
      <alignment horizontal="center" vertical="center"/>
    </xf>
    <xf numFmtId="0" fontId="31" fillId="0" borderId="22" xfId="26" applyFont="1" applyBorder="1" applyAlignment="1">
      <alignment horizontal="center" vertical="center"/>
    </xf>
    <xf numFmtId="0" fontId="31" fillId="0" borderId="24" xfId="26" applyFont="1" applyBorder="1" applyAlignment="1">
      <alignment horizontal="center" vertical="center" wrapText="1"/>
    </xf>
    <xf numFmtId="0" fontId="31" fillId="0" borderId="65" xfId="26" applyFont="1" applyBorder="1" applyAlignment="1">
      <alignment horizontal="center" vertical="center" wrapText="1"/>
    </xf>
    <xf numFmtId="0" fontId="31" fillId="0" borderId="22" xfId="26" applyFont="1" applyBorder="1" applyAlignment="1">
      <alignment horizontal="center" vertical="center" wrapText="1"/>
    </xf>
    <xf numFmtId="0" fontId="31" fillId="0" borderId="31" xfId="26" applyFont="1" applyBorder="1" applyAlignment="1">
      <alignment horizontal="center" vertical="center" wrapText="1"/>
    </xf>
    <xf numFmtId="0" fontId="31" fillId="0" borderId="26" xfId="26" applyFont="1" applyBorder="1" applyAlignment="1">
      <alignment horizontal="left" vertical="top"/>
    </xf>
    <xf numFmtId="0" fontId="31" fillId="0" borderId="70" xfId="26" applyFont="1" applyBorder="1" applyAlignment="1">
      <alignment horizontal="left" vertical="top"/>
    </xf>
    <xf numFmtId="0" fontId="31" fillId="0" borderId="185" xfId="26" applyFont="1" applyBorder="1" applyAlignment="1">
      <alignment horizontal="center" vertical="center"/>
    </xf>
    <xf numFmtId="0" fontId="31" fillId="0" borderId="69" xfId="26" applyFont="1" applyBorder="1" applyAlignment="1">
      <alignment horizontal="center" vertical="center" wrapText="1"/>
    </xf>
    <xf numFmtId="0" fontId="85" fillId="0" borderId="0" xfId="2" applyFont="1" applyAlignment="1">
      <alignment horizontal="left" vertical="center" indent="1"/>
    </xf>
    <xf numFmtId="0" fontId="63" fillId="0" borderId="0" xfId="2" applyFont="1" applyAlignment="1">
      <alignment horizontal="left" vertical="top" wrapText="1"/>
    </xf>
    <xf numFmtId="0" fontId="84" fillId="0" borderId="0" xfId="2" applyFont="1" applyAlignment="1">
      <alignment horizontal="left" vertical="center" indent="1"/>
    </xf>
    <xf numFmtId="175" fontId="86" fillId="0" borderId="0" xfId="2" applyNumberFormat="1" applyFont="1" applyAlignment="1">
      <alignment horizontal="left" vertical="center"/>
    </xf>
    <xf numFmtId="168" fontId="83" fillId="0" borderId="25" xfId="2" applyNumberFormat="1" applyFont="1" applyBorder="1" applyAlignment="1">
      <alignment horizontal="left" vertical="center"/>
    </xf>
    <xf numFmtId="168" fontId="83" fillId="0" borderId="26" xfId="2" applyNumberFormat="1" applyFont="1" applyBorder="1" applyAlignment="1">
      <alignment horizontal="left" vertical="center"/>
    </xf>
    <xf numFmtId="168" fontId="83" fillId="0" borderId="27" xfId="2" applyNumberFormat="1" applyFont="1" applyBorder="1" applyAlignment="1">
      <alignment horizontal="left" vertical="center"/>
    </xf>
    <xf numFmtId="168" fontId="57" fillId="3" borderId="35" xfId="2" applyNumberFormat="1" applyFont="1" applyFill="1" applyBorder="1" applyAlignment="1">
      <alignment horizontal="center" vertical="center"/>
    </xf>
    <xf numFmtId="168" fontId="31" fillId="3" borderId="42" xfId="1" applyNumberFormat="1" applyFont="1" applyFill="1" applyBorder="1" applyAlignment="1">
      <alignment horizontal="center" vertical="center"/>
    </xf>
    <xf numFmtId="168" fontId="31" fillId="3" borderId="93" xfId="1" applyNumberFormat="1" applyFont="1" applyFill="1" applyBorder="1" applyAlignment="1">
      <alignment horizontal="center" vertical="center"/>
    </xf>
    <xf numFmtId="168" fontId="31" fillId="3" borderId="71" xfId="1" applyNumberFormat="1" applyFont="1" applyFill="1" applyBorder="1" applyAlignment="1">
      <alignment horizontal="center" vertical="center"/>
    </xf>
    <xf numFmtId="168" fontId="31" fillId="3" borderId="94" xfId="1" applyNumberFormat="1" applyFont="1" applyFill="1" applyBorder="1" applyAlignment="1">
      <alignment horizontal="center" vertical="center"/>
    </xf>
    <xf numFmtId="10" fontId="56" fillId="0" borderId="93" xfId="1" applyNumberFormat="1" applyFont="1" applyBorder="1" applyAlignment="1">
      <alignment horizontal="center" vertical="center"/>
    </xf>
    <xf numFmtId="10" fontId="56" fillId="0" borderId="71" xfId="1" applyNumberFormat="1" applyFont="1" applyBorder="1" applyAlignment="1">
      <alignment horizontal="center" vertical="center"/>
    </xf>
    <xf numFmtId="10" fontId="56" fillId="0" borderId="45" xfId="1" applyNumberFormat="1" applyFont="1" applyBorder="1" applyAlignment="1">
      <alignment horizontal="center" vertical="center"/>
    </xf>
    <xf numFmtId="0" fontId="83" fillId="0" borderId="25" xfId="2" applyFont="1" applyBorder="1" applyAlignment="1">
      <alignment horizontal="left" vertical="center"/>
    </xf>
    <xf numFmtId="0" fontId="83" fillId="0" borderId="26" xfId="2" applyFont="1" applyBorder="1" applyAlignment="1">
      <alignment horizontal="left" vertical="center"/>
    </xf>
    <xf numFmtId="0" fontId="83" fillId="0" borderId="27" xfId="2" applyFont="1" applyBorder="1" applyAlignment="1">
      <alignment horizontal="left" vertical="center"/>
    </xf>
    <xf numFmtId="0" fontId="76" fillId="0" borderId="44" xfId="2" applyFont="1" applyBorder="1" applyAlignment="1">
      <alignment horizontal="left" vertical="center" indent="1"/>
    </xf>
    <xf numFmtId="0" fontId="76" fillId="0" borderId="71" xfId="2" applyFont="1" applyBorder="1" applyAlignment="1">
      <alignment horizontal="left" vertical="center" indent="1"/>
    </xf>
    <xf numFmtId="0" fontId="76" fillId="0" borderId="45" xfId="2" applyFont="1" applyBorder="1" applyAlignment="1">
      <alignment horizontal="left" vertical="center" indent="1"/>
    </xf>
    <xf numFmtId="168" fontId="31" fillId="3" borderId="41" xfId="1" applyNumberFormat="1" applyFont="1" applyFill="1" applyBorder="1" applyAlignment="1">
      <alignment horizontal="center" vertical="center"/>
    </xf>
    <xf numFmtId="10" fontId="56" fillId="3" borderId="42" xfId="1" applyNumberFormat="1" applyFont="1" applyFill="1" applyBorder="1" applyAlignment="1">
      <alignment horizontal="center" vertical="center"/>
    </xf>
    <xf numFmtId="10" fontId="56" fillId="3" borderId="43" xfId="1" applyNumberFormat="1" applyFont="1" applyFill="1" applyBorder="1" applyAlignment="1">
      <alignment horizontal="center" vertical="center"/>
    </xf>
    <xf numFmtId="4" fontId="56" fillId="0" borderId="3" xfId="2" applyNumberFormat="1" applyFont="1" applyBorder="1" applyAlignment="1">
      <alignment horizontal="center" vertical="center"/>
    </xf>
    <xf numFmtId="4" fontId="56" fillId="0" borderId="1" xfId="2" applyNumberFormat="1" applyFont="1" applyBorder="1" applyAlignment="1">
      <alignment horizontal="center" vertical="center"/>
    </xf>
    <xf numFmtId="4" fontId="56" fillId="0" borderId="34" xfId="2" applyNumberFormat="1" applyFont="1" applyBorder="1" applyAlignment="1">
      <alignment horizontal="center" vertical="center"/>
    </xf>
    <xf numFmtId="0" fontId="76" fillId="0" borderId="33" xfId="2" applyFont="1" applyBorder="1" applyAlignment="1">
      <alignment horizontal="left" vertical="center" indent="1"/>
    </xf>
    <xf numFmtId="0" fontId="76" fillId="0" borderId="1" xfId="2" applyFont="1" applyBorder="1" applyAlignment="1">
      <alignment horizontal="left" vertical="center" indent="1"/>
    </xf>
    <xf numFmtId="0" fontId="76" fillId="0" borderId="34" xfId="2" applyFont="1" applyBorder="1" applyAlignment="1">
      <alignment horizontal="left" vertical="center" indent="1"/>
    </xf>
    <xf numFmtId="4" fontId="56" fillId="3" borderId="4" xfId="2" applyNumberFormat="1" applyFont="1" applyFill="1" applyBorder="1" applyAlignment="1">
      <alignment horizontal="center" vertical="center"/>
    </xf>
    <xf numFmtId="4" fontId="56" fillId="3" borderId="5" xfId="2" applyNumberFormat="1" applyFont="1" applyFill="1" applyBorder="1" applyAlignment="1">
      <alignment horizontal="center" vertical="center"/>
    </xf>
    <xf numFmtId="4" fontId="56" fillId="3" borderId="39" xfId="2" applyNumberFormat="1" applyFont="1" applyFill="1" applyBorder="1" applyAlignment="1">
      <alignment horizontal="center" vertical="center"/>
    </xf>
    <xf numFmtId="4" fontId="56" fillId="3" borderId="3" xfId="2" applyNumberFormat="1" applyFont="1" applyFill="1" applyBorder="1" applyAlignment="1">
      <alignment horizontal="center" vertical="center"/>
    </xf>
    <xf numFmtId="4" fontId="56" fillId="3" borderId="1" xfId="2" applyNumberFormat="1" applyFont="1" applyFill="1" applyBorder="1" applyAlignment="1">
      <alignment horizontal="center" vertical="center"/>
    </xf>
    <xf numFmtId="4" fontId="56" fillId="3" borderId="2" xfId="2" applyNumberFormat="1" applyFont="1" applyFill="1" applyBorder="1" applyAlignment="1">
      <alignment horizontal="center" vertical="center"/>
    </xf>
    <xf numFmtId="4" fontId="56" fillId="3" borderId="3" xfId="2" quotePrefix="1" applyNumberFormat="1" applyFont="1" applyFill="1" applyBorder="1" applyAlignment="1">
      <alignment horizontal="center" vertical="center"/>
    </xf>
    <xf numFmtId="4" fontId="56" fillId="3" borderId="1" xfId="2" quotePrefix="1" applyNumberFormat="1" applyFont="1" applyFill="1" applyBorder="1" applyAlignment="1">
      <alignment horizontal="center" vertical="center"/>
    </xf>
    <xf numFmtId="4" fontId="56" fillId="3" borderId="2" xfId="2" quotePrefix="1" applyNumberFormat="1" applyFont="1" applyFill="1" applyBorder="1" applyAlignment="1">
      <alignment horizontal="center" vertical="center"/>
    </xf>
    <xf numFmtId="4" fontId="56" fillId="0" borderId="3" xfId="2" quotePrefix="1" applyNumberFormat="1" applyFont="1" applyBorder="1" applyAlignment="1">
      <alignment horizontal="center" vertical="center"/>
    </xf>
    <xf numFmtId="4" fontId="56" fillId="0" borderId="1" xfId="2" quotePrefix="1" applyNumberFormat="1" applyFont="1" applyBorder="1" applyAlignment="1">
      <alignment horizontal="center" vertical="center"/>
    </xf>
    <xf numFmtId="4" fontId="56" fillId="0" borderId="34" xfId="2" quotePrefix="1" applyNumberFormat="1" applyFont="1" applyBorder="1" applyAlignment="1">
      <alignment horizontal="center" vertical="center"/>
    </xf>
    <xf numFmtId="4" fontId="56" fillId="0" borderId="4" xfId="2" applyNumberFormat="1" applyFont="1" applyBorder="1" applyAlignment="1">
      <alignment horizontal="center" vertical="center"/>
    </xf>
    <xf numFmtId="4" fontId="56" fillId="0" borderId="5" xfId="2" applyNumberFormat="1" applyFont="1" applyBorder="1" applyAlignment="1">
      <alignment horizontal="center" vertical="center"/>
    </xf>
    <xf numFmtId="4" fontId="56" fillId="0" borderId="39" xfId="2" applyNumberFormat="1" applyFont="1" applyBorder="1" applyAlignment="1">
      <alignment horizontal="center" vertical="center"/>
    </xf>
    <xf numFmtId="4" fontId="56" fillId="0" borderId="2" xfId="2" applyNumberFormat="1" applyFont="1" applyBorder="1" applyAlignment="1">
      <alignment horizontal="center" vertical="center"/>
    </xf>
    <xf numFmtId="4" fontId="56" fillId="3" borderId="4" xfId="2" quotePrefix="1" applyNumberFormat="1" applyFont="1" applyFill="1" applyBorder="1" applyAlignment="1">
      <alignment horizontal="center" vertical="center"/>
    </xf>
    <xf numFmtId="4" fontId="56" fillId="3" borderId="5" xfId="2" quotePrefix="1" applyNumberFormat="1" applyFont="1" applyFill="1" applyBorder="1" applyAlignment="1">
      <alignment horizontal="center" vertical="center"/>
    </xf>
    <xf numFmtId="0" fontId="56" fillId="0" borderId="3" xfId="2" applyFont="1" applyBorder="1" applyAlignment="1">
      <alignment horizontal="center" vertical="center"/>
    </xf>
    <xf numFmtId="0" fontId="56" fillId="0" borderId="1" xfId="2" applyFont="1" applyBorder="1" applyAlignment="1">
      <alignment horizontal="center" vertical="center"/>
    </xf>
    <xf numFmtId="0" fontId="56" fillId="0" borderId="34" xfId="2" applyFont="1" applyBorder="1" applyAlignment="1">
      <alignment horizontal="center" vertical="center"/>
    </xf>
    <xf numFmtId="3" fontId="56" fillId="0" borderId="3" xfId="2" applyNumberFormat="1" applyFont="1" applyBorder="1" applyAlignment="1">
      <alignment horizontal="center" vertical="center"/>
    </xf>
    <xf numFmtId="3" fontId="56" fillId="0" borderId="1" xfId="2" applyNumberFormat="1" applyFont="1" applyBorder="1" applyAlignment="1">
      <alignment horizontal="center" vertical="center"/>
    </xf>
    <xf numFmtId="3" fontId="56" fillId="0" borderId="2" xfId="2" applyNumberFormat="1" applyFont="1" applyBorder="1" applyAlignment="1">
      <alignment horizontal="center" vertical="center"/>
    </xf>
    <xf numFmtId="3" fontId="56" fillId="0" borderId="34" xfId="2" applyNumberFormat="1" applyFont="1" applyBorder="1" applyAlignment="1">
      <alignment horizontal="center" vertical="center"/>
    </xf>
    <xf numFmtId="0" fontId="76" fillId="0" borderId="33" xfId="2" quotePrefix="1" applyFont="1" applyBorder="1" applyAlignment="1">
      <alignment horizontal="left" vertical="center" indent="1"/>
    </xf>
    <xf numFmtId="0" fontId="76" fillId="0" borderId="1" xfId="2" quotePrefix="1" applyFont="1" applyBorder="1" applyAlignment="1">
      <alignment horizontal="left" vertical="center" indent="1"/>
    </xf>
    <xf numFmtId="0" fontId="76" fillId="0" borderId="34" xfId="2" quotePrefix="1" applyFont="1" applyBorder="1" applyAlignment="1">
      <alignment horizontal="left" vertical="center" indent="1"/>
    </xf>
    <xf numFmtId="3" fontId="31" fillId="0" borderId="33" xfId="2" applyNumberFormat="1" applyFont="1" applyBorder="1" applyAlignment="1">
      <alignment horizontal="center" vertical="center"/>
    </xf>
    <xf numFmtId="3" fontId="31" fillId="0" borderId="1" xfId="2" applyNumberFormat="1" applyFont="1" applyBorder="1" applyAlignment="1">
      <alignment horizontal="center" vertical="center"/>
    </xf>
    <xf numFmtId="3" fontId="31" fillId="0" borderId="2" xfId="2" applyNumberFormat="1" applyFont="1" applyBorder="1" applyAlignment="1">
      <alignment horizontal="center" vertical="center"/>
    </xf>
    <xf numFmtId="3" fontId="31" fillId="0" borderId="3" xfId="2" applyNumberFormat="1" applyFont="1" applyBorder="1" applyAlignment="1">
      <alignment horizontal="center" vertical="center"/>
    </xf>
    <xf numFmtId="3" fontId="56" fillId="0" borderId="5" xfId="2" applyNumberFormat="1" applyFont="1" applyBorder="1" applyAlignment="1">
      <alignment horizontal="center" vertical="center"/>
    </xf>
    <xf numFmtId="3" fontId="56" fillId="0" borderId="39" xfId="2" applyNumberFormat="1" applyFont="1" applyBorder="1" applyAlignment="1">
      <alignment horizontal="center" vertical="center"/>
    </xf>
    <xf numFmtId="0" fontId="56" fillId="0" borderId="4" xfId="2" applyFont="1" applyBorder="1" applyAlignment="1">
      <alignment horizontal="center" vertical="center"/>
    </xf>
    <xf numFmtId="0" fontId="56" fillId="0" borderId="5" xfId="2" applyFont="1" applyBorder="1" applyAlignment="1">
      <alignment horizontal="center" vertical="center"/>
    </xf>
    <xf numFmtId="0" fontId="56" fillId="0" borderId="2" xfId="2" applyFont="1" applyBorder="1" applyAlignment="1">
      <alignment horizontal="center" vertical="center"/>
    </xf>
    <xf numFmtId="0" fontId="76" fillId="0" borderId="37" xfId="2" applyFont="1" applyBorder="1" applyAlignment="1">
      <alignment horizontal="center" vertical="center"/>
    </xf>
    <xf numFmtId="0" fontId="76" fillId="0" borderId="212" xfId="2" applyFont="1" applyBorder="1" applyAlignment="1">
      <alignment horizontal="center" vertical="center"/>
    </xf>
    <xf numFmtId="0" fontId="76" fillId="0" borderId="208" xfId="2" applyFont="1" applyBorder="1" applyAlignment="1">
      <alignment horizontal="center" vertical="center"/>
    </xf>
    <xf numFmtId="0" fontId="76" fillId="0" borderId="211" xfId="2" applyFont="1" applyBorder="1" applyAlignment="1">
      <alignment horizontal="center" vertical="center"/>
    </xf>
    <xf numFmtId="0" fontId="76" fillId="0" borderId="32" xfId="2" applyFont="1" applyBorder="1" applyAlignment="1">
      <alignment horizontal="center" vertical="center"/>
    </xf>
    <xf numFmtId="3" fontId="56" fillId="0" borderId="4" xfId="2" applyNumberFormat="1" applyFont="1" applyBorder="1" applyAlignment="1">
      <alignment horizontal="center" vertical="center"/>
    </xf>
    <xf numFmtId="0" fontId="76" fillId="0" borderId="40" xfId="2" applyFont="1" applyBorder="1" applyAlignment="1">
      <alignment horizontal="left" vertical="center" indent="1"/>
    </xf>
    <xf numFmtId="0" fontId="76" fillId="0" borderId="208" xfId="2" applyFont="1" applyBorder="1" applyAlignment="1">
      <alignment horizontal="left" vertical="center" indent="1"/>
    </xf>
    <xf numFmtId="0" fontId="76" fillId="0" borderId="32" xfId="2" applyFont="1" applyBorder="1" applyAlignment="1">
      <alignment horizontal="left" vertical="center" indent="1"/>
    </xf>
    <xf numFmtId="0" fontId="76" fillId="0" borderId="36" xfId="2" applyFont="1" applyBorder="1" applyAlignment="1">
      <alignment horizontal="center" vertical="center"/>
    </xf>
    <xf numFmtId="0" fontId="76" fillId="0" borderId="38" xfId="2" applyFont="1" applyBorder="1" applyAlignment="1">
      <alignment horizontal="center" vertical="center"/>
    </xf>
    <xf numFmtId="0" fontId="76" fillId="0" borderId="26" xfId="2" applyFont="1" applyBorder="1" applyAlignment="1">
      <alignment horizontal="center" vertical="center"/>
    </xf>
    <xf numFmtId="0" fontId="63" fillId="0" borderId="26" xfId="2" applyFont="1" applyBorder="1" applyAlignment="1">
      <alignment horizontal="center" vertical="center"/>
    </xf>
    <xf numFmtId="0" fontId="63" fillId="4" borderId="25" xfId="2" applyFont="1" applyFill="1" applyBorder="1" applyAlignment="1">
      <alignment horizontal="left" vertical="center" indent="1"/>
    </xf>
    <xf numFmtId="0" fontId="63" fillId="4" borderId="26" xfId="2" applyFont="1" applyFill="1" applyBorder="1" applyAlignment="1">
      <alignment horizontal="left" vertical="center" indent="1"/>
    </xf>
    <xf numFmtId="0" fontId="63" fillId="4" borderId="27" xfId="2" applyFont="1" applyFill="1" applyBorder="1" applyAlignment="1">
      <alignment horizontal="left" vertical="center" indent="1"/>
    </xf>
    <xf numFmtId="0" fontId="63" fillId="4" borderId="25" xfId="2" applyFont="1" applyFill="1" applyBorder="1" applyAlignment="1">
      <alignment horizontal="center" vertical="center"/>
    </xf>
    <xf numFmtId="0" fontId="63" fillId="4" borderId="26" xfId="2" applyFont="1" applyFill="1" applyBorder="1" applyAlignment="1">
      <alignment horizontal="center" vertical="center"/>
    </xf>
    <xf numFmtId="0" fontId="63" fillId="4" borderId="27" xfId="2" applyFont="1" applyFill="1" applyBorder="1" applyAlignment="1">
      <alignment horizontal="center" vertical="center"/>
    </xf>
    <xf numFmtId="0" fontId="23" fillId="0" borderId="0" xfId="42" applyFont="1" applyAlignment="1">
      <alignment horizontal="center" vertical="center" wrapText="1"/>
    </xf>
    <xf numFmtId="0" fontId="31" fillId="0" borderId="206" xfId="42" applyFont="1" applyBorder="1" applyAlignment="1">
      <alignment horizontal="left" vertical="center"/>
    </xf>
    <xf numFmtId="0" fontId="31" fillId="0" borderId="8" xfId="42" applyFont="1" applyBorder="1" applyAlignment="1">
      <alignment horizontal="left" vertical="center"/>
    </xf>
    <xf numFmtId="0" fontId="31" fillId="0" borderId="9" xfId="42" applyFont="1" applyBorder="1" applyAlignment="1">
      <alignment horizontal="left" vertical="center"/>
    </xf>
    <xf numFmtId="0" fontId="31" fillId="0" borderId="209" xfId="42" applyFont="1" applyBorder="1" applyAlignment="1">
      <alignment horizontal="left" vertical="center"/>
    </xf>
    <xf numFmtId="0" fontId="31" fillId="0" borderId="19" xfId="42" applyFont="1" applyBorder="1" applyAlignment="1">
      <alignment horizontal="left" vertical="center"/>
    </xf>
    <xf numFmtId="0" fontId="31" fillId="0" borderId="20" xfId="42" applyFont="1" applyBorder="1" applyAlignment="1">
      <alignment horizontal="left" vertical="center"/>
    </xf>
    <xf numFmtId="0" fontId="31" fillId="0" borderId="10" xfId="42" applyFont="1" applyBorder="1" applyAlignment="1">
      <alignment horizontal="center" vertical="center" wrapText="1"/>
    </xf>
    <xf numFmtId="0" fontId="31" fillId="0" borderId="8" xfId="42" applyFont="1" applyBorder="1" applyAlignment="1">
      <alignment horizontal="center" vertical="center" wrapText="1"/>
    </xf>
    <xf numFmtId="0" fontId="31" fillId="0" borderId="207" xfId="42" applyFont="1" applyBorder="1" applyAlignment="1">
      <alignment horizontal="center" vertical="center" wrapText="1"/>
    </xf>
    <xf numFmtId="0" fontId="31" fillId="0" borderId="21" xfId="42" applyFont="1" applyBorder="1" applyAlignment="1">
      <alignment horizontal="center" vertical="center" wrapText="1"/>
    </xf>
    <xf numFmtId="0" fontId="31" fillId="0" borderId="19" xfId="42" applyFont="1" applyBorder="1" applyAlignment="1">
      <alignment horizontal="center" vertical="center" wrapText="1"/>
    </xf>
    <xf numFmtId="0" fontId="31" fillId="0" borderId="214" xfId="42" applyFont="1" applyBorder="1" applyAlignment="1">
      <alignment horizontal="center" vertical="center" wrapText="1"/>
    </xf>
    <xf numFmtId="0" fontId="63" fillId="0" borderId="206" xfId="2" applyFont="1" applyBorder="1" applyAlignment="1">
      <alignment horizontal="left" vertical="center" wrapText="1"/>
    </xf>
    <xf numFmtId="0" fontId="63" fillId="0" borderId="8" xfId="2" applyFont="1" applyBorder="1" applyAlignment="1">
      <alignment horizontal="left" vertical="center" wrapText="1"/>
    </xf>
    <xf numFmtId="0" fontId="63" fillId="0" borderId="9" xfId="2" applyFont="1" applyBorder="1" applyAlignment="1">
      <alignment horizontal="left" vertical="center" wrapText="1"/>
    </xf>
    <xf numFmtId="0" fontId="63" fillId="0" borderId="209" xfId="2" applyFont="1" applyBorder="1" applyAlignment="1">
      <alignment horizontal="left" vertical="center" wrapText="1"/>
    </xf>
    <xf numFmtId="0" fontId="63" fillId="0" borderId="19" xfId="2" applyFont="1" applyBorder="1" applyAlignment="1">
      <alignment horizontal="left" vertical="center" wrapText="1"/>
    </xf>
    <xf numFmtId="0" fontId="63" fillId="0" borderId="20" xfId="2" applyFont="1" applyBorder="1" applyAlignment="1">
      <alignment horizontal="left" vertical="center" wrapText="1"/>
    </xf>
    <xf numFmtId="0" fontId="63" fillId="0" borderId="10" xfId="2" applyFont="1" applyBorder="1" applyAlignment="1">
      <alignment horizontal="center" vertical="center"/>
    </xf>
    <xf numFmtId="0" fontId="63" fillId="0" borderId="8" xfId="2" applyFont="1" applyBorder="1" applyAlignment="1">
      <alignment horizontal="center" vertical="center"/>
    </xf>
    <xf numFmtId="0" fontId="63" fillId="0" borderId="207" xfId="2" applyFont="1" applyBorder="1" applyAlignment="1">
      <alignment horizontal="center" vertical="center"/>
    </xf>
    <xf numFmtId="0" fontId="63" fillId="0" borderId="21" xfId="2" applyFont="1" applyBorder="1" applyAlignment="1">
      <alignment horizontal="center" vertical="center"/>
    </xf>
    <xf numFmtId="0" fontId="63" fillId="0" borderId="19" xfId="2" applyFont="1" applyBorder="1" applyAlignment="1">
      <alignment horizontal="center" vertical="center"/>
    </xf>
    <xf numFmtId="0" fontId="63" fillId="0" borderId="214" xfId="2" applyFont="1" applyBorder="1" applyAlignment="1">
      <alignment horizontal="center" vertical="center"/>
    </xf>
    <xf numFmtId="0" fontId="63" fillId="0" borderId="206" xfId="42" applyFont="1" applyBorder="1" applyAlignment="1">
      <alignment horizontal="left" vertical="center" wrapText="1"/>
    </xf>
    <xf numFmtId="0" fontId="63" fillId="0" borderId="8" xfId="42" applyFont="1" applyBorder="1" applyAlignment="1">
      <alignment horizontal="left" vertical="center" wrapText="1"/>
    </xf>
    <xf numFmtId="0" fontId="63" fillId="0" borderId="30" xfId="42" applyFont="1" applyBorder="1" applyAlignment="1">
      <alignment horizontal="left" vertical="center" wrapText="1"/>
    </xf>
    <xf numFmtId="0" fontId="63" fillId="0" borderId="22" xfId="42" applyFont="1" applyBorder="1" applyAlignment="1">
      <alignment horizontal="left" vertical="center" wrapText="1"/>
    </xf>
    <xf numFmtId="15" fontId="63" fillId="3" borderId="8" xfId="2" applyNumberFormat="1" applyFont="1" applyFill="1" applyBorder="1" applyAlignment="1">
      <alignment horizontal="center" vertical="center" wrapText="1"/>
    </xf>
    <xf numFmtId="15" fontId="63" fillId="3" borderId="9" xfId="2" applyNumberFormat="1" applyFont="1" applyFill="1" applyBorder="1" applyAlignment="1">
      <alignment horizontal="center" vertical="center" wrapText="1"/>
    </xf>
    <xf numFmtId="15" fontId="63" fillId="3" borderId="22" xfId="2" applyNumberFormat="1" applyFont="1" applyFill="1" applyBorder="1" applyAlignment="1">
      <alignment horizontal="center" vertical="center" wrapText="1"/>
    </xf>
    <xf numFmtId="15" fontId="63" fillId="3" borderId="91" xfId="2" applyNumberFormat="1" applyFont="1" applyFill="1" applyBorder="1" applyAlignment="1">
      <alignment horizontal="center" vertical="center" wrapText="1"/>
    </xf>
    <xf numFmtId="0" fontId="31" fillId="3" borderId="10" xfId="42" applyFont="1" applyFill="1" applyBorder="1" applyAlignment="1">
      <alignment horizontal="center" vertical="center" wrapText="1"/>
    </xf>
    <xf numFmtId="0" fontId="31" fillId="3" borderId="8" xfId="42" applyFont="1" applyFill="1" applyBorder="1" applyAlignment="1">
      <alignment horizontal="center" vertical="center" wrapText="1"/>
    </xf>
    <xf numFmtId="0" fontId="31" fillId="3" borderId="92" xfId="42" applyFont="1" applyFill="1" applyBorder="1" applyAlignment="1">
      <alignment horizontal="center" vertical="center" wrapText="1"/>
    </xf>
    <xf numFmtId="0" fontId="31" fillId="3" borderId="22" xfId="42" applyFont="1" applyFill="1" applyBorder="1" applyAlignment="1">
      <alignment horizontal="center" vertical="center" wrapText="1"/>
    </xf>
    <xf numFmtId="0" fontId="63" fillId="3" borderId="8" xfId="2" applyFont="1" applyFill="1" applyBorder="1" applyAlignment="1">
      <alignment horizontal="center" vertical="center" wrapText="1"/>
    </xf>
    <xf numFmtId="0" fontId="63" fillId="3" borderId="9" xfId="2" applyFont="1" applyFill="1" applyBorder="1" applyAlignment="1">
      <alignment horizontal="center" vertical="center" wrapText="1"/>
    </xf>
    <xf numFmtId="0" fontId="63" fillId="3" borderId="22" xfId="2" applyFont="1" applyFill="1" applyBorder="1" applyAlignment="1">
      <alignment horizontal="center" vertical="center" wrapText="1"/>
    </xf>
    <xf numFmtId="0" fontId="63" fillId="3" borderId="91" xfId="2" applyFont="1" applyFill="1" applyBorder="1" applyAlignment="1">
      <alignment horizontal="center" vertical="center" wrapText="1"/>
    </xf>
    <xf numFmtId="0" fontId="63" fillId="0" borderId="22" xfId="2" applyFont="1" applyBorder="1" applyAlignment="1">
      <alignment horizontal="center" vertical="center"/>
    </xf>
    <xf numFmtId="0" fontId="63" fillId="0" borderId="31" xfId="2" applyFont="1" applyBorder="1" applyAlignment="1">
      <alignment horizontal="center" vertical="center"/>
    </xf>
    <xf numFmtId="0" fontId="18" fillId="0" borderId="46" xfId="2" applyFont="1" applyBorder="1" applyAlignment="1">
      <alignment horizontal="center" vertical="center"/>
    </xf>
    <xf numFmtId="0" fontId="18" fillId="0" borderId="48" xfId="2" applyFont="1" applyBorder="1" applyAlignment="1">
      <alignment horizontal="center" vertical="center"/>
    </xf>
    <xf numFmtId="0" fontId="18" fillId="0" borderId="50" xfId="2" applyFont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18" fillId="0" borderId="62" xfId="2" applyFont="1" applyBorder="1" applyAlignment="1">
      <alignment horizontal="center" vertical="center"/>
    </xf>
    <xf numFmtId="0" fontId="18" fillId="0" borderId="63" xfId="2" applyFont="1" applyBorder="1" applyAlignment="1">
      <alignment horizontal="center" vertical="center"/>
    </xf>
    <xf numFmtId="0" fontId="23" fillId="9" borderId="46" xfId="2" applyFont="1" applyFill="1" applyBorder="1" applyAlignment="1">
      <alignment horizontal="center" vertical="center" wrapText="1"/>
    </xf>
    <xf numFmtId="0" fontId="23" fillId="9" borderId="48" xfId="2" applyFont="1" applyFill="1" applyBorder="1" applyAlignment="1">
      <alignment horizontal="center" vertical="center" wrapText="1"/>
    </xf>
    <xf numFmtId="0" fontId="23" fillId="9" borderId="49" xfId="2" applyFont="1" applyFill="1" applyBorder="1" applyAlignment="1">
      <alignment horizontal="center" vertical="center" wrapText="1"/>
    </xf>
    <xf numFmtId="0" fontId="23" fillId="9" borderId="50" xfId="2" applyFont="1" applyFill="1" applyBorder="1" applyAlignment="1">
      <alignment horizontal="center" vertical="center" wrapText="1"/>
    </xf>
    <xf numFmtId="0" fontId="23" fillId="9" borderId="0" xfId="2" applyFont="1" applyFill="1" applyAlignment="1">
      <alignment horizontal="center" vertical="center" wrapText="1"/>
    </xf>
    <xf numFmtId="0" fontId="23" fillId="9" borderId="51" xfId="2" applyFont="1" applyFill="1" applyBorder="1" applyAlignment="1">
      <alignment horizontal="center" vertical="center" wrapText="1"/>
    </xf>
    <xf numFmtId="0" fontId="23" fillId="9" borderId="62" xfId="2" applyFont="1" applyFill="1" applyBorder="1" applyAlignment="1">
      <alignment horizontal="center" vertical="center" wrapText="1"/>
    </xf>
    <xf numFmtId="0" fontId="23" fillId="9" borderId="63" xfId="2" applyFont="1" applyFill="1" applyBorder="1" applyAlignment="1">
      <alignment horizontal="center" vertical="center" wrapText="1"/>
    </xf>
    <xf numFmtId="0" fontId="23" fillId="9" borderId="64" xfId="2" applyFont="1" applyFill="1" applyBorder="1" applyAlignment="1">
      <alignment horizontal="center" vertical="center" wrapText="1"/>
    </xf>
    <xf numFmtId="0" fontId="57" fillId="0" borderId="0" xfId="42" applyFont="1" applyAlignment="1">
      <alignment horizontal="center" vertical="center"/>
    </xf>
    <xf numFmtId="0" fontId="79" fillId="0" borderId="0" xfId="42" applyFont="1" applyAlignment="1">
      <alignment horizontal="center" vertical="center"/>
    </xf>
    <xf numFmtId="0" fontId="31" fillId="0" borderId="23" xfId="42" applyFont="1" applyBorder="1" applyAlignment="1">
      <alignment horizontal="left" vertical="center"/>
    </xf>
    <xf numFmtId="0" fontId="31" fillId="0" borderId="24" xfId="42" applyFont="1" applyBorder="1" applyAlignment="1">
      <alignment horizontal="left" vertical="center"/>
    </xf>
    <xf numFmtId="0" fontId="31" fillId="0" borderId="89" xfId="42" applyFont="1" applyBorder="1" applyAlignment="1">
      <alignment horizontal="left" vertical="center"/>
    </xf>
    <xf numFmtId="0" fontId="31" fillId="0" borderId="90" xfId="42" applyFont="1" applyBorder="1" applyAlignment="1">
      <alignment horizontal="center" vertical="center" wrapText="1"/>
    </xf>
    <xf numFmtId="0" fontId="31" fillId="0" borderId="24" xfId="42" applyFont="1" applyBorder="1" applyAlignment="1">
      <alignment horizontal="center" vertical="center" wrapText="1"/>
    </xf>
    <xf numFmtId="0" fontId="31" fillId="0" borderId="65" xfId="42" applyFont="1" applyBorder="1" applyAlignment="1">
      <alignment horizontal="center" vertical="center" wrapText="1"/>
    </xf>
    <xf numFmtId="0" fontId="14" fillId="0" borderId="0" xfId="2" applyFont="1" applyAlignment="1">
      <alignment horizontal="center" vertical="center" wrapText="1"/>
    </xf>
    <xf numFmtId="0" fontId="17" fillId="0" borderId="23" xfId="26" applyFont="1" applyBorder="1" applyAlignment="1">
      <alignment horizontal="center" vertical="center" textRotation="90"/>
    </xf>
    <xf numFmtId="0" fontId="17" fillId="0" borderId="65" xfId="26" applyFont="1" applyBorder="1" applyAlignment="1">
      <alignment horizontal="center" vertical="center" textRotation="90"/>
    </xf>
    <xf numFmtId="0" fontId="17" fillId="0" borderId="28" xfId="26" applyFont="1" applyBorder="1" applyAlignment="1">
      <alignment horizontal="center" vertical="center" textRotation="90"/>
    </xf>
    <xf numFmtId="0" fontId="17" fillId="0" borderId="29" xfId="26" applyFont="1" applyBorder="1" applyAlignment="1">
      <alignment horizontal="center" vertical="center" textRotation="90"/>
    </xf>
    <xf numFmtId="0" fontId="17" fillId="0" borderId="30" xfId="26" applyFont="1" applyBorder="1" applyAlignment="1">
      <alignment horizontal="center" vertical="center" textRotation="90"/>
    </xf>
    <xf numFmtId="0" fontId="17" fillId="0" borderId="31" xfId="26" applyFont="1" applyBorder="1" applyAlignment="1">
      <alignment horizontal="center" vertical="center" textRotation="90"/>
    </xf>
    <xf numFmtId="0" fontId="150" fillId="0" borderId="23" xfId="26" applyFont="1" applyBorder="1" applyAlignment="1">
      <alignment horizontal="center" vertical="center" wrapText="1"/>
    </xf>
    <xf numFmtId="0" fontId="150" fillId="0" borderId="24" xfId="26" applyFont="1" applyBorder="1" applyAlignment="1">
      <alignment horizontal="center" vertical="center" wrapText="1"/>
    </xf>
    <xf numFmtId="0" fontId="150" fillId="0" borderId="199" xfId="26" applyFont="1" applyBorder="1" applyAlignment="1">
      <alignment horizontal="center" vertical="center" wrapText="1"/>
    </xf>
    <xf numFmtId="0" fontId="150" fillId="0" borderId="28" xfId="26" applyFont="1" applyBorder="1" applyAlignment="1">
      <alignment horizontal="center" vertical="center" wrapText="1"/>
    </xf>
    <xf numFmtId="0" fontId="150" fillId="0" borderId="0" xfId="26" applyFont="1" applyAlignment="1">
      <alignment horizontal="center" vertical="center" wrapText="1"/>
    </xf>
    <xf numFmtId="0" fontId="150" fillId="0" borderId="162" xfId="26" applyFont="1" applyBorder="1" applyAlignment="1">
      <alignment horizontal="center" vertical="center" wrapText="1"/>
    </xf>
    <xf numFmtId="0" fontId="150" fillId="0" borderId="30" xfId="26" applyFont="1" applyBorder="1" applyAlignment="1">
      <alignment horizontal="center" vertical="center" wrapText="1"/>
    </xf>
    <xf numFmtId="0" fontId="150" fillId="0" borderId="22" xfId="26" applyFont="1" applyBorder="1" applyAlignment="1">
      <alignment horizontal="center" vertical="center" wrapText="1"/>
    </xf>
    <xf numFmtId="0" fontId="150" fillId="0" borderId="69" xfId="26" applyFont="1" applyBorder="1" applyAlignment="1">
      <alignment horizontal="center" vertical="center" wrapText="1"/>
    </xf>
    <xf numFmtId="0" fontId="17" fillId="0" borderId="35" xfId="26" applyFont="1" applyBorder="1" applyAlignment="1">
      <alignment horizontal="center" vertical="center"/>
    </xf>
    <xf numFmtId="0" fontId="17" fillId="0" borderId="143" xfId="26" applyFont="1" applyBorder="1" applyAlignment="1">
      <alignment horizontal="center" vertical="center"/>
    </xf>
    <xf numFmtId="9" fontId="95" fillId="0" borderId="35" xfId="26" applyNumberFormat="1" applyFont="1" applyBorder="1" applyAlignment="1">
      <alignment horizontal="center" vertical="center"/>
    </xf>
    <xf numFmtId="0" fontId="101" fillId="14" borderId="0" xfId="0" applyFont="1" applyFill="1" applyAlignment="1">
      <alignment horizontal="center" vertical="center"/>
    </xf>
    <xf numFmtId="0" fontId="150" fillId="0" borderId="23" xfId="26" applyFont="1" applyBorder="1" applyAlignment="1">
      <alignment horizontal="center" vertical="center"/>
    </xf>
    <xf numFmtId="0" fontId="150" fillId="0" borderId="24" xfId="26" applyFont="1" applyBorder="1" applyAlignment="1">
      <alignment horizontal="center" vertical="center"/>
    </xf>
    <xf numFmtId="0" fontId="150" fillId="0" borderId="199" xfId="26" applyFont="1" applyBorder="1" applyAlignment="1">
      <alignment horizontal="center" vertical="center"/>
    </xf>
    <xf numFmtId="0" fontId="150" fillId="0" borderId="28" xfId="26" applyFont="1" applyBorder="1" applyAlignment="1">
      <alignment horizontal="center" vertical="center"/>
    </xf>
    <xf numFmtId="0" fontId="150" fillId="0" borderId="0" xfId="26" applyFont="1" applyAlignment="1">
      <alignment horizontal="center" vertical="center"/>
    </xf>
    <xf numFmtId="0" fontId="150" fillId="0" borderId="162" xfId="26" applyFont="1" applyBorder="1" applyAlignment="1">
      <alignment horizontal="center" vertical="center"/>
    </xf>
    <xf numFmtId="0" fontId="72" fillId="0" borderId="28" xfId="26" applyFont="1" applyBorder="1" applyAlignment="1">
      <alignment horizontal="center" vertical="center" wrapText="1"/>
    </xf>
    <xf numFmtId="0" fontId="72" fillId="0" borderId="0" xfId="26" applyFont="1" applyAlignment="1">
      <alignment horizontal="center" vertical="center" wrapText="1"/>
    </xf>
    <xf numFmtId="0" fontId="72" fillId="0" borderId="162" xfId="26" applyFont="1" applyBorder="1" applyAlignment="1">
      <alignment horizontal="center" vertical="center" wrapText="1"/>
    </xf>
    <xf numFmtId="0" fontId="72" fillId="0" borderId="30" xfId="26" applyFont="1" applyBorder="1" applyAlignment="1">
      <alignment horizontal="center" vertical="center" wrapText="1"/>
    </xf>
    <xf numFmtId="0" fontId="72" fillId="0" borderId="22" xfId="26" applyFont="1" applyBorder="1" applyAlignment="1">
      <alignment horizontal="center" vertical="center" wrapText="1"/>
    </xf>
    <xf numFmtId="0" fontId="72" fillId="0" borderId="69" xfId="26" applyFont="1" applyBorder="1" applyAlignment="1">
      <alignment horizontal="center" vertical="center" wrapText="1"/>
    </xf>
    <xf numFmtId="0" fontId="17" fillId="0" borderId="35" xfId="26" applyFont="1" applyBorder="1" applyAlignment="1">
      <alignment horizontal="center" vertical="center" wrapText="1"/>
    </xf>
    <xf numFmtId="9" fontId="96" fillId="0" borderId="0" xfId="26" applyNumberFormat="1" applyFont="1" applyAlignment="1">
      <alignment horizontal="center" vertical="center"/>
    </xf>
    <xf numFmtId="9" fontId="58" fillId="0" borderId="0" xfId="26" applyNumberFormat="1" applyFont="1" applyAlignment="1">
      <alignment horizontal="center" vertical="center"/>
    </xf>
    <xf numFmtId="10" fontId="79" fillId="0" borderId="35" xfId="26" applyNumberFormat="1" applyFont="1" applyBorder="1" applyAlignment="1">
      <alignment horizontal="center" vertical="center"/>
    </xf>
    <xf numFmtId="0" fontId="64" fillId="6" borderId="186" xfId="26" applyFont="1" applyFill="1" applyBorder="1" applyAlignment="1">
      <alignment horizontal="center" vertical="center"/>
    </xf>
    <xf numFmtId="0" fontId="64" fillId="6" borderId="26" xfId="26" applyFont="1" applyFill="1" applyBorder="1" applyAlignment="1">
      <alignment horizontal="center" vertical="center"/>
    </xf>
    <xf numFmtId="0" fontId="64" fillId="6" borderId="70" xfId="26" applyFont="1" applyFill="1" applyBorder="1" applyAlignment="1">
      <alignment horizontal="center" vertical="center"/>
    </xf>
    <xf numFmtId="0" fontId="95" fillId="0" borderId="0" xfId="26" applyFont="1" applyAlignment="1">
      <alignment horizontal="center" vertical="center"/>
    </xf>
    <xf numFmtId="0" fontId="90" fillId="0" borderId="188" xfId="26" applyFont="1" applyBorder="1" applyAlignment="1">
      <alignment horizontal="left" vertical="center" indent="1"/>
    </xf>
    <xf numFmtId="0" fontId="90" fillId="0" borderId="0" xfId="26" applyFont="1" applyAlignment="1">
      <alignment horizontal="left" vertical="center" indent="1"/>
    </xf>
    <xf numFmtId="167" fontId="90" fillId="0" borderId="0" xfId="26" applyNumberFormat="1" applyFont="1" applyAlignment="1">
      <alignment horizontal="right" vertical="center" indent="2"/>
    </xf>
    <xf numFmtId="4" fontId="90" fillId="0" borderId="0" xfId="26" applyNumberFormat="1" applyFont="1" applyAlignment="1">
      <alignment horizontal="right" vertical="center" wrapText="1" indent="1"/>
    </xf>
    <xf numFmtId="168" fontId="90" fillId="0" borderId="0" xfId="30" applyNumberFormat="1" applyFont="1" applyAlignment="1">
      <alignment horizontal="right" vertical="center" wrapText="1" indent="1"/>
    </xf>
    <xf numFmtId="10" fontId="90" fillId="0" borderId="0" xfId="30" applyNumberFormat="1" applyFont="1" applyAlignment="1">
      <alignment horizontal="right" vertical="center" wrapText="1" indent="1"/>
    </xf>
    <xf numFmtId="9" fontId="93" fillId="0" borderId="0" xfId="30" applyFont="1" applyAlignment="1">
      <alignment horizontal="right" vertical="center" wrapText="1" indent="2"/>
    </xf>
    <xf numFmtId="9" fontId="77" fillId="0" borderId="35" xfId="26" applyNumberFormat="1" applyFont="1" applyBorder="1" applyAlignment="1">
      <alignment horizontal="center" vertical="center"/>
    </xf>
    <xf numFmtId="9" fontId="77" fillId="0" borderId="143" xfId="26" applyNumberFormat="1" applyFont="1" applyBorder="1" applyAlignment="1">
      <alignment horizontal="center" vertical="center"/>
    </xf>
    <xf numFmtId="9" fontId="95" fillId="0" borderId="0" xfId="26" applyNumberFormat="1" applyFont="1" applyAlignment="1">
      <alignment horizontal="center" vertical="center"/>
    </xf>
    <xf numFmtId="0" fontId="48" fillId="0" borderId="0" xfId="26" applyFont="1" applyAlignment="1">
      <alignment horizontal="center" vertical="center"/>
    </xf>
    <xf numFmtId="0" fontId="31" fillId="0" borderId="35" xfId="26" applyFont="1" applyBorder="1" applyAlignment="1">
      <alignment horizontal="center" vertical="center"/>
    </xf>
    <xf numFmtId="0" fontId="94" fillId="0" borderId="35" xfId="26" applyFont="1" applyBorder="1"/>
    <xf numFmtId="0" fontId="94" fillId="0" borderId="143" xfId="26" applyFont="1" applyBorder="1"/>
    <xf numFmtId="0" fontId="59" fillId="0" borderId="0" xfId="26" applyFont="1" applyAlignment="1">
      <alignment horizontal="center" vertical="center"/>
    </xf>
    <xf numFmtId="0" fontId="5" fillId="0" borderId="0" xfId="26"/>
    <xf numFmtId="0" fontId="31" fillId="0" borderId="35" xfId="26" applyFont="1" applyBorder="1" applyAlignment="1">
      <alignment horizontal="left" vertical="center" wrapText="1"/>
    </xf>
    <xf numFmtId="2" fontId="26" fillId="0" borderId="35" xfId="26" quotePrefix="1" applyNumberFormat="1" applyFont="1" applyBorder="1" applyAlignment="1">
      <alignment horizontal="center" vertical="center"/>
    </xf>
    <xf numFmtId="2" fontId="26" fillId="0" borderId="35" xfId="26" applyNumberFormat="1" applyFont="1" applyBorder="1" applyAlignment="1">
      <alignment horizontal="center" vertical="center"/>
    </xf>
    <xf numFmtId="2" fontId="26" fillId="0" borderId="143" xfId="26" applyNumberFormat="1" applyFont="1" applyBorder="1" applyAlignment="1">
      <alignment horizontal="center" vertical="center"/>
    </xf>
    <xf numFmtId="0" fontId="59" fillId="0" borderId="0" xfId="26" applyFont="1" applyAlignment="1">
      <alignment horizontal="left" vertical="center" wrapText="1" indent="1"/>
    </xf>
    <xf numFmtId="2" fontId="48" fillId="0" borderId="0" xfId="26" quotePrefix="1" applyNumberFormat="1" applyFont="1" applyAlignment="1">
      <alignment horizontal="center" vertical="center"/>
    </xf>
    <xf numFmtId="2" fontId="48" fillId="0" borderId="0" xfId="26" applyNumberFormat="1" applyFont="1" applyAlignment="1">
      <alignment horizontal="center" vertical="center"/>
    </xf>
    <xf numFmtId="174" fontId="31" fillId="0" borderId="35" xfId="26" quotePrefix="1" applyNumberFormat="1" applyFont="1" applyBorder="1" applyAlignment="1">
      <alignment horizontal="center" vertical="center"/>
    </xf>
    <xf numFmtId="174" fontId="31" fillId="0" borderId="35" xfId="26" applyNumberFormat="1" applyFont="1" applyBorder="1" applyAlignment="1">
      <alignment horizontal="center" vertical="center"/>
    </xf>
    <xf numFmtId="174" fontId="31" fillId="0" borderId="23" xfId="26" quotePrefix="1" applyNumberFormat="1" applyFont="1" applyBorder="1" applyAlignment="1">
      <alignment horizontal="center" vertical="center"/>
    </xf>
    <xf numFmtId="174" fontId="31" fillId="0" borderId="24" xfId="26" quotePrefix="1" applyNumberFormat="1" applyFont="1" applyBorder="1" applyAlignment="1">
      <alignment horizontal="center" vertical="center"/>
    </xf>
    <xf numFmtId="174" fontId="31" fillId="0" borderId="65" xfId="26" quotePrefix="1" applyNumberFormat="1" applyFont="1" applyBorder="1" applyAlignment="1">
      <alignment horizontal="center" vertical="center"/>
    </xf>
    <xf numFmtId="174" fontId="31" fillId="0" borderId="30" xfId="26" quotePrefix="1" applyNumberFormat="1" applyFont="1" applyBorder="1" applyAlignment="1">
      <alignment horizontal="center" vertical="center"/>
    </xf>
    <xf numFmtId="174" fontId="31" fillId="0" borderId="22" xfId="26" quotePrefix="1" applyNumberFormat="1" applyFont="1" applyBorder="1" applyAlignment="1">
      <alignment horizontal="center" vertical="center"/>
    </xf>
    <xf numFmtId="174" fontId="31" fillId="0" borderId="31" xfId="26" quotePrefix="1" applyNumberFormat="1" applyFont="1" applyBorder="1" applyAlignment="1">
      <alignment horizontal="center" vertical="center"/>
    </xf>
    <xf numFmtId="174" fontId="31" fillId="0" borderId="199" xfId="26" quotePrefix="1" applyNumberFormat="1" applyFont="1" applyBorder="1" applyAlignment="1">
      <alignment horizontal="center" vertical="center"/>
    </xf>
    <xf numFmtId="174" fontId="31" fillId="0" borderId="69" xfId="26" quotePrefix="1" applyNumberFormat="1" applyFont="1" applyBorder="1" applyAlignment="1">
      <alignment horizontal="center" vertical="center"/>
    </xf>
    <xf numFmtId="181" fontId="59" fillId="0" borderId="0" xfId="26" quotePrefix="1" applyNumberFormat="1" applyFont="1" applyAlignment="1">
      <alignment horizontal="center" vertical="center"/>
    </xf>
    <xf numFmtId="181" fontId="59" fillId="0" borderId="0" xfId="26" applyNumberFormat="1" applyFont="1" applyAlignment="1">
      <alignment horizontal="center" vertical="center"/>
    </xf>
    <xf numFmtId="0" fontId="64" fillId="6" borderId="189" xfId="26" applyFont="1" applyFill="1" applyBorder="1" applyAlignment="1">
      <alignment horizontal="center" vertical="center"/>
    </xf>
    <xf numFmtId="0" fontId="64" fillId="6" borderId="35" xfId="26" applyFont="1" applyFill="1" applyBorder="1" applyAlignment="1">
      <alignment horizontal="center" vertical="center"/>
    </xf>
    <xf numFmtId="0" fontId="64" fillId="6" borderId="143" xfId="26" applyFont="1" applyFill="1" applyBorder="1" applyAlignment="1">
      <alignment horizontal="center" vertical="center"/>
    </xf>
    <xf numFmtId="0" fontId="26" fillId="0" borderId="35" xfId="26" applyFont="1" applyBorder="1" applyAlignment="1">
      <alignment horizontal="center" vertical="center"/>
    </xf>
    <xf numFmtId="0" fontId="26" fillId="0" borderId="143" xfId="26" applyFont="1" applyBorder="1" applyAlignment="1">
      <alignment horizontal="center" vertical="center"/>
    </xf>
    <xf numFmtId="0" fontId="60" fillId="0" borderId="0" xfId="3" applyFont="1" applyAlignment="1">
      <alignment horizontal="center" vertical="center"/>
    </xf>
    <xf numFmtId="0" fontId="31" fillId="0" borderId="187" xfId="26" applyFont="1" applyBorder="1" applyAlignment="1">
      <alignment horizontal="left" vertical="center"/>
    </xf>
    <xf numFmtId="0" fontId="31" fillId="0" borderId="24" xfId="26" applyFont="1" applyBorder="1" applyAlignment="1">
      <alignment horizontal="left" vertical="center"/>
    </xf>
    <xf numFmtId="0" fontId="31" fillId="0" borderId="23" xfId="26" applyFont="1" applyBorder="1" applyAlignment="1">
      <alignment horizontal="center" vertical="center" wrapText="1"/>
    </xf>
    <xf numFmtId="0" fontId="31" fillId="0" borderId="30" xfId="26" applyFont="1" applyBorder="1" applyAlignment="1">
      <alignment horizontal="center" vertical="center" wrapText="1"/>
    </xf>
    <xf numFmtId="0" fontId="61" fillId="0" borderId="24" xfId="26" applyFont="1" applyBorder="1" applyAlignment="1">
      <alignment horizontal="center" vertical="center" wrapText="1"/>
    </xf>
    <xf numFmtId="0" fontId="61" fillId="0" borderId="22" xfId="26" applyFont="1" applyBorder="1" applyAlignment="1">
      <alignment horizontal="center" vertical="center" wrapText="1"/>
    </xf>
    <xf numFmtId="0" fontId="31" fillId="3" borderId="25" xfId="26" applyFont="1" applyFill="1" applyBorder="1" applyAlignment="1">
      <alignment horizontal="center" vertical="center" wrapText="1"/>
    </xf>
    <xf numFmtId="0" fontId="31" fillId="0" borderId="185" xfId="26" applyFont="1" applyBorder="1" applyAlignment="1">
      <alignment horizontal="left" vertical="top"/>
    </xf>
    <xf numFmtId="0" fontId="89" fillId="9" borderId="66" xfId="3" applyFont="1" applyFill="1" applyBorder="1" applyAlignment="1">
      <alignment horizontal="center" vertical="center" wrapText="1"/>
    </xf>
    <xf numFmtId="0" fontId="89" fillId="9" borderId="67" xfId="3" applyFont="1" applyFill="1" applyBorder="1" applyAlignment="1">
      <alignment horizontal="center" vertical="center" wrapText="1"/>
    </xf>
    <xf numFmtId="0" fontId="89" fillId="9" borderId="68" xfId="3" applyFont="1" applyFill="1" applyBorder="1" applyAlignment="1">
      <alignment horizontal="center" vertical="center" wrapText="1"/>
    </xf>
    <xf numFmtId="1" fontId="89" fillId="0" borderId="30" xfId="31" applyNumberFormat="1" applyFont="1" applyBorder="1" applyAlignment="1">
      <alignment horizontal="center" vertical="center"/>
    </xf>
    <xf numFmtId="1" fontId="89" fillId="0" borderId="22" xfId="31" applyNumberFormat="1" applyFont="1" applyBorder="1" applyAlignment="1">
      <alignment horizontal="center" vertical="center"/>
    </xf>
    <xf numFmtId="0" fontId="89" fillId="0" borderId="22" xfId="31" applyFont="1" applyBorder="1" applyAlignment="1">
      <alignment horizontal="center" vertical="center"/>
    </xf>
    <xf numFmtId="0" fontId="89" fillId="0" borderId="31" xfId="31" applyFont="1" applyBorder="1" applyAlignment="1">
      <alignment horizontal="center" vertical="center"/>
    </xf>
    <xf numFmtId="0" fontId="89" fillId="0" borderId="0" xfId="31" applyFont="1" applyBorder="1" applyAlignment="1">
      <alignment horizontal="center" vertical="center"/>
    </xf>
    <xf numFmtId="0" fontId="89" fillId="0" borderId="23" xfId="31" applyFont="1" applyBorder="1" applyAlignment="1">
      <alignment horizontal="center" vertical="center"/>
    </xf>
    <xf numFmtId="0" fontId="89" fillId="0" borderId="24" xfId="31" applyFont="1" applyBorder="1" applyAlignment="1">
      <alignment horizontal="center" vertical="center"/>
    </xf>
    <xf numFmtId="0" fontId="89" fillId="0" borderId="65" xfId="31" applyFont="1" applyBorder="1" applyAlignment="1">
      <alignment horizontal="center" vertical="center"/>
    </xf>
    <xf numFmtId="3" fontId="89" fillId="0" borderId="209" xfId="31" applyNumberFormat="1" applyFont="1" applyBorder="1" applyAlignment="1">
      <alignment horizontal="center" vertical="center"/>
    </xf>
    <xf numFmtId="3" fontId="89" fillId="0" borderId="19" xfId="31" applyNumberFormat="1" applyFont="1" applyBorder="1" applyAlignment="1">
      <alignment horizontal="center" vertical="center"/>
    </xf>
    <xf numFmtId="3" fontId="89" fillId="0" borderId="214" xfId="31" applyNumberFormat="1" applyFont="1" applyBorder="1" applyAlignment="1">
      <alignment horizontal="center" vertical="center"/>
    </xf>
    <xf numFmtId="0" fontId="89" fillId="0" borderId="206" xfId="31" applyFont="1" applyBorder="1" applyAlignment="1">
      <alignment horizontal="center" vertical="center"/>
    </xf>
    <xf numFmtId="0" fontId="89" fillId="0" borderId="8" xfId="31" applyFont="1" applyBorder="1" applyAlignment="1">
      <alignment horizontal="center" vertical="center"/>
    </xf>
    <xf numFmtId="0" fontId="89" fillId="0" borderId="207" xfId="31" applyFont="1" applyBorder="1" applyAlignment="1">
      <alignment horizontal="center" vertical="center"/>
    </xf>
    <xf numFmtId="0" fontId="89" fillId="6" borderId="23" xfId="31" applyFont="1" applyFill="1" applyBorder="1" applyAlignment="1">
      <alignment horizontal="center" vertical="center"/>
    </xf>
    <xf numFmtId="0" fontId="89" fillId="6" borderId="24" xfId="31" applyFont="1" applyFill="1" applyBorder="1" applyAlignment="1">
      <alignment horizontal="center" vertical="center"/>
    </xf>
    <xf numFmtId="0" fontId="89" fillId="6" borderId="65" xfId="31" applyFont="1" applyFill="1" applyBorder="1" applyAlignment="1">
      <alignment horizontal="center" vertical="center"/>
    </xf>
    <xf numFmtId="0" fontId="18" fillId="0" borderId="209" xfId="31" applyFont="1" applyBorder="1" applyAlignment="1">
      <alignment horizontal="left" vertical="center"/>
    </xf>
    <xf numFmtId="0" fontId="18" fillId="0" borderId="19" xfId="31" applyFont="1" applyBorder="1" applyAlignment="1">
      <alignment horizontal="left" vertical="center"/>
    </xf>
    <xf numFmtId="2" fontId="117" fillId="0" borderId="210" xfId="10" applyNumberFormat="1" applyFont="1" applyBorder="1" applyAlignment="1">
      <alignment horizontal="center" vertical="center" wrapText="1"/>
    </xf>
    <xf numFmtId="2" fontId="117" fillId="0" borderId="212" xfId="10" applyNumberFormat="1" applyFont="1" applyBorder="1" applyAlignment="1">
      <alignment horizontal="center" vertical="center" wrapText="1"/>
    </xf>
    <xf numFmtId="2" fontId="117" fillId="0" borderId="208" xfId="10" applyNumberFormat="1" applyFont="1" applyBorder="1" applyAlignment="1">
      <alignment horizontal="center" vertical="center" wrapText="1"/>
    </xf>
    <xf numFmtId="2" fontId="117" fillId="0" borderId="211" xfId="10" applyNumberFormat="1" applyFont="1" applyBorder="1" applyAlignment="1">
      <alignment horizontal="center" vertical="center" wrapText="1"/>
    </xf>
    <xf numFmtId="0" fontId="18" fillId="0" borderId="0" xfId="3" applyFont="1" applyBorder="1" applyAlignment="1">
      <alignment horizontal="center" vertical="center"/>
    </xf>
    <xf numFmtId="0" fontId="89" fillId="0" borderId="28" xfId="31" applyFont="1" applyBorder="1" applyAlignment="1">
      <alignment horizontal="center" vertical="center"/>
    </xf>
    <xf numFmtId="0" fontId="89" fillId="0" borderId="29" xfId="31" applyFont="1" applyBorder="1" applyAlignment="1">
      <alignment horizontal="center" vertical="center"/>
    </xf>
    <xf numFmtId="0" fontId="89" fillId="0" borderId="30" xfId="31" applyFont="1" applyBorder="1" applyAlignment="1">
      <alignment horizontal="center" vertical="center"/>
    </xf>
    <xf numFmtId="0" fontId="21" fillId="8" borderId="0" xfId="2" applyFont="1" applyFill="1" applyAlignment="1">
      <alignment horizontal="center"/>
    </xf>
    <xf numFmtId="168" fontId="125" fillId="0" borderId="30" xfId="10" applyNumberFormat="1" applyFont="1" applyBorder="1" applyAlignment="1">
      <alignment horizontal="center" vertical="center"/>
    </xf>
    <xf numFmtId="168" fontId="125" fillId="0" borderId="22" xfId="10" applyNumberFormat="1" applyFont="1" applyBorder="1" applyAlignment="1">
      <alignment horizontal="center" vertical="center"/>
    </xf>
    <xf numFmtId="168" fontId="125" fillId="0" borderId="31" xfId="10" applyNumberFormat="1" applyFont="1" applyBorder="1" applyAlignment="1">
      <alignment horizontal="center" vertical="center"/>
    </xf>
    <xf numFmtId="172" fontId="89" fillId="0" borderId="209" xfId="31" applyNumberFormat="1" applyFont="1" applyBorder="1" applyAlignment="1">
      <alignment horizontal="center" vertical="center"/>
    </xf>
    <xf numFmtId="172" fontId="89" fillId="0" borderId="19" xfId="31" applyNumberFormat="1" applyFont="1" applyBorder="1" applyAlignment="1">
      <alignment horizontal="center" vertical="center"/>
    </xf>
    <xf numFmtId="172" fontId="89" fillId="0" borderId="214" xfId="31" applyNumberFormat="1" applyFont="1" applyBorder="1" applyAlignment="1">
      <alignment horizontal="center" vertical="center"/>
    </xf>
    <xf numFmtId="0" fontId="124" fillId="8" borderId="25" xfId="2" applyFont="1" applyFill="1" applyBorder="1" applyAlignment="1">
      <alignment horizontal="center" vertical="center"/>
    </xf>
    <xf numFmtId="0" fontId="124" fillId="8" borderId="26" xfId="2" applyFont="1" applyFill="1" applyBorder="1" applyAlignment="1">
      <alignment horizontal="center" vertical="center"/>
    </xf>
    <xf numFmtId="0" fontId="124" fillId="8" borderId="27" xfId="2" applyFont="1" applyFill="1" applyBorder="1" applyAlignment="1">
      <alignment horizontal="center" vertical="center"/>
    </xf>
    <xf numFmtId="1" fontId="125" fillId="0" borderId="209" xfId="31" applyNumberFormat="1" applyFont="1" applyBorder="1" applyAlignment="1">
      <alignment horizontal="center" vertical="center"/>
    </xf>
    <xf numFmtId="1" fontId="125" fillId="0" borderId="19" xfId="31" applyNumberFormat="1" applyFont="1" applyBorder="1" applyAlignment="1">
      <alignment horizontal="center" vertical="center"/>
    </xf>
    <xf numFmtId="0" fontId="89" fillId="0" borderId="19" xfId="31" applyFont="1" applyBorder="1" applyAlignment="1">
      <alignment horizontal="center" vertical="center"/>
    </xf>
    <xf numFmtId="0" fontId="89" fillId="0" borderId="214" xfId="31" applyFont="1" applyBorder="1" applyAlignment="1">
      <alignment horizontal="center" vertical="center"/>
    </xf>
    <xf numFmtId="0" fontId="118" fillId="0" borderId="0" xfId="31" applyFont="1" applyAlignment="1">
      <alignment horizontal="center" vertical="center"/>
    </xf>
    <xf numFmtId="168" fontId="72" fillId="6" borderId="209" xfId="10" applyNumberFormat="1" applyFont="1" applyFill="1" applyBorder="1" applyAlignment="1">
      <alignment horizontal="center" vertical="center"/>
    </xf>
    <xf numFmtId="168" fontId="72" fillId="6" borderId="19" xfId="10" applyNumberFormat="1" applyFont="1" applyFill="1" applyBorder="1" applyAlignment="1">
      <alignment horizontal="center" vertical="center"/>
    </xf>
    <xf numFmtId="168" fontId="72" fillId="6" borderId="214" xfId="10" applyNumberFormat="1" applyFont="1" applyFill="1" applyBorder="1" applyAlignment="1">
      <alignment horizontal="center" vertical="center"/>
    </xf>
    <xf numFmtId="0" fontId="89" fillId="6" borderId="28" xfId="31" applyFont="1" applyFill="1" applyBorder="1" applyAlignment="1">
      <alignment horizontal="center" vertical="center"/>
    </xf>
    <xf numFmtId="0" fontId="89" fillId="6" borderId="0" xfId="31" applyFont="1" applyFill="1" applyBorder="1" applyAlignment="1">
      <alignment horizontal="center" vertical="center"/>
    </xf>
    <xf numFmtId="0" fontId="89" fillId="6" borderId="29" xfId="31" applyFont="1" applyFill="1" applyBorder="1" applyAlignment="1">
      <alignment horizontal="center" vertical="center"/>
    </xf>
    <xf numFmtId="9" fontId="122" fillId="0" borderId="0" xfId="31" applyNumberFormat="1" applyFont="1" applyAlignment="1">
      <alignment horizontal="center" vertical="center"/>
    </xf>
    <xf numFmtId="9" fontId="107" fillId="0" borderId="0" xfId="31" applyNumberFormat="1" applyFont="1" applyAlignment="1">
      <alignment horizontal="center" vertical="center"/>
    </xf>
    <xf numFmtId="0" fontId="72" fillId="6" borderId="209" xfId="31" applyFont="1" applyFill="1" applyBorder="1" applyAlignment="1">
      <alignment horizontal="center" vertical="center"/>
    </xf>
    <xf numFmtId="0" fontId="72" fillId="6" borderId="19" xfId="31" applyFont="1" applyFill="1" applyBorder="1" applyAlignment="1">
      <alignment horizontal="center" vertical="center"/>
    </xf>
    <xf numFmtId="0" fontId="89" fillId="6" borderId="19" xfId="31" applyFont="1" applyFill="1" applyBorder="1" applyAlignment="1">
      <alignment horizontal="center" vertical="center"/>
    </xf>
    <xf numFmtId="0" fontId="89" fillId="6" borderId="214" xfId="31" applyFont="1" applyFill="1" applyBorder="1" applyAlignment="1">
      <alignment horizontal="center" vertical="center"/>
    </xf>
    <xf numFmtId="9" fontId="118" fillId="0" borderId="0" xfId="31" applyNumberFormat="1" applyFont="1" applyAlignment="1">
      <alignment horizontal="center" vertical="center"/>
    </xf>
    <xf numFmtId="0" fontId="18" fillId="0" borderId="44" xfId="31" applyFont="1" applyBorder="1" applyAlignment="1">
      <alignment horizontal="left" vertical="center"/>
    </xf>
    <xf numFmtId="0" fontId="18" fillId="0" borderId="71" xfId="31" applyFont="1" applyBorder="1" applyAlignment="1">
      <alignment horizontal="left" vertical="center"/>
    </xf>
    <xf numFmtId="168" fontId="17" fillId="0" borderId="42" xfId="10" applyNumberFormat="1" applyFont="1" applyBorder="1" applyAlignment="1">
      <alignment horizontal="center" vertical="center" wrapText="1"/>
    </xf>
    <xf numFmtId="0" fontId="18" fillId="0" borderId="33" xfId="31" applyFont="1" applyBorder="1" applyAlignment="1">
      <alignment horizontal="left" vertical="center"/>
    </xf>
    <xf numFmtId="0" fontId="18" fillId="0" borderId="1" xfId="31" applyFont="1" applyBorder="1" applyAlignment="1">
      <alignment horizontal="left" vertical="center"/>
    </xf>
    <xf numFmtId="2" fontId="117" fillId="0" borderId="5" xfId="10" applyNumberFormat="1" applyFont="1" applyBorder="1" applyAlignment="1">
      <alignment horizontal="center" vertical="center" wrapText="1"/>
    </xf>
    <xf numFmtId="172" fontId="18" fillId="0" borderId="5" xfId="10" applyNumberFormat="1" applyFont="1" applyBorder="1" applyAlignment="1">
      <alignment horizontal="center" vertical="center" wrapText="1"/>
    </xf>
    <xf numFmtId="0" fontId="89" fillId="3" borderId="26" xfId="31" applyFont="1" applyFill="1" applyBorder="1" applyAlignment="1">
      <alignment horizontal="center" vertical="center"/>
    </xf>
    <xf numFmtId="0" fontId="89" fillId="3" borderId="27" xfId="31" applyFont="1" applyFill="1" applyBorder="1" applyAlignment="1">
      <alignment horizontal="center" vertical="center"/>
    </xf>
    <xf numFmtId="2" fontId="117" fillId="0" borderId="3" xfId="10" applyNumberFormat="1" applyFont="1" applyBorder="1" applyAlignment="1">
      <alignment horizontal="center" vertical="center" wrapText="1"/>
    </xf>
    <xf numFmtId="2" fontId="117" fillId="0" borderId="1" xfId="10" applyNumberFormat="1" applyFont="1" applyBorder="1" applyAlignment="1">
      <alignment horizontal="center" vertical="center" wrapText="1"/>
    </xf>
    <xf numFmtId="2" fontId="117" fillId="0" borderId="2" xfId="10" applyNumberFormat="1" applyFont="1" applyBorder="1" applyAlignment="1">
      <alignment horizontal="center" vertical="center" wrapText="1"/>
    </xf>
    <xf numFmtId="1" fontId="89" fillId="3" borderId="25" xfId="31" applyNumberFormat="1" applyFont="1" applyFill="1" applyBorder="1" applyAlignment="1">
      <alignment horizontal="center" vertical="center"/>
    </xf>
    <xf numFmtId="1" fontId="89" fillId="3" borderId="26" xfId="31" applyNumberFormat="1" applyFont="1" applyFill="1" applyBorder="1" applyAlignment="1">
      <alignment horizontal="center" vertical="center"/>
    </xf>
    <xf numFmtId="1" fontId="89" fillId="3" borderId="213" xfId="31" applyNumberFormat="1" applyFont="1" applyFill="1" applyBorder="1" applyAlignment="1">
      <alignment horizontal="center" vertical="center"/>
    </xf>
    <xf numFmtId="0" fontId="72" fillId="3" borderId="23" xfId="31" applyFont="1" applyFill="1" applyBorder="1" applyAlignment="1">
      <alignment horizontal="center" vertical="center"/>
    </xf>
    <xf numFmtId="0" fontId="72" fillId="3" borderId="24" xfId="31" applyFont="1" applyFill="1" applyBorder="1" applyAlignment="1">
      <alignment horizontal="center" vertical="center"/>
    </xf>
    <xf numFmtId="0" fontId="72" fillId="3" borderId="30" xfId="31" applyFont="1" applyFill="1" applyBorder="1" applyAlignment="1">
      <alignment horizontal="center" vertical="center"/>
    </xf>
    <xf numFmtId="0" fontId="72" fillId="3" borderId="22" xfId="31" applyFont="1" applyFill="1" applyBorder="1" applyAlignment="1">
      <alignment horizontal="center" vertical="center"/>
    </xf>
    <xf numFmtId="0" fontId="89" fillId="3" borderId="24" xfId="31" applyFont="1" applyFill="1" applyBorder="1" applyAlignment="1">
      <alignment horizontal="center" vertical="center"/>
    </xf>
    <xf numFmtId="0" fontId="89" fillId="3" borderId="65" xfId="31" applyFont="1" applyFill="1" applyBorder="1" applyAlignment="1">
      <alignment horizontal="center" vertical="center"/>
    </xf>
    <xf numFmtId="0" fontId="89" fillId="3" borderId="22" xfId="31" applyFont="1" applyFill="1" applyBorder="1" applyAlignment="1">
      <alignment horizontal="center" vertical="center"/>
    </xf>
    <xf numFmtId="0" fontId="89" fillId="3" borderId="31" xfId="31" applyFont="1" applyFill="1" applyBorder="1" applyAlignment="1">
      <alignment horizontal="center" vertical="center"/>
    </xf>
    <xf numFmtId="0" fontId="18" fillId="6" borderId="25" xfId="31" applyFont="1" applyFill="1" applyBorder="1" applyAlignment="1">
      <alignment horizontal="left" vertical="center"/>
    </xf>
    <xf numFmtId="0" fontId="18" fillId="6" borderId="26" xfId="31" applyFont="1" applyFill="1" applyBorder="1" applyAlignment="1">
      <alignment horizontal="left" vertical="center"/>
    </xf>
    <xf numFmtId="0" fontId="18" fillId="6" borderId="97" xfId="10" applyNumberFormat="1" applyFont="1" applyFill="1" applyBorder="1" applyAlignment="1">
      <alignment horizontal="center" vertical="center" wrapText="1"/>
    </xf>
    <xf numFmtId="0" fontId="18" fillId="6" borderId="96" xfId="10" applyNumberFormat="1" applyFont="1" applyFill="1" applyBorder="1" applyAlignment="1">
      <alignment horizontal="center" vertical="center" wrapText="1"/>
    </xf>
    <xf numFmtId="0" fontId="18" fillId="6" borderId="26" xfId="10" applyNumberFormat="1" applyFont="1" applyFill="1" applyBorder="1" applyAlignment="1">
      <alignment horizontal="center" vertical="center" wrapText="1"/>
    </xf>
    <xf numFmtId="0" fontId="18" fillId="6" borderId="95" xfId="10" applyNumberFormat="1" applyFont="1" applyFill="1" applyBorder="1" applyAlignment="1">
      <alignment horizontal="center" vertical="center" wrapText="1"/>
    </xf>
    <xf numFmtId="0" fontId="18" fillId="6" borderId="27" xfId="10" applyNumberFormat="1" applyFont="1" applyFill="1" applyBorder="1" applyAlignment="1">
      <alignment horizontal="center" vertical="center" wrapText="1"/>
    </xf>
    <xf numFmtId="3" fontId="17" fillId="0" borderId="42" xfId="26" applyNumberFormat="1" applyFont="1" applyBorder="1" applyAlignment="1">
      <alignment horizontal="center" vertical="center" wrapText="1"/>
    </xf>
    <xf numFmtId="0" fontId="89" fillId="3" borderId="197" xfId="31" applyFont="1" applyFill="1" applyBorder="1" applyAlignment="1">
      <alignment horizontal="center" vertical="center"/>
    </xf>
    <xf numFmtId="0" fontId="89" fillId="3" borderId="35" xfId="31" applyFont="1" applyFill="1" applyBorder="1" applyAlignment="1">
      <alignment horizontal="center" vertical="center"/>
    </xf>
    <xf numFmtId="167" fontId="18" fillId="0" borderId="5" xfId="26" applyNumberFormat="1" applyFont="1" applyBorder="1" applyAlignment="1">
      <alignment horizontal="center" vertical="center" wrapText="1"/>
    </xf>
    <xf numFmtId="168" fontId="72" fillId="3" borderId="35" xfId="10" applyNumberFormat="1" applyFont="1" applyFill="1" applyBorder="1" applyAlignment="1">
      <alignment horizontal="center" vertical="center"/>
    </xf>
    <xf numFmtId="0" fontId="18" fillId="0" borderId="5" xfId="26" applyFont="1" applyBorder="1" applyAlignment="1">
      <alignment horizontal="center" vertical="center" wrapText="1"/>
    </xf>
    <xf numFmtId="0" fontId="117" fillId="0" borderId="5" xfId="26" applyFont="1" applyBorder="1" applyAlignment="1">
      <alignment horizontal="center" vertical="center" wrapText="1"/>
    </xf>
    <xf numFmtId="181" fontId="109" fillId="0" borderId="0" xfId="31" quotePrefix="1" applyNumberFormat="1" applyFont="1" applyAlignment="1">
      <alignment horizontal="center" vertical="center"/>
    </xf>
    <xf numFmtId="181" fontId="109" fillId="0" borderId="0" xfId="31" applyNumberFormat="1" applyFont="1" applyAlignment="1">
      <alignment horizontal="center" vertical="center"/>
    </xf>
    <xf numFmtId="0" fontId="116" fillId="0" borderId="0" xfId="31" applyFont="1" applyAlignment="1">
      <alignment horizontal="center" vertical="center"/>
    </xf>
    <xf numFmtId="0" fontId="18" fillId="0" borderId="19" xfId="2" applyFont="1" applyBorder="1"/>
    <xf numFmtId="0" fontId="117" fillId="0" borderId="210" xfId="26" applyFont="1" applyBorder="1" applyAlignment="1">
      <alignment horizontal="center" vertical="center" wrapText="1"/>
    </xf>
    <xf numFmtId="0" fontId="117" fillId="0" borderId="208" xfId="26" applyFont="1" applyBorder="1" applyAlignment="1">
      <alignment horizontal="center" vertical="center" wrapText="1"/>
    </xf>
    <xf numFmtId="0" fontId="117" fillId="0" borderId="211" xfId="26" applyFont="1" applyBorder="1" applyAlignment="1">
      <alignment horizontal="center" vertical="center" wrapText="1"/>
    </xf>
    <xf numFmtId="179" fontId="111" fillId="6" borderId="26" xfId="31" applyNumberFormat="1" applyFont="1" applyFill="1" applyBorder="1" applyAlignment="1">
      <alignment horizontal="center" vertical="center" wrapText="1"/>
    </xf>
    <xf numFmtId="0" fontId="112" fillId="6" borderId="26" xfId="31" applyFont="1" applyFill="1" applyBorder="1" applyAlignment="1">
      <alignment horizontal="center" vertical="center"/>
    </xf>
    <xf numFmtId="0" fontId="18" fillId="6" borderId="26" xfId="31" applyFont="1" applyFill="1" applyBorder="1" applyAlignment="1">
      <alignment horizontal="center" vertical="center" wrapText="1"/>
    </xf>
    <xf numFmtId="9" fontId="18" fillId="0" borderId="97" xfId="10" applyFont="1" applyBorder="1" applyAlignment="1">
      <alignment horizontal="center" vertical="center" wrapText="1"/>
    </xf>
    <xf numFmtId="0" fontId="18" fillId="6" borderId="186" xfId="31" applyFont="1" applyFill="1" applyBorder="1" applyAlignment="1">
      <alignment horizontal="center" vertical="center"/>
    </xf>
    <xf numFmtId="0" fontId="18" fillId="6" borderId="26" xfId="31" applyFont="1" applyFill="1" applyBorder="1" applyAlignment="1">
      <alignment horizontal="center" vertical="center"/>
    </xf>
    <xf numFmtId="0" fontId="111" fillId="6" borderId="26" xfId="31" applyFont="1" applyFill="1" applyBorder="1" applyAlignment="1">
      <alignment horizontal="center" vertical="center"/>
    </xf>
    <xf numFmtId="178" fontId="18" fillId="6" borderId="26" xfId="31" applyNumberFormat="1" applyFont="1" applyFill="1" applyBorder="1" applyAlignment="1">
      <alignment horizontal="center" vertical="center" wrapText="1"/>
    </xf>
    <xf numFmtId="179" fontId="18" fillId="6" borderId="26" xfId="31" applyNumberFormat="1" applyFont="1" applyFill="1" applyBorder="1" applyAlignment="1">
      <alignment horizontal="center" vertical="center" wrapText="1"/>
    </xf>
    <xf numFmtId="0" fontId="89" fillId="9" borderId="182" xfId="31" applyFont="1" applyFill="1" applyBorder="1" applyAlignment="1">
      <alignment horizontal="center" vertical="center" wrapText="1"/>
    </xf>
    <xf numFmtId="0" fontId="89" fillId="9" borderId="125" xfId="31" applyFont="1" applyFill="1" applyBorder="1" applyAlignment="1">
      <alignment horizontal="center" vertical="center" wrapText="1"/>
    </xf>
    <xf numFmtId="0" fontId="89" fillId="9" borderId="166" xfId="31" applyFont="1" applyFill="1" applyBorder="1" applyAlignment="1">
      <alignment horizontal="center" vertical="center" wrapText="1"/>
    </xf>
    <xf numFmtId="0" fontId="89" fillId="9" borderId="66" xfId="31" applyFont="1" applyFill="1" applyBorder="1" applyAlignment="1">
      <alignment horizontal="center" vertical="center" wrapText="1"/>
    </xf>
    <xf numFmtId="0" fontId="89" fillId="9" borderId="67" xfId="31" applyFont="1" applyFill="1" applyBorder="1" applyAlignment="1">
      <alignment horizontal="center" vertical="center" wrapText="1"/>
    </xf>
    <xf numFmtId="0" fontId="89" fillId="9" borderId="68" xfId="31" applyFont="1" applyFill="1" applyBorder="1" applyAlignment="1">
      <alignment horizontal="center" vertical="center" wrapText="1"/>
    </xf>
    <xf numFmtId="0" fontId="31" fillId="0" borderId="185" xfId="31" applyFont="1" applyBorder="1" applyAlignment="1">
      <alignment horizontal="center" vertical="center"/>
    </xf>
    <xf numFmtId="0" fontId="31" fillId="0" borderId="22" xfId="31" applyFont="1" applyBorder="1" applyAlignment="1">
      <alignment horizontal="center" vertical="center"/>
    </xf>
    <xf numFmtId="0" fontId="31" fillId="0" borderId="22" xfId="31" applyFont="1" applyBorder="1" applyAlignment="1">
      <alignment horizontal="center" vertical="center" wrapText="1"/>
    </xf>
    <xf numFmtId="0" fontId="31" fillId="0" borderId="69" xfId="31" applyFont="1" applyBorder="1" applyAlignment="1">
      <alignment horizontal="center" vertical="center" wrapText="1"/>
    </xf>
    <xf numFmtId="0" fontId="63" fillId="0" borderId="186" xfId="31" applyFont="1" applyBorder="1" applyAlignment="1">
      <alignment horizontal="left" vertical="top" wrapText="1"/>
    </xf>
    <xf numFmtId="0" fontId="63" fillId="0" borderId="26" xfId="31" applyFont="1" applyBorder="1" applyAlignment="1">
      <alignment horizontal="left" vertical="top" wrapText="1"/>
    </xf>
    <xf numFmtId="15" fontId="63" fillId="0" borderId="26" xfId="31" applyNumberFormat="1" applyFont="1" applyBorder="1" applyAlignment="1">
      <alignment horizontal="center" vertical="center"/>
    </xf>
    <xf numFmtId="15" fontId="63" fillId="0" borderId="27" xfId="31" applyNumberFormat="1" applyFont="1" applyBorder="1" applyAlignment="1">
      <alignment horizontal="center" vertical="center"/>
    </xf>
    <xf numFmtId="0" fontId="31" fillId="3" borderId="25" xfId="31" applyFont="1" applyFill="1" applyBorder="1" applyAlignment="1">
      <alignment horizontal="center" vertical="center" wrapText="1"/>
    </xf>
    <xf numFmtId="0" fontId="31" fillId="3" borderId="26" xfId="31" applyFont="1" applyFill="1" applyBorder="1" applyAlignment="1">
      <alignment horizontal="center" vertical="center" wrapText="1"/>
    </xf>
    <xf numFmtId="0" fontId="31" fillId="3" borderId="27" xfId="31" applyFont="1" applyFill="1" applyBorder="1" applyAlignment="1">
      <alignment horizontal="center" vertical="center" wrapText="1"/>
    </xf>
    <xf numFmtId="0" fontId="31" fillId="3" borderId="25" xfId="31" applyFont="1" applyFill="1" applyBorder="1" applyAlignment="1">
      <alignment horizontal="center" vertical="center"/>
    </xf>
    <xf numFmtId="0" fontId="31" fillId="3" borderId="26" xfId="31" applyFont="1" applyFill="1" applyBorder="1" applyAlignment="1">
      <alignment horizontal="center" vertical="center"/>
    </xf>
    <xf numFmtId="0" fontId="31" fillId="3" borderId="70" xfId="31" applyFont="1" applyFill="1" applyBorder="1" applyAlignment="1">
      <alignment horizontal="center" vertical="center" wrapText="1"/>
    </xf>
    <xf numFmtId="0" fontId="31" fillId="0" borderId="26" xfId="31" applyFont="1" applyBorder="1" applyAlignment="1">
      <alignment horizontal="center" vertical="center"/>
    </xf>
    <xf numFmtId="0" fontId="31" fillId="0" borderId="70" xfId="31" applyFont="1" applyBorder="1" applyAlignment="1">
      <alignment horizontal="center" vertical="center"/>
    </xf>
    <xf numFmtId="0" fontId="31" fillId="0" borderId="23" xfId="31" applyFont="1" applyBorder="1" applyAlignment="1">
      <alignment horizontal="left" vertical="center" wrapText="1"/>
    </xf>
    <xf numFmtId="0" fontId="31" fillId="0" borderId="24" xfId="31" applyFont="1" applyBorder="1" applyAlignment="1">
      <alignment horizontal="left" vertical="center" wrapText="1"/>
    </xf>
    <xf numFmtId="0" fontId="31" fillId="0" borderId="30" xfId="31" applyFont="1" applyBorder="1" applyAlignment="1">
      <alignment horizontal="left" vertical="center" wrapText="1"/>
    </xf>
    <xf numFmtId="0" fontId="31" fillId="0" borderId="22" xfId="31" applyFont="1" applyBorder="1" applyAlignment="1">
      <alignment horizontal="left" vertical="center" wrapText="1"/>
    </xf>
    <xf numFmtId="0" fontId="31" fillId="0" borderId="24" xfId="31" applyFont="1" applyBorder="1" applyAlignment="1">
      <alignment horizontal="center" vertical="center" wrapText="1"/>
    </xf>
    <xf numFmtId="0" fontId="31" fillId="0" borderId="35" xfId="31" applyFont="1" applyBorder="1" applyAlignment="1">
      <alignment horizontal="left" vertical="top"/>
    </xf>
    <xf numFmtId="0" fontId="31" fillId="0" borderId="25" xfId="31" applyFont="1" applyBorder="1" applyAlignment="1">
      <alignment horizontal="left" vertical="top"/>
    </xf>
    <xf numFmtId="0" fontId="31" fillId="0" borderId="26" xfId="31" applyFont="1" applyBorder="1" applyAlignment="1">
      <alignment horizontal="left" vertical="top"/>
    </xf>
    <xf numFmtId="0" fontId="31" fillId="0" borderId="70" xfId="31" applyFont="1" applyBorder="1" applyAlignment="1">
      <alignment horizontal="left" vertical="top"/>
    </xf>
    <xf numFmtId="0" fontId="31" fillId="0" borderId="185" xfId="31" applyFont="1" applyBorder="1" applyAlignment="1">
      <alignment horizontal="center" vertical="top"/>
    </xf>
    <xf numFmtId="0" fontId="31" fillId="0" borderId="22" xfId="31" applyFont="1" applyBorder="1" applyAlignment="1">
      <alignment horizontal="center" vertical="top"/>
    </xf>
    <xf numFmtId="0" fontId="31" fillId="0" borderId="31" xfId="31" applyFont="1" applyBorder="1" applyAlignment="1">
      <alignment horizontal="center" vertical="top"/>
    </xf>
    <xf numFmtId="0" fontId="69" fillId="0" borderId="182" xfId="31" applyFont="1" applyBorder="1" applyAlignment="1">
      <alignment horizontal="center" vertical="center"/>
    </xf>
    <xf numFmtId="0" fontId="69" fillId="0" borderId="125" xfId="31" applyFont="1" applyBorder="1" applyAlignment="1">
      <alignment horizontal="center" vertical="center"/>
    </xf>
    <xf numFmtId="0" fontId="69" fillId="0" borderId="166" xfId="31" applyFont="1" applyBorder="1" applyAlignment="1">
      <alignment horizontal="center" vertical="center"/>
    </xf>
    <xf numFmtId="0" fontId="69" fillId="0" borderId="183" xfId="31" applyFont="1" applyBorder="1" applyAlignment="1">
      <alignment horizontal="center" vertical="center"/>
    </xf>
    <xf numFmtId="0" fontId="69" fillId="0" borderId="127" xfId="31" applyFont="1" applyBorder="1" applyAlignment="1">
      <alignment horizontal="center" vertical="center"/>
    </xf>
    <xf numFmtId="0" fontId="69" fillId="0" borderId="184" xfId="31" applyFont="1" applyBorder="1" applyAlignment="1">
      <alignment horizontal="center" vertical="center"/>
    </xf>
    <xf numFmtId="0" fontId="136" fillId="0" borderId="50" xfId="3" applyFont="1" applyBorder="1" applyAlignment="1">
      <alignment horizontal="center" vertical="center"/>
    </xf>
    <xf numFmtId="0" fontId="136" fillId="0" borderId="0" xfId="3" applyFont="1" applyAlignment="1">
      <alignment horizontal="center" vertical="center"/>
    </xf>
    <xf numFmtId="0" fontId="136" fillId="0" borderId="51" xfId="3" applyFont="1" applyBorder="1" applyAlignment="1">
      <alignment horizontal="center" vertical="center"/>
    </xf>
    <xf numFmtId="166" fontId="149" fillId="0" borderId="50" xfId="5" quotePrefix="1" applyFont="1" applyBorder="1" applyAlignment="1">
      <alignment horizontal="center"/>
    </xf>
    <xf numFmtId="166" fontId="149" fillId="0" borderId="0" xfId="5" quotePrefix="1" applyFont="1" applyAlignment="1">
      <alignment horizontal="center"/>
    </xf>
    <xf numFmtId="166" fontId="136" fillId="0" borderId="1" xfId="5" applyFont="1" applyBorder="1" applyAlignment="1">
      <alignment horizontal="left"/>
    </xf>
    <xf numFmtId="166" fontId="136" fillId="0" borderId="84" xfId="5" applyFont="1" applyBorder="1" applyAlignment="1">
      <alignment horizontal="left"/>
    </xf>
    <xf numFmtId="166" fontId="138" fillId="0" borderId="50" xfId="5" applyFont="1" applyBorder="1" applyAlignment="1">
      <alignment horizontal="center"/>
    </xf>
    <xf numFmtId="166" fontId="138" fillId="0" borderId="0" xfId="5" applyFont="1" applyAlignment="1">
      <alignment horizontal="center"/>
    </xf>
    <xf numFmtId="166" fontId="133" fillId="0" borderId="50" xfId="5" applyFont="1" applyBorder="1" applyAlignment="1">
      <alignment horizontal="left" vertical="top"/>
    </xf>
    <xf numFmtId="166" fontId="133" fillId="0" borderId="0" xfId="5" applyFont="1" applyAlignment="1">
      <alignment horizontal="left" vertical="top"/>
    </xf>
    <xf numFmtId="166" fontId="133" fillId="0" borderId="51" xfId="5" applyFont="1" applyBorder="1" applyAlignment="1">
      <alignment horizontal="left" vertical="top"/>
    </xf>
    <xf numFmtId="166" fontId="136" fillId="0" borderId="41" xfId="5" applyFont="1" applyBorder="1" applyAlignment="1">
      <alignment horizontal="center"/>
    </xf>
    <xf numFmtId="166" fontId="136" fillId="0" borderId="42" xfId="5" applyFont="1" applyBorder="1" applyAlignment="1">
      <alignment horizontal="center"/>
    </xf>
    <xf numFmtId="173" fontId="146" fillId="0" borderId="44" xfId="5" applyNumberFormat="1" applyFont="1" applyBorder="1" applyAlignment="1">
      <alignment horizontal="center"/>
    </xf>
    <xf numFmtId="173" fontId="146" fillId="0" borderId="61" xfId="5" applyNumberFormat="1" applyFont="1" applyBorder="1" applyAlignment="1">
      <alignment horizontal="center"/>
    </xf>
    <xf numFmtId="166" fontId="136" fillId="0" borderId="81" xfId="5" applyFont="1" applyBorder="1" applyAlignment="1">
      <alignment horizontal="left"/>
    </xf>
    <xf numFmtId="166" fontId="136" fillId="0" borderId="82" xfId="5" applyFont="1" applyBorder="1" applyAlignment="1">
      <alignment horizontal="left"/>
    </xf>
    <xf numFmtId="166" fontId="138" fillId="0" borderId="50" xfId="5" quotePrefix="1" applyFont="1" applyBorder="1" applyAlignment="1">
      <alignment horizontal="center"/>
    </xf>
    <xf numFmtId="166" fontId="138" fillId="0" borderId="0" xfId="5" quotePrefix="1" applyFont="1" applyAlignment="1">
      <alignment horizontal="center"/>
    </xf>
    <xf numFmtId="166" fontId="136" fillId="5" borderId="1" xfId="5" applyFont="1" applyFill="1" applyBorder="1" applyAlignment="1">
      <alignment horizontal="left"/>
    </xf>
    <xf numFmtId="166" fontId="136" fillId="5" borderId="84" xfId="5" applyFont="1" applyFill="1" applyBorder="1" applyAlignment="1">
      <alignment horizontal="left"/>
    </xf>
    <xf numFmtId="166" fontId="136" fillId="0" borderId="4" xfId="5" applyFont="1" applyBorder="1" applyAlignment="1">
      <alignment horizontal="center"/>
    </xf>
    <xf numFmtId="166" fontId="136" fillId="0" borderId="5" xfId="5" applyFont="1" applyBorder="1" applyAlignment="1">
      <alignment horizontal="center"/>
    </xf>
    <xf numFmtId="166" fontId="147" fillId="0" borderId="4" xfId="5" quotePrefix="1" applyFont="1" applyBorder="1" applyAlignment="1">
      <alignment horizontal="center"/>
    </xf>
    <xf numFmtId="166" fontId="147" fillId="0" borderId="5" xfId="5" quotePrefix="1" applyFont="1" applyBorder="1" applyAlignment="1">
      <alignment horizontal="center"/>
    </xf>
    <xf numFmtId="173" fontId="146" fillId="0" borderId="40" xfId="5" applyNumberFormat="1" applyFont="1" applyBorder="1" applyAlignment="1">
      <alignment horizontal="center"/>
    </xf>
    <xf numFmtId="173" fontId="146" fillId="0" borderId="59" xfId="5" applyNumberFormat="1" applyFont="1" applyBorder="1" applyAlignment="1">
      <alignment horizontal="center"/>
    </xf>
    <xf numFmtId="174" fontId="146" fillId="5" borderId="33" xfId="5" applyNumberFormat="1" applyFont="1" applyFill="1" applyBorder="1" applyAlignment="1">
      <alignment horizontal="center"/>
    </xf>
    <xf numFmtId="174" fontId="146" fillId="5" borderId="60" xfId="5" applyNumberFormat="1" applyFont="1" applyFill="1" applyBorder="1" applyAlignment="1">
      <alignment horizontal="center"/>
    </xf>
    <xf numFmtId="166" fontId="136" fillId="0" borderId="4" xfId="5" quotePrefix="1" applyFont="1" applyBorder="1" applyAlignment="1">
      <alignment horizontal="center"/>
    </xf>
    <xf numFmtId="166" fontId="136" fillId="0" borderId="5" xfId="5" quotePrefix="1" applyFont="1" applyBorder="1" applyAlignment="1">
      <alignment horizontal="center"/>
    </xf>
    <xf numFmtId="173" fontId="146" fillId="0" borderId="33" xfId="5" applyNumberFormat="1" applyFont="1" applyBorder="1" applyAlignment="1">
      <alignment horizontal="center"/>
    </xf>
    <xf numFmtId="173" fontId="146" fillId="0" borderId="60" xfId="5" applyNumberFormat="1" applyFont="1" applyBorder="1" applyAlignment="1">
      <alignment horizontal="center"/>
    </xf>
    <xf numFmtId="166" fontId="135" fillId="0" borderId="25" xfId="5" applyFont="1" applyBorder="1" applyAlignment="1">
      <alignment horizontal="center"/>
    </xf>
    <xf numFmtId="166" fontId="135" fillId="0" borderId="26" xfId="5" applyFont="1" applyBorder="1" applyAlignment="1">
      <alignment horizontal="center"/>
    </xf>
    <xf numFmtId="166" fontId="135" fillId="0" borderId="27" xfId="5" applyFont="1" applyBorder="1" applyAlignment="1">
      <alignment horizontal="center"/>
    </xf>
    <xf numFmtId="166" fontId="136" fillId="0" borderId="36" xfId="5" applyFont="1" applyBorder="1" applyAlignment="1">
      <alignment horizontal="center"/>
    </xf>
    <xf numFmtId="166" fontId="136" fillId="0" borderId="37" xfId="5" applyFont="1" applyBorder="1" applyAlignment="1">
      <alignment horizontal="center"/>
    </xf>
    <xf numFmtId="0" fontId="139" fillId="0" borderId="56" xfId="43" applyFont="1" applyBorder="1" applyAlignment="1">
      <alignment horizontal="left" vertical="center"/>
    </xf>
    <xf numFmtId="0" fontId="138" fillId="0" borderId="35" xfId="43" applyFont="1" applyBorder="1" applyAlignment="1">
      <alignment horizontal="center" vertical="center"/>
    </xf>
    <xf numFmtId="0" fontId="138" fillId="0" borderId="57" xfId="43" applyFont="1" applyBorder="1" applyAlignment="1">
      <alignment horizontal="center" vertical="center"/>
    </xf>
    <xf numFmtId="0" fontId="138" fillId="0" borderId="56" xfId="2" applyFont="1" applyBorder="1" applyAlignment="1">
      <alignment horizontal="left" vertical="center" wrapText="1"/>
    </xf>
    <xf numFmtId="0" fontId="138" fillId="0" borderId="23" xfId="2" applyFont="1" applyBorder="1" applyAlignment="1">
      <alignment horizontal="center" vertical="center" wrapText="1"/>
    </xf>
    <xf numFmtId="0" fontId="138" fillId="0" borderId="24" xfId="2" applyFont="1" applyBorder="1" applyAlignment="1">
      <alignment horizontal="center" vertical="center" wrapText="1"/>
    </xf>
    <xf numFmtId="0" fontId="138" fillId="0" borderId="58" xfId="2" applyFont="1" applyBorder="1" applyAlignment="1">
      <alignment horizontal="center" vertical="center" wrapText="1"/>
    </xf>
    <xf numFmtId="0" fontId="138" fillId="0" borderId="30" xfId="2" applyFont="1" applyBorder="1" applyAlignment="1">
      <alignment horizontal="center" vertical="center" wrapText="1"/>
    </xf>
    <xf numFmtId="0" fontId="138" fillId="0" borderId="22" xfId="2" applyFont="1" applyBorder="1" applyAlignment="1">
      <alignment horizontal="center" vertical="center" wrapText="1"/>
    </xf>
    <xf numFmtId="0" fontId="138" fillId="0" borderId="53" xfId="2" applyFont="1" applyBorder="1" applyAlignment="1">
      <alignment horizontal="center" vertical="center" wrapText="1"/>
    </xf>
    <xf numFmtId="0" fontId="138" fillId="3" borderId="35" xfId="2" applyFont="1" applyFill="1" applyBorder="1" applyAlignment="1">
      <alignment horizontal="center" vertical="center" wrapText="1"/>
    </xf>
    <xf numFmtId="0" fontId="138" fillId="0" borderId="35" xfId="2" applyFont="1" applyBorder="1" applyAlignment="1">
      <alignment horizontal="center" vertical="center"/>
    </xf>
    <xf numFmtId="0" fontId="138" fillId="0" borderId="57" xfId="2" applyFont="1" applyBorder="1" applyAlignment="1">
      <alignment horizontal="center" vertical="center"/>
    </xf>
    <xf numFmtId="166" fontId="136" fillId="0" borderId="46" xfId="32" applyFont="1" applyBorder="1" applyAlignment="1">
      <alignment horizontal="center" vertical="center"/>
    </xf>
    <xf numFmtId="166" fontId="136" fillId="0" borderId="47" xfId="32" applyFont="1" applyBorder="1" applyAlignment="1">
      <alignment horizontal="center" vertical="center"/>
    </xf>
    <xf numFmtId="166" fontId="136" fillId="0" borderId="50" xfId="32" applyFont="1" applyBorder="1" applyAlignment="1">
      <alignment horizontal="center" vertical="center"/>
    </xf>
    <xf numFmtId="166" fontId="136" fillId="0" borderId="29" xfId="32" applyFont="1" applyBorder="1" applyAlignment="1">
      <alignment horizontal="center" vertical="center"/>
    </xf>
    <xf numFmtId="166" fontId="136" fillId="0" borderId="52" xfId="32" applyFont="1" applyBorder="1" applyAlignment="1">
      <alignment horizontal="center" vertical="center"/>
    </xf>
    <xf numFmtId="166" fontId="136" fillId="0" borderId="31" xfId="32" applyFont="1" applyBorder="1" applyAlignment="1">
      <alignment horizontal="center" vertical="center"/>
    </xf>
    <xf numFmtId="0" fontId="135" fillId="9" borderId="249" xfId="2" applyFont="1" applyFill="1" applyBorder="1" applyAlignment="1">
      <alignment horizontal="center" vertical="center" wrapText="1"/>
    </xf>
    <xf numFmtId="0" fontId="135" fillId="9" borderId="250" xfId="2" applyFont="1" applyFill="1" applyBorder="1" applyAlignment="1">
      <alignment horizontal="center" vertical="center" wrapText="1"/>
    </xf>
    <xf numFmtId="0" fontId="135" fillId="9" borderId="251" xfId="2" applyFont="1" applyFill="1" applyBorder="1" applyAlignment="1">
      <alignment horizontal="center" vertical="center" wrapText="1"/>
    </xf>
    <xf numFmtId="0" fontId="135" fillId="9" borderId="25" xfId="2" applyFont="1" applyFill="1" applyBorder="1" applyAlignment="1">
      <alignment horizontal="center" vertical="center" wrapText="1"/>
    </xf>
    <xf numFmtId="0" fontId="135" fillId="9" borderId="26" xfId="2" applyFont="1" applyFill="1" applyBorder="1" applyAlignment="1">
      <alignment horizontal="center" vertical="center" wrapText="1"/>
    </xf>
    <xf numFmtId="0" fontId="135" fillId="9" borderId="55" xfId="2" applyFont="1" applyFill="1" applyBorder="1" applyAlignment="1">
      <alignment horizontal="center" vertical="center" wrapText="1"/>
    </xf>
    <xf numFmtId="166" fontId="135" fillId="9" borderId="25" xfId="32" applyFont="1" applyFill="1" applyBorder="1" applyAlignment="1">
      <alignment horizontal="center" vertical="center" wrapText="1"/>
    </xf>
    <xf numFmtId="166" fontId="135" fillId="9" borderId="26" xfId="32" applyFont="1" applyFill="1" applyBorder="1" applyAlignment="1">
      <alignment horizontal="center" vertical="center" wrapText="1"/>
    </xf>
    <xf numFmtId="166" fontId="135" fillId="9" borderId="55" xfId="32" applyFont="1" applyFill="1" applyBorder="1" applyAlignment="1">
      <alignment horizontal="center" vertical="center" wrapText="1"/>
    </xf>
    <xf numFmtId="166" fontId="136" fillId="3" borderId="54" xfId="32" applyFont="1" applyFill="1" applyBorder="1" applyAlignment="1">
      <alignment horizontal="center" vertical="center"/>
    </xf>
    <xf numFmtId="166" fontId="136" fillId="3" borderId="26" xfId="32" applyFont="1" applyFill="1" applyBorder="1" applyAlignment="1">
      <alignment horizontal="center" vertical="center"/>
    </xf>
    <xf numFmtId="166" fontId="136" fillId="3" borderId="55" xfId="32" applyFont="1" applyFill="1" applyBorder="1" applyAlignment="1">
      <alignment horizontal="center" vertical="center"/>
    </xf>
    <xf numFmtId="0" fontId="138" fillId="0" borderId="23" xfId="43" applyFont="1" applyBorder="1" applyAlignment="1">
      <alignment horizontal="center" vertical="center" wrapText="1"/>
    </xf>
    <xf numFmtId="0" fontId="138" fillId="0" borderId="24" xfId="43" applyFont="1" applyBorder="1" applyAlignment="1">
      <alignment horizontal="center" vertical="center" wrapText="1"/>
    </xf>
    <xf numFmtId="0" fontId="138" fillId="0" borderId="58" xfId="43" applyFont="1" applyBorder="1" applyAlignment="1">
      <alignment horizontal="center" vertical="center" wrapText="1"/>
    </xf>
    <xf numFmtId="0" fontId="138" fillId="0" borderId="30" xfId="43" applyFont="1" applyBorder="1" applyAlignment="1">
      <alignment horizontal="center" vertical="center" wrapText="1"/>
    </xf>
    <xf numFmtId="0" fontId="138" fillId="0" borderId="22" xfId="43" applyFont="1" applyBorder="1" applyAlignment="1">
      <alignment horizontal="center" vertical="center" wrapText="1"/>
    </xf>
    <xf numFmtId="0" fontId="138" fillId="0" borderId="53" xfId="43" applyFont="1" applyBorder="1" applyAlignment="1">
      <alignment horizontal="center" vertical="center" wrapText="1"/>
    </xf>
    <xf numFmtId="0" fontId="15" fillId="0" borderId="0" xfId="2" applyAlignment="1">
      <alignment horizontal="center"/>
    </xf>
    <xf numFmtId="0" fontId="21" fillId="6" borderId="110" xfId="2" applyFont="1" applyFill="1" applyBorder="1" applyAlignment="1">
      <alignment horizontal="center" vertical="center" wrapText="1"/>
    </xf>
    <xf numFmtId="0" fontId="21" fillId="6" borderId="115" xfId="2" applyFont="1" applyFill="1" applyBorder="1" applyAlignment="1">
      <alignment horizontal="center" vertical="center" wrapText="1"/>
    </xf>
    <xf numFmtId="0" fontId="21" fillId="6" borderId="111" xfId="2" applyFont="1" applyFill="1" applyBorder="1" applyAlignment="1">
      <alignment horizontal="center" vertical="center" wrapText="1"/>
    </xf>
    <xf numFmtId="0" fontId="21" fillId="6" borderId="112" xfId="2" applyFont="1" applyFill="1" applyBorder="1" applyAlignment="1">
      <alignment horizontal="center" vertical="center" wrapText="1"/>
    </xf>
    <xf numFmtId="0" fontId="21" fillId="6" borderId="0" xfId="2" applyFont="1" applyFill="1" applyAlignment="1">
      <alignment horizontal="center" vertical="center" wrapText="1"/>
    </xf>
    <xf numFmtId="0" fontId="21" fillId="6" borderId="99" xfId="2" applyFont="1" applyFill="1" applyBorder="1" applyAlignment="1">
      <alignment horizontal="center" vertical="center" wrapText="1"/>
    </xf>
    <xf numFmtId="0" fontId="21" fillId="6" borderId="113" xfId="2" applyFont="1" applyFill="1" applyBorder="1" applyAlignment="1">
      <alignment horizontal="center" vertical="center" wrapText="1"/>
    </xf>
    <xf numFmtId="0" fontId="21" fillId="6" borderId="116" xfId="2" applyFont="1" applyFill="1" applyBorder="1" applyAlignment="1">
      <alignment horizontal="center" vertical="center" wrapText="1"/>
    </xf>
    <xf numFmtId="0" fontId="21" fillId="6" borderId="114" xfId="2" applyFont="1" applyFill="1" applyBorder="1" applyAlignment="1">
      <alignment horizontal="center" vertical="center" wrapText="1"/>
    </xf>
    <xf numFmtId="0" fontId="132" fillId="6" borderId="72" xfId="2" applyFont="1" applyFill="1" applyBorder="1" applyAlignment="1">
      <alignment horizontal="center" vertical="center"/>
    </xf>
    <xf numFmtId="0" fontId="132" fillId="6" borderId="73" xfId="2" applyFont="1" applyFill="1" applyBorder="1" applyAlignment="1">
      <alignment horizontal="center" vertical="center"/>
    </xf>
    <xf numFmtId="0" fontId="132" fillId="6" borderId="74" xfId="2" applyFont="1" applyFill="1" applyBorder="1" applyAlignment="1">
      <alignment horizontal="center" vertical="center"/>
    </xf>
    <xf numFmtId="0" fontId="132" fillId="6" borderId="75" xfId="2" applyFont="1" applyFill="1" applyBorder="1" applyAlignment="1">
      <alignment horizontal="center" vertical="center"/>
    </xf>
    <xf numFmtId="0" fontId="132" fillId="6" borderId="0" xfId="2" applyFont="1" applyFill="1" applyAlignment="1">
      <alignment horizontal="center" vertical="center"/>
    </xf>
    <xf numFmtId="0" fontId="132" fillId="6" borderId="76" xfId="2" applyFont="1" applyFill="1" applyBorder="1" applyAlignment="1">
      <alignment horizontal="center" vertical="center"/>
    </xf>
    <xf numFmtId="0" fontId="132" fillId="6" borderId="77" xfId="2" applyFont="1" applyFill="1" applyBorder="1" applyAlignment="1">
      <alignment horizontal="center" vertical="center"/>
    </xf>
    <xf numFmtId="0" fontId="132" fillId="6" borderId="78" xfId="2" applyFont="1" applyFill="1" applyBorder="1" applyAlignment="1">
      <alignment horizontal="center" vertical="center"/>
    </xf>
    <xf numFmtId="0" fontId="132" fillId="6" borderId="79" xfId="2" applyFont="1" applyFill="1" applyBorder="1" applyAlignment="1">
      <alignment horizontal="center" vertical="center"/>
    </xf>
    <xf numFmtId="0" fontId="22" fillId="6" borderId="110" xfId="2" applyFont="1" applyFill="1" applyBorder="1" applyAlignment="1">
      <alignment horizontal="center" vertical="center" wrapText="1"/>
    </xf>
    <xf numFmtId="0" fontId="22" fillId="6" borderId="215" xfId="2" applyFont="1" applyFill="1" applyBorder="1" applyAlignment="1">
      <alignment horizontal="center" vertical="center" wrapText="1"/>
    </xf>
    <xf numFmtId="0" fontId="22" fillId="6" borderId="227" xfId="2" applyFont="1" applyFill="1" applyBorder="1" applyAlignment="1">
      <alignment horizontal="center" vertical="center" wrapText="1"/>
    </xf>
    <xf numFmtId="0" fontId="22" fillId="6" borderId="31" xfId="2" applyFont="1" applyFill="1" applyBorder="1" applyAlignment="1">
      <alignment horizontal="center" vertical="center" wrapText="1"/>
    </xf>
    <xf numFmtId="0" fontId="22" fillId="6" borderId="216" xfId="2" applyFont="1" applyFill="1" applyBorder="1" applyAlignment="1">
      <alignment horizontal="center" vertical="center" wrapText="1"/>
    </xf>
    <xf numFmtId="0" fontId="22" fillId="6" borderId="219" xfId="2" applyFont="1" applyFill="1" applyBorder="1" applyAlignment="1">
      <alignment horizontal="center" vertical="center" wrapText="1"/>
    </xf>
    <xf numFmtId="0" fontId="21" fillId="0" borderId="107" xfId="2" applyFont="1" applyBorder="1" applyAlignment="1">
      <alignment horizontal="center" vertical="center"/>
    </xf>
    <xf numFmtId="0" fontId="21" fillId="0" borderId="108" xfId="2" applyFont="1" applyBorder="1" applyAlignment="1">
      <alignment horizontal="center" vertical="center"/>
    </xf>
    <xf numFmtId="0" fontId="21" fillId="0" borderId="197" xfId="2" applyFont="1" applyBorder="1" applyAlignment="1">
      <alignment horizontal="center" vertical="center" wrapText="1"/>
    </xf>
    <xf numFmtId="0" fontId="21" fillId="0" borderId="213" xfId="2" applyFont="1" applyBorder="1" applyAlignment="1">
      <alignment horizontal="center" vertical="center" wrapText="1"/>
    </xf>
    <xf numFmtId="168" fontId="15" fillId="0" borderId="35" xfId="2" applyNumberFormat="1" applyBorder="1" applyAlignment="1">
      <alignment horizontal="center" vertical="center"/>
    </xf>
    <xf numFmtId="168" fontId="15" fillId="0" borderId="180" xfId="2" applyNumberFormat="1" applyBorder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132" fillId="6" borderId="110" xfId="2" applyFont="1" applyFill="1" applyBorder="1" applyAlignment="1">
      <alignment horizontal="center" vertical="center"/>
    </xf>
    <xf numFmtId="0" fontId="132" fillId="6" borderId="115" xfId="2" applyFont="1" applyFill="1" applyBorder="1" applyAlignment="1">
      <alignment horizontal="center" vertical="center"/>
    </xf>
    <xf numFmtId="0" fontId="132" fillId="6" borderId="111" xfId="2" applyFont="1" applyFill="1" applyBorder="1" applyAlignment="1">
      <alignment horizontal="center" vertical="center"/>
    </xf>
    <xf numFmtId="0" fontId="132" fillId="6" borderId="113" xfId="2" applyFont="1" applyFill="1" applyBorder="1" applyAlignment="1">
      <alignment horizontal="center" vertical="center"/>
    </xf>
    <xf numFmtId="0" fontId="132" fillId="6" borderId="116" xfId="2" applyFont="1" applyFill="1" applyBorder="1" applyAlignment="1">
      <alignment horizontal="center" vertical="center"/>
    </xf>
    <xf numFmtId="0" fontId="132" fillId="6" borderId="114" xfId="2" applyFont="1" applyFill="1" applyBorder="1" applyAlignment="1">
      <alignment horizontal="center" vertical="center"/>
    </xf>
    <xf numFmtId="0" fontId="15" fillId="0" borderId="112" xfId="2" applyBorder="1" applyAlignment="1">
      <alignment horizontal="center"/>
    </xf>
    <xf numFmtId="0" fontId="15" fillId="0" borderId="99" xfId="2" applyBorder="1" applyAlignment="1">
      <alignment horizontal="center"/>
    </xf>
    <xf numFmtId="0" fontId="21" fillId="3" borderId="0" xfId="2" applyFont="1" applyFill="1" applyAlignment="1">
      <alignment horizontal="center" vertical="center"/>
    </xf>
    <xf numFmtId="0" fontId="21" fillId="6" borderId="232" xfId="2" applyFont="1" applyFill="1" applyBorder="1" applyAlignment="1">
      <alignment horizontal="center" vertical="center" wrapText="1"/>
    </xf>
    <xf numFmtId="0" fontId="21" fillId="6" borderId="233" xfId="2" applyFont="1" applyFill="1" applyBorder="1" applyAlignment="1">
      <alignment horizontal="center" vertical="center" wrapText="1"/>
    </xf>
    <xf numFmtId="0" fontId="21" fillId="6" borderId="105" xfId="2" applyFont="1" applyFill="1" applyBorder="1" applyAlignment="1">
      <alignment horizontal="center" vertical="center" wrapText="1"/>
    </xf>
    <xf numFmtId="0" fontId="21" fillId="6" borderId="216" xfId="2" applyFont="1" applyFill="1" applyBorder="1" applyAlignment="1">
      <alignment horizontal="center" vertical="center" wrapText="1"/>
    </xf>
    <xf numFmtId="0" fontId="21" fillId="6" borderId="27" xfId="2" applyFont="1" applyFill="1" applyBorder="1" applyAlignment="1">
      <alignment horizontal="center" vertical="center" wrapText="1"/>
    </xf>
    <xf numFmtId="0" fontId="21" fillId="6" borderId="219" xfId="2" applyFont="1" applyFill="1" applyBorder="1" applyAlignment="1">
      <alignment horizontal="center" vertical="center" wrapText="1"/>
    </xf>
    <xf numFmtId="0" fontId="21" fillId="6" borderId="75" xfId="2" applyFont="1" applyFill="1" applyBorder="1" applyAlignment="1">
      <alignment horizontal="center" vertical="center"/>
    </xf>
    <xf numFmtId="0" fontId="21" fillId="6" borderId="0" xfId="2" applyFont="1" applyFill="1" applyAlignment="1">
      <alignment horizontal="center" vertical="center"/>
    </xf>
    <xf numFmtId="0" fontId="21" fillId="6" borderId="101" xfId="2" applyFont="1" applyFill="1" applyBorder="1" applyAlignment="1">
      <alignment horizontal="center" vertical="center" wrapText="1"/>
    </xf>
    <xf numFmtId="0" fontId="21" fillId="6" borderId="101" xfId="2" applyFont="1" applyFill="1" applyBorder="1" applyAlignment="1">
      <alignment horizontal="center" vertical="center"/>
    </xf>
    <xf numFmtId="0" fontId="21" fillId="6" borderId="35" xfId="2" applyFont="1" applyFill="1" applyBorder="1" applyAlignment="1">
      <alignment horizontal="center" vertical="center"/>
    </xf>
    <xf numFmtId="0" fontId="21" fillId="6" borderId="226" xfId="2" applyFont="1" applyFill="1" applyBorder="1" applyAlignment="1">
      <alignment horizontal="center" vertical="center" wrapText="1"/>
    </xf>
    <xf numFmtId="0" fontId="21" fillId="6" borderId="106" xfId="2" applyFont="1" applyFill="1" applyBorder="1" applyAlignment="1">
      <alignment horizontal="center" vertical="center" wrapText="1"/>
    </xf>
    <xf numFmtId="0" fontId="21" fillId="6" borderId="194" xfId="2" applyFont="1" applyFill="1" applyBorder="1" applyAlignment="1">
      <alignment horizontal="center" vertical="center" wrapText="1"/>
    </xf>
    <xf numFmtId="0" fontId="21" fillId="6" borderId="35" xfId="2" applyFont="1" applyFill="1" applyBorder="1" applyAlignment="1">
      <alignment horizontal="center" vertical="center" wrapText="1"/>
    </xf>
    <xf numFmtId="3" fontId="15" fillId="0" borderId="228" xfId="2" applyNumberFormat="1" applyBorder="1" applyAlignment="1">
      <alignment horizontal="center" vertical="center"/>
    </xf>
    <xf numFmtId="3" fontId="15" fillId="0" borderId="27" xfId="2" applyNumberFormat="1" applyBorder="1" applyAlignment="1">
      <alignment horizontal="center" vertical="center"/>
    </xf>
    <xf numFmtId="0" fontId="15" fillId="0" borderId="27" xfId="2" applyBorder="1" applyAlignment="1">
      <alignment horizontal="center" vertical="center"/>
    </xf>
    <xf numFmtId="0" fontId="15" fillId="0" borderId="219" xfId="2" applyBorder="1" applyAlignment="1">
      <alignment horizontal="center" vertical="center"/>
    </xf>
    <xf numFmtId="0" fontId="15" fillId="0" borderId="35" xfId="2" applyBorder="1" applyAlignment="1">
      <alignment horizontal="center" vertical="center"/>
    </xf>
    <xf numFmtId="0" fontId="15" fillId="0" borderId="104" xfId="2" applyBorder="1" applyAlignment="1">
      <alignment horizontal="center" vertical="center"/>
    </xf>
    <xf numFmtId="0" fontId="15" fillId="0" borderId="218" xfId="2" applyBorder="1" applyAlignment="1">
      <alignment horizontal="center" vertical="center"/>
    </xf>
    <xf numFmtId="3" fontId="15" fillId="0" borderId="229" xfId="2" applyNumberFormat="1" applyBorder="1" applyAlignment="1">
      <alignment horizontal="center" vertical="center"/>
    </xf>
    <xf numFmtId="3" fontId="15" fillId="0" borderId="65" xfId="2" applyNumberFormat="1" applyBorder="1" applyAlignment="1">
      <alignment horizontal="center" vertical="center"/>
    </xf>
    <xf numFmtId="3" fontId="15" fillId="0" borderId="112" xfId="2" applyNumberFormat="1" applyBorder="1" applyAlignment="1">
      <alignment horizontal="center" vertical="center"/>
    </xf>
    <xf numFmtId="3" fontId="15" fillId="0" borderId="29" xfId="2" applyNumberFormat="1" applyBorder="1" applyAlignment="1">
      <alignment horizontal="center" vertical="center"/>
    </xf>
    <xf numFmtId="3" fontId="15" fillId="0" borderId="227" xfId="2" applyNumberFormat="1" applyBorder="1" applyAlignment="1">
      <alignment horizontal="center" vertical="center"/>
    </xf>
    <xf numFmtId="3" fontId="15" fillId="0" borderId="31" xfId="2" applyNumberFormat="1" applyBorder="1" applyAlignment="1">
      <alignment horizontal="center" vertical="center"/>
    </xf>
    <xf numFmtId="9" fontId="15" fillId="0" borderId="220" xfId="1" applyBorder="1" applyAlignment="1">
      <alignment horizontal="center" vertical="center"/>
    </xf>
    <xf numFmtId="9" fontId="15" fillId="0" borderId="221" xfId="1" applyBorder="1" applyAlignment="1">
      <alignment horizontal="center" vertical="center"/>
    </xf>
    <xf numFmtId="9" fontId="15" fillId="0" borderId="222" xfId="1" applyBorder="1" applyAlignment="1">
      <alignment horizontal="center" vertical="center"/>
    </xf>
    <xf numFmtId="3" fontId="15" fillId="0" borderId="113" xfId="2" applyNumberFormat="1" applyBorder="1" applyAlignment="1">
      <alignment horizontal="center" vertical="center"/>
    </xf>
    <xf numFmtId="3" fontId="15" fillId="0" borderId="217" xfId="2" applyNumberFormat="1" applyBorder="1" applyAlignment="1">
      <alignment horizontal="center" vertical="center"/>
    </xf>
    <xf numFmtId="9" fontId="15" fillId="0" borderId="230" xfId="1" applyBorder="1" applyAlignment="1">
      <alignment horizontal="center" vertical="center"/>
    </xf>
    <xf numFmtId="0" fontId="49" fillId="0" borderId="213" xfId="2" applyFont="1" applyBorder="1" applyAlignment="1">
      <alignment horizontal="center" vertical="center" wrapText="1"/>
    </xf>
    <xf numFmtId="0" fontId="49" fillId="0" borderId="109" xfId="2" applyFont="1" applyBorder="1" applyAlignment="1">
      <alignment horizontal="center" vertical="center" wrapText="1"/>
    </xf>
    <xf numFmtId="1" fontId="15" fillId="0" borderId="35" xfId="2" applyNumberFormat="1" applyBorder="1" applyAlignment="1">
      <alignment horizontal="center" vertical="center"/>
    </xf>
    <xf numFmtId="0" fontId="15" fillId="0" borderId="180" xfId="2" applyBorder="1" applyAlignment="1">
      <alignment horizontal="center" vertical="center"/>
    </xf>
    <xf numFmtId="10" fontId="15" fillId="0" borderId="106" xfId="2" applyNumberFormat="1" applyBorder="1" applyAlignment="1">
      <alignment horizontal="center" vertical="center"/>
    </xf>
    <xf numFmtId="10" fontId="15" fillId="0" borderId="181" xfId="2" applyNumberFormat="1" applyBorder="1" applyAlignment="1">
      <alignment horizontal="center" vertical="center"/>
    </xf>
    <xf numFmtId="0" fontId="15" fillId="0" borderId="103" xfId="2" applyBorder="1" applyAlignment="1">
      <alignment horizontal="center" vertical="center"/>
    </xf>
    <xf numFmtId="9" fontId="15" fillId="0" borderId="35" xfId="1" applyBorder="1" applyAlignment="1">
      <alignment horizontal="center" vertical="center"/>
    </xf>
    <xf numFmtId="9" fontId="15" fillId="0" borderId="104" xfId="1" applyBorder="1" applyAlignment="1">
      <alignment horizontal="center" vertical="center"/>
    </xf>
    <xf numFmtId="0" fontId="21" fillId="3" borderId="0" xfId="2" applyFont="1" applyFill="1" applyAlignment="1">
      <alignment horizontal="center" vertical="center" wrapText="1"/>
    </xf>
    <xf numFmtId="1" fontId="15" fillId="3" borderId="234" xfId="2" applyNumberFormat="1" applyFill="1" applyBorder="1" applyAlignment="1">
      <alignment horizontal="center" vertical="center"/>
    </xf>
    <xf numFmtId="1" fontId="15" fillId="3" borderId="238" xfId="2" applyNumberFormat="1" applyFill="1" applyBorder="1" applyAlignment="1">
      <alignment horizontal="center" vertical="center"/>
    </xf>
    <xf numFmtId="10" fontId="15" fillId="3" borderId="235" xfId="2" applyNumberFormat="1" applyFill="1" applyBorder="1" applyAlignment="1">
      <alignment horizontal="center" vertical="center"/>
    </xf>
    <xf numFmtId="10" fontId="15" fillId="3" borderId="5" xfId="2" applyNumberFormat="1" applyFill="1" applyBorder="1" applyAlignment="1">
      <alignment horizontal="center" vertical="center"/>
    </xf>
    <xf numFmtId="3" fontId="15" fillId="3" borderId="235" xfId="2" applyNumberFormat="1" applyFill="1" applyBorder="1" applyAlignment="1">
      <alignment horizontal="center" vertical="center"/>
    </xf>
    <xf numFmtId="3" fontId="15" fillId="3" borderId="5" xfId="2" applyNumberFormat="1" applyFill="1" applyBorder="1" applyAlignment="1">
      <alignment horizontal="center" vertical="center"/>
    </xf>
    <xf numFmtId="168" fontId="15" fillId="3" borderId="235" xfId="1" applyNumberFormat="1" applyFill="1" applyBorder="1" applyAlignment="1">
      <alignment horizontal="center" vertical="center"/>
    </xf>
    <xf numFmtId="168" fontId="15" fillId="3" borderId="5" xfId="1" applyNumberFormat="1" applyFill="1" applyBorder="1" applyAlignment="1">
      <alignment horizontal="center" vertical="center"/>
    </xf>
    <xf numFmtId="168" fontId="15" fillId="3" borderId="235" xfId="1" applyNumberFormat="1" applyFill="1" applyBorder="1" applyAlignment="1">
      <alignment horizontal="center" vertical="center" wrapText="1"/>
    </xf>
    <xf numFmtId="168" fontId="15" fillId="3" borderId="5" xfId="1" applyNumberFormat="1" applyFill="1" applyBorder="1" applyAlignment="1">
      <alignment horizontal="center" vertical="center" wrapText="1"/>
    </xf>
    <xf numFmtId="0" fontId="49" fillId="3" borderId="235" xfId="2" applyFont="1" applyFill="1" applyBorder="1" applyAlignment="1">
      <alignment horizontal="center" vertical="center" wrapText="1"/>
    </xf>
    <xf numFmtId="0" fontId="49" fillId="3" borderId="236" xfId="2" applyFont="1" applyFill="1" applyBorder="1" applyAlignment="1">
      <alignment horizontal="center" vertical="center" wrapText="1"/>
    </xf>
    <xf numFmtId="0" fontId="49" fillId="3" borderId="5" xfId="2" applyFont="1" applyFill="1" applyBorder="1" applyAlignment="1">
      <alignment horizontal="center" vertical="center" wrapText="1"/>
    </xf>
    <xf numFmtId="0" fontId="49" fillId="3" borderId="239" xfId="2" applyFont="1" applyFill="1" applyBorder="1" applyAlignment="1">
      <alignment horizontal="center" vertical="center" wrapText="1"/>
    </xf>
    <xf numFmtId="1" fontId="15" fillId="0" borderId="238" xfId="2" applyNumberFormat="1" applyBorder="1" applyAlignment="1">
      <alignment horizontal="center" vertical="center"/>
    </xf>
    <xf numFmtId="10" fontId="15" fillId="0" borderId="5" xfId="2" applyNumberFormat="1" applyBorder="1" applyAlignment="1">
      <alignment horizontal="center" vertical="center"/>
    </xf>
    <xf numFmtId="3" fontId="15" fillId="0" borderId="5" xfId="2" applyNumberFormat="1" applyBorder="1" applyAlignment="1">
      <alignment horizontal="center" vertical="center"/>
    </xf>
    <xf numFmtId="168" fontId="15" fillId="0" borderId="5" xfId="1" applyNumberFormat="1" applyBorder="1" applyAlignment="1">
      <alignment horizontal="center" vertical="center"/>
    </xf>
    <xf numFmtId="168" fontId="15" fillId="0" borderId="5" xfId="1" applyNumberFormat="1" applyBorder="1" applyAlignment="1">
      <alignment horizontal="center" vertical="center" wrapText="1"/>
    </xf>
    <xf numFmtId="0" fontId="49" fillId="0" borderId="5" xfId="2" applyFont="1" applyBorder="1" applyAlignment="1">
      <alignment horizontal="center" vertical="center" wrapText="1"/>
    </xf>
    <xf numFmtId="0" fontId="49" fillId="0" borderId="239" xfId="2" applyFont="1" applyBorder="1" applyAlignment="1">
      <alignment horizontal="center" vertical="center" wrapText="1"/>
    </xf>
    <xf numFmtId="1" fontId="15" fillId="0" borderId="241" xfId="2" applyNumberFormat="1" applyBorder="1" applyAlignment="1">
      <alignment horizontal="center" vertical="center"/>
    </xf>
    <xf numFmtId="10" fontId="15" fillId="0" borderId="242" xfId="2" applyNumberFormat="1" applyBorder="1" applyAlignment="1">
      <alignment horizontal="center" vertical="center"/>
    </xf>
    <xf numFmtId="3" fontId="15" fillId="0" borderId="242" xfId="2" applyNumberFormat="1" applyBorder="1" applyAlignment="1">
      <alignment horizontal="center" vertical="center"/>
    </xf>
    <xf numFmtId="168" fontId="15" fillId="0" borderId="242" xfId="1" applyNumberFormat="1" applyBorder="1" applyAlignment="1">
      <alignment horizontal="center" vertical="center"/>
    </xf>
    <xf numFmtId="168" fontId="15" fillId="0" borderId="242" xfId="1" applyNumberFormat="1" applyBorder="1" applyAlignment="1">
      <alignment horizontal="center" vertical="center" wrapText="1"/>
    </xf>
    <xf numFmtId="0" fontId="49" fillId="0" borderId="242" xfId="2" applyFont="1" applyBorder="1" applyAlignment="1">
      <alignment horizontal="center" vertical="center" wrapText="1"/>
    </xf>
    <xf numFmtId="0" fontId="49" fillId="0" borderId="243" xfId="2" applyFont="1" applyBorder="1" applyAlignment="1">
      <alignment horizontal="center" vertical="center" wrapText="1"/>
    </xf>
    <xf numFmtId="0" fontId="49" fillId="0" borderId="210" xfId="2" applyFont="1" applyBorder="1" applyAlignment="1">
      <alignment horizontal="center" vertical="center" wrapText="1"/>
    </xf>
    <xf numFmtId="0" fontId="49" fillId="0" borderId="245" xfId="2" applyFont="1" applyBorder="1" applyAlignment="1">
      <alignment horizontal="center" vertical="center" wrapText="1"/>
    </xf>
    <xf numFmtId="1" fontId="15" fillId="0" borderId="244" xfId="2" applyNumberFormat="1" applyBorder="1" applyAlignment="1">
      <alignment horizontal="center" vertical="center"/>
    </xf>
    <xf numFmtId="10" fontId="15" fillId="0" borderId="210" xfId="2" applyNumberFormat="1" applyBorder="1" applyAlignment="1">
      <alignment horizontal="center" vertical="center"/>
    </xf>
    <xf numFmtId="3" fontId="15" fillId="0" borderId="210" xfId="2" applyNumberFormat="1" applyBorder="1" applyAlignment="1">
      <alignment horizontal="center" vertical="center"/>
    </xf>
    <xf numFmtId="168" fontId="15" fillId="0" borderId="210" xfId="1" applyNumberFormat="1" applyBorder="1" applyAlignment="1">
      <alignment horizontal="center" vertical="center"/>
    </xf>
    <xf numFmtId="168" fontId="15" fillId="0" borderId="210" xfId="1" applyNumberFormat="1" applyBorder="1" applyAlignment="1">
      <alignment horizontal="center" vertical="center" wrapText="1"/>
    </xf>
    <xf numFmtId="168" fontId="15" fillId="0" borderId="35" xfId="1" applyNumberFormat="1" applyBorder="1" applyAlignment="1">
      <alignment horizontal="center" vertical="center" wrapText="1"/>
    </xf>
    <xf numFmtId="10" fontId="15" fillId="0" borderId="35" xfId="2" applyNumberFormat="1" applyBorder="1" applyAlignment="1">
      <alignment horizontal="center" vertical="center"/>
    </xf>
    <xf numFmtId="3" fontId="15" fillId="0" borderId="35" xfId="2" applyNumberFormat="1" applyBorder="1" applyAlignment="1">
      <alignment horizontal="center" vertical="center"/>
    </xf>
    <xf numFmtId="0" fontId="15" fillId="3" borderId="0" xfId="2" applyFill="1" applyAlignment="1">
      <alignment horizontal="center" vertical="center" wrapText="1"/>
    </xf>
    <xf numFmtId="168" fontId="15" fillId="0" borderId="35" xfId="1" applyNumberFormat="1" applyBorder="1" applyAlignment="1">
      <alignment horizontal="center" vertical="center"/>
    </xf>
    <xf numFmtId="0" fontId="15" fillId="0" borderId="35" xfId="2" applyBorder="1" applyAlignment="1">
      <alignment horizontal="center" vertical="center" wrapText="1"/>
    </xf>
    <xf numFmtId="0" fontId="132" fillId="6" borderId="23" xfId="2" applyFont="1" applyFill="1" applyBorder="1" applyAlignment="1">
      <alignment horizontal="center" vertical="center" wrapText="1"/>
    </xf>
    <xf numFmtId="0" fontId="132" fillId="6" borderId="24" xfId="2" applyFont="1" applyFill="1" applyBorder="1" applyAlignment="1">
      <alignment horizontal="center" vertical="center" wrapText="1"/>
    </xf>
    <xf numFmtId="0" fontId="132" fillId="6" borderId="65" xfId="2" applyFont="1" applyFill="1" applyBorder="1" applyAlignment="1">
      <alignment horizontal="center" vertical="center" wrapText="1"/>
    </xf>
    <xf numFmtId="0" fontId="132" fillId="6" borderId="30" xfId="2" applyFont="1" applyFill="1" applyBorder="1" applyAlignment="1">
      <alignment horizontal="center" vertical="center" wrapText="1"/>
    </xf>
    <xf numFmtId="0" fontId="132" fillId="6" borderId="22" xfId="2" applyFont="1" applyFill="1" applyBorder="1" applyAlignment="1">
      <alignment horizontal="center" vertical="center" wrapText="1"/>
    </xf>
    <xf numFmtId="0" fontId="132" fillId="6" borderId="31" xfId="2" applyFont="1" applyFill="1" applyBorder="1" applyAlignment="1">
      <alignment horizontal="center" vertical="center" wrapText="1"/>
    </xf>
    <xf numFmtId="0" fontId="15" fillId="0" borderId="26" xfId="2" applyBorder="1" applyAlignment="1">
      <alignment horizontal="center"/>
    </xf>
    <xf numFmtId="0" fontId="33" fillId="0" borderId="171" xfId="2" applyFont="1" applyBorder="1" applyAlignment="1">
      <alignment horizontal="center" vertical="center" wrapText="1"/>
    </xf>
    <xf numFmtId="0" fontId="33" fillId="0" borderId="128" xfId="2" applyFont="1" applyBorder="1" applyAlignment="1">
      <alignment horizontal="center" vertical="center" wrapText="1"/>
    </xf>
    <xf numFmtId="0" fontId="33" fillId="0" borderId="170" xfId="2" applyFont="1" applyBorder="1" applyAlignment="1">
      <alignment horizontal="center" vertical="center" wrapText="1"/>
    </xf>
    <xf numFmtId="0" fontId="32" fillId="0" borderId="169" xfId="37" applyFont="1" applyBorder="1" applyAlignment="1">
      <alignment horizontal="left" vertical="center"/>
    </xf>
    <xf numFmtId="0" fontId="32" fillId="0" borderId="168" xfId="37" applyFont="1" applyBorder="1" applyAlignment="1">
      <alignment horizontal="left" vertical="center"/>
    </xf>
    <xf numFmtId="0" fontId="36" fillId="0" borderId="168" xfId="2" applyFont="1" applyBorder="1" applyAlignment="1">
      <alignment horizontal="center" vertical="center" wrapText="1"/>
    </xf>
    <xf numFmtId="0" fontId="36" fillId="0" borderId="167" xfId="2" applyFont="1" applyBorder="1" applyAlignment="1">
      <alignment horizontal="center" vertical="center" wrapText="1"/>
    </xf>
    <xf numFmtId="0" fontId="33" fillId="9" borderId="175" xfId="2" applyFont="1" applyFill="1" applyBorder="1" applyAlignment="1" applyProtection="1">
      <alignment horizontal="center" vertical="center" wrapText="1"/>
      <protection locked="0"/>
    </xf>
    <xf numFmtId="0" fontId="33" fillId="9" borderId="174" xfId="2" applyFont="1" applyFill="1" applyBorder="1" applyAlignment="1" applyProtection="1">
      <alignment horizontal="center" vertical="center" wrapText="1"/>
      <protection locked="0"/>
    </xf>
    <xf numFmtId="0" fontId="33" fillId="9" borderId="177" xfId="2" applyFont="1" applyFill="1" applyBorder="1" applyAlignment="1" applyProtection="1">
      <alignment horizontal="center" vertical="center" wrapText="1"/>
      <protection locked="0"/>
    </xf>
    <xf numFmtId="0" fontId="40" fillId="9" borderId="119" xfId="2" quotePrefix="1" applyFont="1" applyFill="1" applyBorder="1" applyAlignment="1" applyProtection="1">
      <alignment horizontal="center" vertical="center" wrapText="1"/>
      <protection locked="0"/>
    </xf>
    <xf numFmtId="0" fontId="40" fillId="9" borderId="0" xfId="2" quotePrefix="1" applyFont="1" applyFill="1" applyAlignment="1" applyProtection="1">
      <alignment horizontal="center" vertical="center" wrapText="1"/>
      <protection locked="0"/>
    </xf>
    <xf numFmtId="0" fontId="40" fillId="9" borderId="134" xfId="2" quotePrefix="1" applyFont="1" applyFill="1" applyBorder="1" applyAlignment="1" applyProtection="1">
      <alignment horizontal="center" vertical="center" wrapText="1"/>
      <protection locked="0"/>
    </xf>
    <xf numFmtId="0" fontId="40" fillId="9" borderId="121" xfId="2" applyFont="1" applyFill="1" applyBorder="1" applyAlignment="1" applyProtection="1">
      <alignment horizontal="center" vertical="center" wrapText="1"/>
      <protection locked="0"/>
    </xf>
    <xf numFmtId="0" fontId="40" fillId="9" borderId="122" xfId="2" applyFont="1" applyFill="1" applyBorder="1" applyAlignment="1" applyProtection="1">
      <alignment horizontal="center" vertical="center" wrapText="1"/>
      <protection locked="0"/>
    </xf>
    <xf numFmtId="0" fontId="40" fillId="9" borderId="247" xfId="2" applyFont="1" applyFill="1" applyBorder="1" applyAlignment="1" applyProtection="1">
      <alignment horizontal="center" vertical="center" wrapText="1"/>
      <protection locked="0"/>
    </xf>
    <xf numFmtId="0" fontId="33" fillId="0" borderId="176" xfId="2" applyFont="1" applyBorder="1" applyAlignment="1">
      <alignment horizontal="center" vertical="center" wrapText="1"/>
    </xf>
    <xf numFmtId="0" fontId="33" fillId="0" borderId="174" xfId="2" applyFont="1" applyBorder="1" applyAlignment="1">
      <alignment horizontal="center" vertical="center" wrapText="1"/>
    </xf>
    <xf numFmtId="0" fontId="33" fillId="0" borderId="173" xfId="2" applyFont="1" applyBorder="1" applyAlignment="1">
      <alignment horizontal="center" vertical="center" wrapText="1"/>
    </xf>
    <xf numFmtId="0" fontId="33" fillId="0" borderId="135" xfId="2" applyFont="1" applyBorder="1" applyAlignment="1">
      <alignment horizontal="center" vertical="center" wrapText="1"/>
    </xf>
    <xf numFmtId="0" fontId="33" fillId="0" borderId="0" xfId="2" applyFont="1" applyAlignment="1">
      <alignment horizontal="center" vertical="center" wrapText="1"/>
    </xf>
    <xf numFmtId="0" fontId="33" fillId="0" borderId="120" xfId="2" applyFont="1" applyBorder="1" applyAlignment="1">
      <alignment horizontal="center" vertical="center" wrapText="1"/>
    </xf>
    <xf numFmtId="0" fontId="33" fillId="0" borderId="172" xfId="2" applyFont="1" applyBorder="1" applyAlignment="1">
      <alignment horizontal="center" vertical="center" wrapText="1"/>
    </xf>
    <xf numFmtId="0" fontId="33" fillId="0" borderId="122" xfId="2" applyFont="1" applyBorder="1" applyAlignment="1">
      <alignment horizontal="center" vertical="center" wrapText="1"/>
    </xf>
    <xf numFmtId="0" fontId="33" fillId="0" borderId="123" xfId="2" applyFont="1" applyBorder="1" applyAlignment="1">
      <alignment horizontal="center" vertical="center" wrapText="1"/>
    </xf>
    <xf numFmtId="0" fontId="36" fillId="0" borderId="125" xfId="2" applyFont="1" applyBorder="1" applyAlignment="1">
      <alignment horizontal="center" vertical="center" wrapText="1"/>
    </xf>
    <xf numFmtId="0" fontId="32" fillId="0" borderId="164" xfId="37" applyFont="1" applyBorder="1" applyAlignment="1">
      <alignment horizontal="left" vertical="center"/>
    </xf>
    <xf numFmtId="0" fontId="32" fillId="0" borderId="16" xfId="37" applyFont="1" applyBorder="1" applyAlignment="1">
      <alignment horizontal="left" vertical="center"/>
    </xf>
    <xf numFmtId="0" fontId="36" fillId="0" borderId="16" xfId="2" applyFont="1" applyBorder="1" applyAlignment="1">
      <alignment horizontal="center" vertical="center" wrapText="1"/>
    </xf>
    <xf numFmtId="0" fontId="36" fillId="0" borderId="163" xfId="2" applyFont="1" applyBorder="1" applyAlignment="1">
      <alignment horizontal="center" vertical="center" wrapText="1"/>
    </xf>
    <xf numFmtId="0" fontId="39" fillId="0" borderId="164" xfId="2" applyFont="1" applyBorder="1" applyAlignment="1">
      <alignment horizontal="left" vertical="center" wrapText="1"/>
    </xf>
    <xf numFmtId="0" fontId="39" fillId="0" borderId="16" xfId="2" applyFont="1" applyBorder="1" applyAlignment="1">
      <alignment horizontal="left" vertical="center" wrapText="1"/>
    </xf>
    <xf numFmtId="0" fontId="36" fillId="0" borderId="160" xfId="2" applyFont="1" applyBorder="1" applyAlignment="1">
      <alignment horizontal="center" vertical="center" wrapText="1"/>
    </xf>
    <xf numFmtId="0" fontId="36" fillId="0" borderId="159" xfId="2" applyFont="1" applyBorder="1" applyAlignment="1">
      <alignment horizontal="center" vertical="center" wrapText="1"/>
    </xf>
    <xf numFmtId="0" fontId="35" fillId="0" borderId="157" xfId="16" applyFont="1" applyBorder="1" applyAlignment="1">
      <alignment horizontal="center"/>
    </xf>
    <xf numFmtId="0" fontId="35" fillId="0" borderId="67" xfId="16" applyFont="1" applyBorder="1" applyAlignment="1">
      <alignment horizontal="center"/>
    </xf>
    <xf numFmtId="0" fontId="35" fillId="0" borderId="156" xfId="16" applyFont="1" applyBorder="1" applyAlignment="1">
      <alignment horizontal="center"/>
    </xf>
    <xf numFmtId="0" fontId="42" fillId="9" borderId="155" xfId="16" applyFont="1" applyFill="1" applyBorder="1" applyAlignment="1">
      <alignment horizontal="center" vertical="center" wrapText="1"/>
    </xf>
    <xf numFmtId="0" fontId="42" fillId="9" borderId="150" xfId="16" applyFont="1" applyFill="1" applyBorder="1" applyAlignment="1">
      <alignment horizontal="center" vertical="center" wrapText="1"/>
    </xf>
    <xf numFmtId="0" fontId="41" fillId="9" borderId="154" xfId="16" applyFont="1" applyFill="1" applyBorder="1" applyAlignment="1">
      <alignment horizontal="center" vertical="center" wrapText="1"/>
    </xf>
    <xf numFmtId="0" fontId="41" fillId="9" borderId="153" xfId="16" applyFont="1" applyFill="1" applyBorder="1" applyAlignment="1">
      <alignment horizontal="center" vertical="center" wrapText="1"/>
    </xf>
    <xf numFmtId="0" fontId="41" fillId="9" borderId="152" xfId="16" applyFont="1" applyFill="1" applyBorder="1" applyAlignment="1">
      <alignment horizontal="center" vertical="center" wrapText="1"/>
    </xf>
    <xf numFmtId="0" fontId="41" fillId="9" borderId="129" xfId="16" applyFont="1" applyFill="1" applyBorder="1" applyAlignment="1">
      <alignment horizontal="center" vertical="center" wrapText="1"/>
    </xf>
    <xf numFmtId="0" fontId="42" fillId="9" borderId="152" xfId="16" applyFont="1" applyFill="1" applyBorder="1" applyAlignment="1">
      <alignment horizontal="center" vertical="center" wrapText="1"/>
    </xf>
    <xf numFmtId="0" fontId="42" fillId="9" borderId="129" xfId="16" applyFont="1" applyFill="1" applyBorder="1" applyAlignment="1">
      <alignment horizontal="center" vertical="center" wrapText="1"/>
    </xf>
    <xf numFmtId="0" fontId="39" fillId="0" borderId="161" xfId="37" applyFont="1" applyBorder="1" applyAlignment="1">
      <alignment horizontal="left" vertical="center" wrapText="1"/>
    </xf>
    <xf numFmtId="0" fontId="39" fillId="0" borderId="160" xfId="37" applyFont="1" applyBorder="1" applyAlignment="1">
      <alignment horizontal="left" vertical="center" wrapText="1"/>
    </xf>
    <xf numFmtId="15" fontId="39" fillId="3" borderId="160" xfId="2" applyNumberFormat="1" applyFont="1" applyFill="1" applyBorder="1" applyAlignment="1">
      <alignment horizontal="center" vertical="center" wrapText="1"/>
    </xf>
    <xf numFmtId="0" fontId="32" fillId="3" borderId="160" xfId="37" applyFont="1" applyFill="1" applyBorder="1" applyAlignment="1">
      <alignment horizontal="center" vertical="center" wrapText="1"/>
    </xf>
    <xf numFmtId="0" fontId="39" fillId="3" borderId="160" xfId="2" applyFont="1" applyFill="1" applyBorder="1" applyAlignment="1">
      <alignment horizontal="center" vertical="center" wrapText="1"/>
    </xf>
    <xf numFmtId="10" fontId="37" fillId="0" borderId="140" xfId="16" applyNumberFormat="1" applyFont="1" applyBorder="1" applyAlignment="1">
      <alignment horizontal="center" vertical="center" wrapText="1"/>
    </xf>
    <xf numFmtId="2" fontId="37" fillId="0" borderId="140" xfId="16" applyNumberFormat="1" applyFont="1" applyBorder="1" applyAlignment="1">
      <alignment horizontal="center" vertical="center" wrapText="1"/>
    </xf>
    <xf numFmtId="172" fontId="151" fillId="0" borderId="148" xfId="16" applyNumberFormat="1" applyFont="1" applyBorder="1" applyAlignment="1">
      <alignment horizontal="center" vertical="center" wrapText="1"/>
    </xf>
    <xf numFmtId="172" fontId="151" fillId="0" borderId="147" xfId="16" applyNumberFormat="1" applyFont="1" applyBorder="1" applyAlignment="1">
      <alignment horizontal="center" vertical="center" wrapText="1"/>
    </xf>
    <xf numFmtId="172" fontId="151" fillId="0" borderId="140" xfId="16" applyNumberFormat="1" applyFont="1" applyBorder="1" applyAlignment="1">
      <alignment horizontal="center" vertical="center" wrapText="1"/>
    </xf>
    <xf numFmtId="172" fontId="151" fillId="0" borderId="144" xfId="16" applyNumberFormat="1" applyFont="1" applyBorder="1" applyAlignment="1">
      <alignment horizontal="center" vertical="center" wrapText="1"/>
    </xf>
    <xf numFmtId="10" fontId="41" fillId="9" borderId="152" xfId="16" applyNumberFormat="1" applyFont="1" applyFill="1" applyBorder="1" applyAlignment="1">
      <alignment horizontal="center" vertical="center" wrapText="1"/>
    </xf>
    <xf numFmtId="10" fontId="41" fillId="9" borderId="129" xfId="16" applyNumberFormat="1" applyFont="1" applyFill="1" applyBorder="1" applyAlignment="1">
      <alignment horizontal="center" vertical="center" wrapText="1"/>
    </xf>
    <xf numFmtId="0" fontId="43" fillId="9" borderId="151" xfId="16" applyFont="1" applyFill="1" applyBorder="1" applyAlignment="1">
      <alignment horizontal="center" vertical="center" wrapText="1"/>
    </xf>
    <xf numFmtId="0" fontId="43" fillId="9" borderId="138" xfId="16" applyFont="1" applyFill="1" applyBorder="1" applyAlignment="1">
      <alignment horizontal="center" vertical="center" wrapText="1"/>
    </xf>
    <xf numFmtId="0" fontId="43" fillId="9" borderId="130" xfId="16" applyFont="1" applyFill="1" applyBorder="1" applyAlignment="1">
      <alignment horizontal="center" vertical="center" wrapText="1"/>
    </xf>
    <xf numFmtId="0" fontId="43" fillId="9" borderId="134" xfId="16" applyFont="1" applyFill="1" applyBorder="1" applyAlignment="1">
      <alignment horizontal="center" vertical="center" wrapText="1"/>
    </xf>
    <xf numFmtId="10" fontId="37" fillId="0" borderId="148" xfId="16" applyNumberFormat="1" applyFont="1" applyBorder="1" applyAlignment="1">
      <alignment horizontal="center" vertical="center" wrapText="1"/>
    </xf>
    <xf numFmtId="2" fontId="37" fillId="0" borderId="148" xfId="16" applyNumberFormat="1" applyFont="1" applyBorder="1" applyAlignment="1">
      <alignment horizontal="center" vertical="center" wrapText="1"/>
    </xf>
    <xf numFmtId="0" fontId="41" fillId="4" borderId="110" xfId="16" applyFont="1" applyFill="1" applyBorder="1" applyAlignment="1">
      <alignment horizontal="center" vertical="center"/>
    </xf>
    <xf numFmtId="0" fontId="41" fillId="4" borderId="115" xfId="16" applyFont="1" applyFill="1" applyBorder="1" applyAlignment="1">
      <alignment horizontal="center" vertical="center"/>
    </xf>
    <xf numFmtId="0" fontId="41" fillId="4" borderId="111" xfId="16" applyFont="1" applyFill="1" applyBorder="1" applyAlignment="1">
      <alignment horizontal="center" vertical="center"/>
    </xf>
    <xf numFmtId="0" fontId="41" fillId="4" borderId="113" xfId="16" applyFont="1" applyFill="1" applyBorder="1" applyAlignment="1">
      <alignment horizontal="center" vertical="center"/>
    </xf>
    <xf numFmtId="0" fontId="41" fillId="4" borderId="116" xfId="16" applyFont="1" applyFill="1" applyBorder="1" applyAlignment="1">
      <alignment horizontal="center" vertical="center"/>
    </xf>
    <xf numFmtId="0" fontId="41" fillId="4" borderId="114" xfId="16" applyFont="1" applyFill="1" applyBorder="1" applyAlignment="1">
      <alignment horizontal="center" vertical="center"/>
    </xf>
    <xf numFmtId="0" fontId="35" fillId="0" borderId="135" xfId="16" applyFont="1" applyBorder="1" applyAlignment="1">
      <alignment horizontal="center"/>
    </xf>
    <xf numFmtId="0" fontId="35" fillId="0" borderId="0" xfId="16" applyFont="1" applyAlignment="1">
      <alignment horizontal="center"/>
    </xf>
    <xf numFmtId="0" fontId="35" fillId="0" borderId="134" xfId="16" applyFont="1" applyBorder="1" applyAlignment="1">
      <alignment horizontal="center"/>
    </xf>
    <xf numFmtId="0" fontId="18" fillId="0" borderId="135" xfId="3" applyFont="1" applyBorder="1" applyAlignment="1">
      <alignment horizontal="center" vertical="center"/>
    </xf>
    <xf numFmtId="0" fontId="18" fillId="0" borderId="134" xfId="3" applyFont="1" applyBorder="1" applyAlignment="1">
      <alignment horizontal="center" vertical="center"/>
    </xf>
    <xf numFmtId="0" fontId="18" fillId="0" borderId="133" xfId="3" applyFont="1" applyBorder="1" applyAlignment="1">
      <alignment horizontal="center" vertical="center"/>
    </xf>
    <xf numFmtId="0" fontId="18" fillId="0" borderId="132" xfId="3" applyFont="1" applyBorder="1" applyAlignment="1">
      <alignment horizontal="center" vertical="center"/>
    </xf>
    <xf numFmtId="0" fontId="18" fillId="0" borderId="131" xfId="3" applyFont="1" applyBorder="1" applyAlignment="1">
      <alignment horizontal="center" vertical="center"/>
    </xf>
    <xf numFmtId="0" fontId="41" fillId="0" borderId="35" xfId="16" applyFont="1" applyBorder="1" applyAlignment="1">
      <alignment horizontal="center" vertical="center"/>
    </xf>
    <xf numFmtId="0" fontId="41" fillId="0" borderId="35" xfId="16" applyFont="1" applyBorder="1" applyAlignment="1">
      <alignment horizontal="left" vertical="center"/>
    </xf>
    <xf numFmtId="0" fontId="35" fillId="0" borderId="35" xfId="16" applyFont="1" applyBorder="1" applyAlignment="1">
      <alignment horizontal="left" vertical="center"/>
    </xf>
    <xf numFmtId="2" fontId="28" fillId="0" borderId="179" xfId="16" applyNumberFormat="1" applyFont="1" applyBorder="1" applyAlignment="1">
      <alignment horizontal="center" vertical="center" wrapText="1"/>
    </xf>
    <xf numFmtId="2" fontId="28" fillId="0" borderId="246" xfId="16" applyNumberFormat="1" applyFont="1" applyBorder="1" applyAlignment="1">
      <alignment horizontal="center" vertical="center" wrapText="1"/>
    </xf>
    <xf numFmtId="2" fontId="28" fillId="0" borderId="178" xfId="16" applyNumberFormat="1" applyFont="1" applyBorder="1" applyAlignment="1">
      <alignment horizontal="center" vertical="center" wrapText="1"/>
    </xf>
    <xf numFmtId="0" fontId="35" fillId="0" borderId="224" xfId="16" applyFont="1" applyBorder="1" applyAlignment="1">
      <alignment horizontal="center" vertical="center" wrapText="1"/>
    </xf>
    <xf numFmtId="9" fontId="35" fillId="0" borderId="224" xfId="16" applyNumberFormat="1" applyFont="1" applyBorder="1" applyAlignment="1">
      <alignment horizontal="center" vertical="center"/>
    </xf>
    <xf numFmtId="0" fontId="35" fillId="0" borderId="224" xfId="16" applyFont="1" applyBorder="1" applyAlignment="1">
      <alignment horizontal="center" vertical="center"/>
    </xf>
    <xf numFmtId="0" fontId="35" fillId="4" borderId="110" xfId="16" applyFont="1" applyFill="1" applyBorder="1" applyAlignment="1">
      <alignment horizontal="center" vertical="center" wrapText="1"/>
    </xf>
    <xf numFmtId="0" fontId="35" fillId="4" borderId="111" xfId="16" applyFont="1" applyFill="1" applyBorder="1" applyAlignment="1">
      <alignment horizontal="center" vertical="center" wrapText="1"/>
    </xf>
    <xf numFmtId="0" fontId="35" fillId="4" borderId="113" xfId="16" applyFont="1" applyFill="1" applyBorder="1" applyAlignment="1">
      <alignment horizontal="center" vertical="center" wrapText="1"/>
    </xf>
    <xf numFmtId="0" fontId="35" fillId="4" borderId="114" xfId="16" applyFont="1" applyFill="1" applyBorder="1" applyAlignment="1">
      <alignment horizontal="center" vertical="center" wrapText="1"/>
    </xf>
    <xf numFmtId="0" fontId="35" fillId="0" borderId="223" xfId="16" applyFont="1" applyBorder="1" applyAlignment="1">
      <alignment horizontal="center" vertical="center" wrapText="1"/>
    </xf>
    <xf numFmtId="9" fontId="35" fillId="0" borderId="223" xfId="16" applyNumberFormat="1" applyFont="1" applyBorder="1" applyAlignment="1">
      <alignment horizontal="center" vertical="center"/>
    </xf>
    <xf numFmtId="0" fontId="35" fillId="0" borderId="223" xfId="16" applyFont="1" applyBorder="1" applyAlignment="1">
      <alignment horizontal="center" vertical="center"/>
    </xf>
    <xf numFmtId="0" fontId="66" fillId="0" borderId="24" xfId="31" applyFont="1" applyBorder="1" applyAlignment="1">
      <alignment horizontal="center" vertical="center" wrapText="1"/>
    </xf>
    <xf numFmtId="0" fontId="66" fillId="0" borderId="22" xfId="31" applyFont="1" applyBorder="1" applyAlignment="1">
      <alignment horizontal="center" vertical="center" wrapText="1"/>
    </xf>
    <xf numFmtId="166" fontId="149" fillId="4" borderId="87" xfId="5" applyFont="1" applyFill="1" applyBorder="1" applyAlignment="1">
      <alignment horizontal="left"/>
    </xf>
    <xf numFmtId="174" fontId="152" fillId="4" borderId="85" xfId="5" applyNumberFormat="1" applyFont="1" applyFill="1" applyBorder="1" applyAlignment="1">
      <alignment horizontal="center"/>
    </xf>
    <xf numFmtId="166" fontId="149" fillId="4" borderId="84" xfId="5" applyFont="1" applyFill="1" applyBorder="1" applyAlignment="1">
      <alignment horizontal="center"/>
    </xf>
    <xf numFmtId="174" fontId="152" fillId="4" borderId="83" xfId="5" applyNumberFormat="1" applyFont="1" applyFill="1" applyBorder="1" applyAlignment="1">
      <alignment horizontal="center"/>
    </xf>
    <xf numFmtId="166" fontId="149" fillId="0" borderId="82" xfId="5" applyFont="1" applyBorder="1" applyAlignment="1">
      <alignment horizontal="center"/>
    </xf>
    <xf numFmtId="174" fontId="152" fillId="0" borderId="80" xfId="5" applyNumberFormat="1" applyFont="1" applyBorder="1" applyAlignment="1">
      <alignment horizontal="center"/>
    </xf>
    <xf numFmtId="166" fontId="149" fillId="0" borderId="0" xfId="5" applyFont="1" applyAlignment="1">
      <alignment horizontal="center"/>
    </xf>
    <xf numFmtId="174" fontId="152" fillId="0" borderId="0" xfId="5" applyNumberFormat="1" applyFont="1" applyAlignment="1">
      <alignment horizontal="center"/>
    </xf>
    <xf numFmtId="173" fontId="136" fillId="0" borderId="0" xfId="5" applyNumberFormat="1" applyFont="1"/>
    <xf numFmtId="174" fontId="138" fillId="4" borderId="61" xfId="5" applyNumberFormat="1" applyFont="1" applyFill="1" applyBorder="1" applyAlignment="1">
      <alignment horizontal="center"/>
    </xf>
    <xf numFmtId="174" fontId="138" fillId="4" borderId="44" xfId="5" applyNumberFormat="1" applyFont="1" applyFill="1" applyBorder="1" applyAlignment="1">
      <alignment horizontal="center"/>
    </xf>
    <xf numFmtId="174" fontId="153" fillId="4" borderId="43" xfId="5" applyNumberFormat="1" applyFont="1" applyFill="1" applyBorder="1" applyAlignment="1">
      <alignment horizontal="center"/>
    </xf>
    <xf numFmtId="174" fontId="153" fillId="4" borderId="42" xfId="5" applyNumberFormat="1" applyFont="1" applyFill="1" applyBorder="1" applyAlignment="1">
      <alignment horizontal="center"/>
    </xf>
    <xf numFmtId="166" fontId="149" fillId="0" borderId="42" xfId="5" applyFont="1" applyBorder="1" applyAlignment="1">
      <alignment horizontal="left"/>
    </xf>
    <xf numFmtId="166" fontId="149" fillId="0" borderId="41" xfId="5" applyFont="1" applyBorder="1" applyAlignment="1">
      <alignment horizontal="left"/>
    </xf>
    <xf numFmtId="174" fontId="138" fillId="4" borderId="60" xfId="5" applyNumberFormat="1" applyFont="1" applyFill="1" applyBorder="1" applyAlignment="1">
      <alignment horizontal="center"/>
    </xf>
    <xf numFmtId="174" fontId="138" fillId="4" borderId="33" xfId="5" applyNumberFormat="1" applyFont="1" applyFill="1" applyBorder="1" applyAlignment="1">
      <alignment horizontal="center"/>
    </xf>
    <xf numFmtId="174" fontId="153" fillId="4" borderId="39" xfId="5" applyNumberFormat="1" applyFont="1" applyFill="1" applyBorder="1" applyAlignment="1">
      <alignment horizontal="center"/>
    </xf>
    <xf numFmtId="174" fontId="153" fillId="4" borderId="5" xfId="5" applyNumberFormat="1" applyFont="1" applyFill="1" applyBorder="1" applyAlignment="1">
      <alignment horizontal="center"/>
    </xf>
    <xf numFmtId="166" fontId="149" fillId="0" borderId="5" xfId="5" applyFont="1" applyBorder="1" applyAlignment="1">
      <alignment horizontal="center"/>
    </xf>
    <xf numFmtId="166" fontId="149" fillId="0" borderId="5" xfId="5" quotePrefix="1" applyFont="1" applyBorder="1" applyAlignment="1">
      <alignment horizontal="left"/>
    </xf>
    <xf numFmtId="166" fontId="149" fillId="0" borderId="4" xfId="5" quotePrefix="1" applyFont="1" applyBorder="1" applyAlignment="1">
      <alignment horizontal="left"/>
    </xf>
    <xf numFmtId="174" fontId="138" fillId="0" borderId="60" xfId="5" applyNumberFormat="1" applyFont="1" applyBorder="1" applyAlignment="1">
      <alignment horizontal="center"/>
    </xf>
    <xf numFmtId="174" fontId="138" fillId="0" borderId="33" xfId="5" applyNumberFormat="1" applyFont="1" applyBorder="1" applyAlignment="1">
      <alignment horizontal="center"/>
    </xf>
    <xf numFmtId="173" fontId="153" fillId="0" borderId="5" xfId="5" applyNumberFormat="1" applyFont="1" applyBorder="1" applyAlignment="1" applyProtection="1">
      <alignment horizontal="center"/>
      <protection locked="0"/>
    </xf>
    <xf numFmtId="166" fontId="135" fillId="0" borderId="59" xfId="5" applyFont="1" applyBorder="1" applyAlignment="1">
      <alignment horizontal="center"/>
    </xf>
    <xf numFmtId="166" fontId="135" fillId="0" borderId="40" xfId="5" applyFont="1" applyBorder="1" applyAlignment="1">
      <alignment horizontal="center"/>
    </xf>
    <xf numFmtId="166" fontId="149" fillId="0" borderId="39" xfId="5" applyFont="1" applyBorder="1" applyAlignment="1" applyProtection="1">
      <alignment horizontal="center"/>
      <protection locked="0"/>
    </xf>
    <xf numFmtId="166" fontId="149" fillId="0" borderId="5" xfId="5" applyFont="1" applyBorder="1" applyAlignment="1" applyProtection="1">
      <alignment horizontal="center"/>
      <protection locked="0"/>
    </xf>
    <xf numFmtId="166" fontId="149" fillId="0" borderId="5" xfId="5" applyFont="1" applyBorder="1" applyAlignment="1">
      <alignment horizontal="left"/>
    </xf>
    <xf numFmtId="166" fontId="149" fillId="0" borderId="4" xfId="5" applyFont="1" applyBorder="1" applyAlignment="1">
      <alignment horizontal="left"/>
    </xf>
    <xf numFmtId="166" fontId="154" fillId="0" borderId="0" xfId="5" applyFont="1"/>
    <xf numFmtId="166" fontId="135" fillId="0" borderId="51" xfId="5" applyFont="1" applyBorder="1" applyAlignment="1">
      <alignment horizontal="center"/>
    </xf>
    <xf numFmtId="166" fontId="135" fillId="0" borderId="0" xfId="5" applyFont="1" applyAlignment="1">
      <alignment horizontal="center"/>
    </xf>
    <xf numFmtId="172" fontId="155" fillId="0" borderId="39" xfId="5" applyNumberFormat="1" applyFont="1" applyBorder="1" applyAlignment="1" applyProtection="1">
      <alignment horizontal="center"/>
      <protection locked="0"/>
    </xf>
    <xf numFmtId="172" fontId="155" fillId="0" borderId="5" xfId="5" applyNumberFormat="1" applyFont="1" applyBorder="1" applyAlignment="1" applyProtection="1">
      <alignment horizontal="center"/>
      <protection locked="0"/>
    </xf>
    <xf numFmtId="172" fontId="153" fillId="0" borderId="39" xfId="5" applyNumberFormat="1" applyFont="1" applyBorder="1" applyAlignment="1">
      <alignment horizontal="center"/>
    </xf>
    <xf numFmtId="172" fontId="153" fillId="0" borderId="5" xfId="5" applyNumberFormat="1" applyFont="1" applyBorder="1" applyAlignment="1">
      <alignment horizontal="center"/>
    </xf>
    <xf numFmtId="172" fontId="152" fillId="0" borderId="39" xfId="5" applyNumberFormat="1" applyFont="1" applyBorder="1" applyAlignment="1">
      <alignment horizontal="center"/>
    </xf>
    <xf numFmtId="172" fontId="152" fillId="0" borderId="5" xfId="5" applyNumberFormat="1" applyFont="1" applyBorder="1" applyAlignment="1">
      <alignment horizontal="center"/>
    </xf>
    <xf numFmtId="172" fontId="149" fillId="0" borderId="38" xfId="5" applyNumberFormat="1" applyFont="1" applyBorder="1" applyAlignment="1">
      <alignment horizontal="center"/>
    </xf>
    <xf numFmtId="172" fontId="149" fillId="0" borderId="37" xfId="5" applyNumberFormat="1" applyFont="1" applyBorder="1" applyAlignment="1">
      <alignment horizontal="center"/>
    </xf>
    <xf numFmtId="166" fontId="149" fillId="0" borderId="37" xfId="5" applyFont="1" applyBorder="1" applyAlignment="1">
      <alignment horizontal="center"/>
    </xf>
    <xf numFmtId="166" fontId="149" fillId="0" borderId="37" xfId="5" applyFont="1" applyBorder="1" applyAlignment="1">
      <alignment horizontal="left"/>
    </xf>
    <xf numFmtId="166" fontId="149" fillId="0" borderId="36" xfId="5" applyFont="1" applyBorder="1" applyAlignment="1">
      <alignment horizontal="left"/>
    </xf>
    <xf numFmtId="0" fontId="139" fillId="3" borderId="35" xfId="45" applyFont="1" applyFill="1" applyBorder="1" applyAlignment="1">
      <alignment horizontal="center" vertical="center" wrapText="1"/>
    </xf>
    <xf numFmtId="15" fontId="138" fillId="0" borderId="26" xfId="46" applyNumberFormat="1" applyFont="1" applyBorder="1" applyAlignment="1">
      <alignment horizontal="center" vertical="center"/>
    </xf>
    <xf numFmtId="0" fontId="138" fillId="0" borderId="56" xfId="45" applyFont="1" applyBorder="1" applyAlignment="1">
      <alignment horizontal="left" vertical="center" wrapText="1"/>
    </xf>
    <xf numFmtId="0" fontId="135" fillId="0" borderId="98" xfId="2" applyFont="1" applyBorder="1" applyAlignment="1">
      <alignment vertical="center"/>
    </xf>
    <xf numFmtId="0" fontId="138" fillId="0" borderId="57" xfId="45" applyFont="1" applyBorder="1" applyAlignment="1">
      <alignment horizontal="center" vertical="center"/>
    </xf>
    <xf numFmtId="0" fontId="138" fillId="0" borderId="35" xfId="45" applyFont="1" applyBorder="1" applyAlignment="1">
      <alignment horizontal="center" vertical="center"/>
    </xf>
    <xf numFmtId="0" fontId="139" fillId="0" borderId="56" xfId="45" applyFont="1" applyBorder="1" applyAlignment="1">
      <alignment horizontal="left" vertical="center"/>
    </xf>
    <xf numFmtId="0" fontId="138" fillId="0" borderId="53" xfId="45" applyFont="1" applyBorder="1" applyAlignment="1">
      <alignment horizontal="center" vertical="center" wrapText="1"/>
    </xf>
    <xf numFmtId="0" fontId="138" fillId="0" borderId="22" xfId="45" applyFont="1" applyBorder="1" applyAlignment="1">
      <alignment horizontal="center" vertical="center" wrapText="1"/>
    </xf>
    <xf numFmtId="0" fontId="138" fillId="0" borderId="30" xfId="45" applyFont="1" applyBorder="1" applyAlignment="1">
      <alignment horizontal="center" vertical="center" wrapText="1"/>
    </xf>
    <xf numFmtId="0" fontId="138" fillId="0" borderId="58" xfId="45" applyFont="1" applyBorder="1" applyAlignment="1">
      <alignment horizontal="center" vertical="center" wrapText="1"/>
    </xf>
    <xf numFmtId="0" fontId="138" fillId="0" borderId="24" xfId="45" applyFont="1" applyBorder="1" applyAlignment="1">
      <alignment horizontal="center" vertical="center" wrapText="1"/>
    </xf>
    <xf numFmtId="0" fontId="138" fillId="0" borderId="23" xfId="45" applyFont="1" applyBorder="1" applyAlignment="1">
      <alignment horizontal="center" vertical="center" wrapText="1"/>
    </xf>
    <xf numFmtId="166" fontId="135" fillId="3" borderId="53" xfId="32" applyFont="1" applyFill="1" applyBorder="1" applyAlignment="1">
      <alignment horizontal="center" vertical="center" wrapText="1"/>
    </xf>
    <xf numFmtId="166" fontId="135" fillId="3" borderId="22" xfId="32" applyFont="1" applyFill="1" applyBorder="1" applyAlignment="1">
      <alignment horizontal="center" vertical="center" wrapText="1"/>
    </xf>
    <xf numFmtId="166" fontId="135" fillId="3" borderId="30" xfId="32" applyFont="1" applyFill="1" applyBorder="1" applyAlignment="1">
      <alignment horizontal="center" vertical="center" wrapText="1"/>
    </xf>
    <xf numFmtId="166" fontId="136" fillId="3" borderId="31" xfId="32" applyFont="1" applyFill="1" applyBorder="1" applyAlignment="1">
      <alignment horizontal="center" vertical="center"/>
    </xf>
    <xf numFmtId="166" fontId="136" fillId="3" borderId="52" xfId="32" applyFont="1" applyFill="1" applyBorder="1" applyAlignment="1">
      <alignment horizontal="center" vertical="center"/>
    </xf>
    <xf numFmtId="166" fontId="135" fillId="3" borderId="51" xfId="32" applyFont="1" applyFill="1" applyBorder="1" applyAlignment="1">
      <alignment horizontal="center" vertical="center" wrapText="1"/>
    </xf>
    <xf numFmtId="166" fontId="135" fillId="3" borderId="0" xfId="32" applyFont="1" applyFill="1" applyAlignment="1">
      <alignment horizontal="center" vertical="center" wrapText="1"/>
    </xf>
    <xf numFmtId="166" fontId="135" fillId="3" borderId="28" xfId="32" applyFont="1" applyFill="1" applyBorder="1" applyAlignment="1">
      <alignment horizontal="center" vertical="center" wrapText="1"/>
    </xf>
    <xf numFmtId="166" fontId="136" fillId="3" borderId="29" xfId="32" applyFont="1" applyFill="1" applyBorder="1" applyAlignment="1">
      <alignment horizontal="center" vertical="center"/>
    </xf>
    <xf numFmtId="166" fontId="136" fillId="3" borderId="50" xfId="32" applyFont="1" applyFill="1" applyBorder="1" applyAlignment="1">
      <alignment horizontal="center" vertical="center"/>
    </xf>
    <xf numFmtId="166" fontId="135" fillId="3" borderId="58" xfId="32" applyFont="1" applyFill="1" applyBorder="1" applyAlignment="1">
      <alignment horizontal="center" vertical="center" wrapText="1"/>
    </xf>
    <xf numFmtId="166" fontId="135" fillId="3" borderId="24" xfId="32" applyFont="1" applyFill="1" applyBorder="1" applyAlignment="1">
      <alignment horizontal="center" vertical="center" wrapText="1"/>
    </xf>
    <xf numFmtId="166" fontId="135" fillId="3" borderId="23" xfId="32" applyFont="1" applyFill="1" applyBorder="1" applyAlignment="1">
      <alignment horizontal="center" vertical="center" wrapText="1"/>
    </xf>
    <xf numFmtId="0" fontId="135" fillId="3" borderId="51" xfId="2" applyFont="1" applyFill="1" applyBorder="1" applyAlignment="1">
      <alignment horizontal="center" vertical="center" wrapText="1"/>
    </xf>
    <xf numFmtId="0" fontId="135" fillId="3" borderId="0" xfId="2" applyFont="1" applyFill="1" applyAlignment="1">
      <alignment horizontal="center" vertical="center" wrapText="1"/>
    </xf>
    <xf numFmtId="0" fontId="135" fillId="3" borderId="28" xfId="2" applyFont="1" applyFill="1" applyBorder="1" applyAlignment="1">
      <alignment horizontal="center" vertical="center" wrapText="1"/>
    </xf>
    <xf numFmtId="0" fontId="135" fillId="3" borderId="49" xfId="2" applyFont="1" applyFill="1" applyBorder="1" applyAlignment="1">
      <alignment horizontal="center" vertical="center" wrapText="1"/>
    </xf>
    <xf numFmtId="0" fontId="135" fillId="3" borderId="48" xfId="2" applyFont="1" applyFill="1" applyBorder="1" applyAlignment="1">
      <alignment horizontal="center" vertical="center" wrapText="1"/>
    </xf>
    <xf numFmtId="0" fontId="135" fillId="3" borderId="252" xfId="2" applyFont="1" applyFill="1" applyBorder="1" applyAlignment="1">
      <alignment horizontal="center" vertical="center" wrapText="1"/>
    </xf>
    <xf numFmtId="166" fontId="136" fillId="3" borderId="47" xfId="32" applyFont="1" applyFill="1" applyBorder="1" applyAlignment="1">
      <alignment horizontal="center" vertical="center"/>
    </xf>
    <xf numFmtId="166" fontId="136" fillId="3" borderId="46" xfId="32" applyFont="1" applyFill="1" applyBorder="1" applyAlignment="1">
      <alignment horizontal="center" vertical="center"/>
    </xf>
    <xf numFmtId="0" fontId="31" fillId="0" borderId="186" xfId="31" applyFont="1" applyBorder="1" applyAlignment="1">
      <alignment horizontal="left" vertical="center"/>
    </xf>
    <xf numFmtId="0" fontId="31" fillId="0" borderId="26" xfId="31" applyFont="1" applyBorder="1" applyAlignment="1">
      <alignment horizontal="left" vertical="center"/>
    </xf>
    <xf numFmtId="0" fontId="156" fillId="0" borderId="0" xfId="2" applyFont="1"/>
    <xf numFmtId="0" fontId="157" fillId="4" borderId="253" xfId="2" applyFont="1" applyFill="1" applyBorder="1" applyAlignment="1">
      <alignment vertical="center" wrapText="1"/>
    </xf>
    <xf numFmtId="0" fontId="157" fillId="4" borderId="254" xfId="2" applyFont="1" applyFill="1" applyBorder="1" applyAlignment="1">
      <alignment vertical="center" wrapText="1"/>
    </xf>
    <xf numFmtId="0" fontId="157" fillId="4" borderId="254" xfId="2" applyFont="1" applyFill="1" applyBorder="1" applyAlignment="1">
      <alignment horizontal="center" vertical="center" wrapText="1"/>
    </xf>
    <xf numFmtId="0" fontId="157" fillId="4" borderId="255" xfId="2" applyFont="1" applyFill="1" applyBorder="1" applyAlignment="1">
      <alignment horizontal="center" vertical="center" wrapText="1"/>
    </xf>
    <xf numFmtId="0" fontId="157" fillId="4" borderId="256" xfId="2" applyFont="1" applyFill="1" applyBorder="1" applyAlignment="1">
      <alignment vertical="center" wrapText="1"/>
    </xf>
    <xf numFmtId="0" fontId="157" fillId="4" borderId="0" xfId="2" applyFont="1" applyFill="1" applyAlignment="1">
      <alignment vertical="center" wrapText="1"/>
    </xf>
    <xf numFmtId="0" fontId="157" fillId="4" borderId="0" xfId="2" applyFont="1" applyFill="1" applyAlignment="1">
      <alignment horizontal="center" vertical="center" wrapText="1"/>
    </xf>
    <xf numFmtId="0" fontId="157" fillId="4" borderId="257" xfId="2" applyFont="1" applyFill="1" applyBorder="1" applyAlignment="1">
      <alignment horizontal="center" vertical="center" wrapText="1"/>
    </xf>
    <xf numFmtId="0" fontId="158" fillId="4" borderId="258" xfId="2" applyFont="1" applyFill="1" applyBorder="1" applyAlignment="1">
      <alignment vertical="center"/>
    </xf>
    <xf numFmtId="0" fontId="158" fillId="4" borderId="132" xfId="2" applyFont="1" applyFill="1" applyBorder="1" applyAlignment="1">
      <alignment vertical="center"/>
    </xf>
    <xf numFmtId="0" fontId="157" fillId="4" borderId="132" xfId="2" applyFont="1" applyFill="1" applyBorder="1" applyAlignment="1">
      <alignment vertical="center" wrapText="1"/>
    </xf>
    <xf numFmtId="0" fontId="157" fillId="4" borderId="132" xfId="2" applyFont="1" applyFill="1" applyBorder="1" applyAlignment="1">
      <alignment horizontal="center" vertical="center" wrapText="1"/>
    </xf>
    <xf numFmtId="0" fontId="157" fillId="4" borderId="259" xfId="2" applyFont="1" applyFill="1" applyBorder="1" applyAlignment="1">
      <alignment horizontal="center" vertical="center" wrapText="1"/>
    </xf>
    <xf numFmtId="0" fontId="156" fillId="0" borderId="176" xfId="2" applyFont="1" applyBorder="1"/>
    <xf numFmtId="0" fontId="159" fillId="0" borderId="174" xfId="2" applyFont="1" applyBorder="1"/>
    <xf numFmtId="0" fontId="156" fillId="0" borderId="174" xfId="2" applyFont="1" applyBorder="1"/>
    <xf numFmtId="0" fontId="156" fillId="0" borderId="177" xfId="2" applyFont="1" applyBorder="1"/>
    <xf numFmtId="0" fontId="156" fillId="0" borderId="135" xfId="2" applyFont="1" applyBorder="1"/>
    <xf numFmtId="0" fontId="159" fillId="0" borderId="260" xfId="2" applyFont="1" applyBorder="1" applyAlignment="1">
      <alignment horizontal="center"/>
    </xf>
    <xf numFmtId="0" fontId="159" fillId="0" borderId="261" xfId="2" applyFont="1" applyBorder="1" applyAlignment="1">
      <alignment horizontal="center"/>
    </xf>
    <xf numFmtId="0" fontId="160" fillId="7" borderId="262" xfId="2" applyFont="1" applyFill="1" applyBorder="1" applyAlignment="1">
      <alignment horizontal="center"/>
    </xf>
    <xf numFmtId="0" fontId="161" fillId="0" borderId="263" xfId="2" applyFont="1" applyBorder="1" applyAlignment="1">
      <alignment horizontal="left"/>
    </xf>
    <xf numFmtId="0" fontId="161" fillId="0" borderId="261" xfId="2" applyFont="1" applyBorder="1" applyAlignment="1">
      <alignment horizontal="left"/>
    </xf>
    <xf numFmtId="15" fontId="156" fillId="7" borderId="264" xfId="2" applyNumberFormat="1" applyFont="1" applyFill="1" applyBorder="1" applyAlignment="1">
      <alignment horizontal="center"/>
    </xf>
    <xf numFmtId="0" fontId="156" fillId="0" borderId="134" xfId="2" applyFont="1" applyBorder="1"/>
    <xf numFmtId="0" fontId="159" fillId="0" borderId="0" xfId="2" applyFont="1"/>
    <xf numFmtId="14" fontId="156" fillId="0" borderId="0" xfId="2" applyNumberFormat="1" applyFont="1"/>
    <xf numFmtId="49" fontId="161" fillId="0" borderId="110" xfId="2" applyNumberFormat="1" applyFont="1" applyBorder="1" applyAlignment="1">
      <alignment horizontal="center" vertical="center"/>
    </xf>
    <xf numFmtId="49" fontId="161" fillId="0" borderId="215" xfId="2" applyNumberFormat="1" applyFont="1" applyBorder="1" applyAlignment="1">
      <alignment horizontal="center" vertical="center"/>
    </xf>
    <xf numFmtId="0" fontId="162" fillId="0" borderId="194" xfId="2" applyFont="1" applyBorder="1" applyAlignment="1">
      <alignment horizontal="center"/>
    </xf>
    <xf numFmtId="0" fontId="161" fillId="0" borderId="194" xfId="2" applyFont="1" applyBorder="1" applyAlignment="1">
      <alignment horizontal="center"/>
    </xf>
    <xf numFmtId="0" fontId="161" fillId="0" borderId="216" xfId="2" applyFont="1" applyBorder="1"/>
    <xf numFmtId="186" fontId="156" fillId="0" borderId="0" xfId="2" applyNumberFormat="1" applyFont="1"/>
    <xf numFmtId="0" fontId="156" fillId="0" borderId="113" xfId="2" applyFont="1" applyBorder="1" applyAlignment="1">
      <alignment horizontal="center" vertical="center"/>
    </xf>
    <xf numFmtId="49" fontId="161" fillId="0" borderId="217" xfId="2" applyNumberFormat="1" applyFont="1" applyBorder="1" applyAlignment="1">
      <alignment horizontal="center" vertical="center"/>
    </xf>
    <xf numFmtId="0" fontId="156" fillId="0" borderId="104" xfId="2" applyFont="1" applyBorder="1" applyAlignment="1">
      <alignment horizontal="center"/>
    </xf>
    <xf numFmtId="174" fontId="163" fillId="7" borderId="104" xfId="2" applyNumberFormat="1" applyFont="1" applyFill="1" applyBorder="1" applyAlignment="1">
      <alignment horizontal="center"/>
    </xf>
    <xf numFmtId="2" fontId="161" fillId="0" borderId="104" xfId="2" applyNumberFormat="1" applyFont="1" applyBorder="1" applyAlignment="1">
      <alignment horizontal="center"/>
    </xf>
    <xf numFmtId="2" fontId="163" fillId="7" borderId="218" xfId="2" applyNumberFormat="1" applyFont="1" applyFill="1" applyBorder="1" applyAlignment="1">
      <alignment horizontal="center"/>
    </xf>
    <xf numFmtId="10" fontId="156" fillId="0" borderId="0" xfId="2" applyNumberFormat="1" applyFont="1"/>
    <xf numFmtId="0" fontId="161" fillId="0" borderId="0" xfId="2" applyFont="1" applyAlignment="1">
      <alignment horizontal="center"/>
    </xf>
    <xf numFmtId="2" fontId="163" fillId="0" borderId="0" xfId="2" applyNumberFormat="1" applyFont="1"/>
    <xf numFmtId="0" fontId="162" fillId="0" borderId="194" xfId="2" applyFont="1" applyBorder="1"/>
    <xf numFmtId="0" fontId="162" fillId="0" borderId="216" xfId="2" applyFont="1" applyBorder="1" applyAlignment="1">
      <alignment horizontal="center"/>
    </xf>
    <xf numFmtId="0" fontId="164" fillId="0" borderId="104" xfId="2" applyFont="1" applyBorder="1" applyAlignment="1">
      <alignment horizontal="center" vertical="center" wrapText="1"/>
    </xf>
    <xf numFmtId="174" fontId="163" fillId="7" borderId="104" xfId="2" applyNumberFormat="1" applyFont="1" applyFill="1" applyBorder="1" applyAlignment="1">
      <alignment horizontal="center" vertical="center"/>
    </xf>
    <xf numFmtId="2" fontId="163" fillId="7" borderId="104" xfId="2" applyNumberFormat="1" applyFont="1" applyFill="1" applyBorder="1" applyAlignment="1">
      <alignment horizontal="center" vertical="center"/>
    </xf>
    <xf numFmtId="2" fontId="163" fillId="7" borderId="218" xfId="2" applyNumberFormat="1" applyFont="1" applyFill="1" applyBorder="1" applyAlignment="1">
      <alignment horizontal="center" vertical="center"/>
    </xf>
    <xf numFmtId="0" fontId="156" fillId="0" borderId="197" xfId="2" applyFont="1" applyBorder="1" applyAlignment="1">
      <alignment horizontal="center" vertical="center"/>
    </xf>
    <xf numFmtId="0" fontId="156" fillId="0" borderId="265" xfId="2" applyFont="1" applyBorder="1" applyAlignment="1">
      <alignment horizontal="center"/>
    </xf>
    <xf numFmtId="0" fontId="156" fillId="0" borderId="266" xfId="2" applyFont="1" applyBorder="1"/>
    <xf numFmtId="0" fontId="156" fillId="0" borderId="105" xfId="2" applyFont="1" applyBorder="1"/>
    <xf numFmtId="2" fontId="156" fillId="7" borderId="194" xfId="2" applyNumberFormat="1" applyFont="1" applyFill="1" applyBorder="1"/>
    <xf numFmtId="0" fontId="156" fillId="4" borderId="267" xfId="2" applyFont="1" applyFill="1" applyBorder="1" applyAlignment="1">
      <alignment horizontal="center"/>
    </xf>
    <xf numFmtId="0" fontId="156" fillId="4" borderId="111" xfId="2" applyFont="1" applyFill="1" applyBorder="1" applyAlignment="1">
      <alignment horizontal="center"/>
    </xf>
    <xf numFmtId="0" fontId="156" fillId="0" borderId="268" xfId="2" applyFont="1" applyBorder="1" applyAlignment="1">
      <alignment horizontal="center"/>
    </xf>
    <xf numFmtId="0" fontId="156" fillId="0" borderId="25" xfId="2" applyFont="1" applyBorder="1"/>
    <xf numFmtId="0" fontId="156" fillId="0" borderId="27" xfId="2" applyFont="1" applyBorder="1"/>
    <xf numFmtId="2" fontId="156" fillId="7" borderId="35" xfId="2" applyNumberFormat="1" applyFont="1" applyFill="1" applyBorder="1"/>
    <xf numFmtId="0" fontId="156" fillId="4" borderId="28" xfId="2" applyFont="1" applyFill="1" applyBorder="1" applyAlignment="1">
      <alignment horizontal="center"/>
    </xf>
    <xf numFmtId="0" fontId="156" fillId="4" borderId="99" xfId="2" applyFont="1" applyFill="1" applyBorder="1" applyAlignment="1">
      <alignment horizontal="center"/>
    </xf>
    <xf numFmtId="0" fontId="161" fillId="0" borderId="0" xfId="2" applyFont="1" applyAlignment="1">
      <alignment horizontal="center" vertical="center"/>
    </xf>
    <xf numFmtId="0" fontId="161" fillId="0" borderId="0" xfId="2" applyFont="1"/>
    <xf numFmtId="0" fontId="156" fillId="0" borderId="25" xfId="2" applyFont="1" applyBorder="1" applyAlignment="1">
      <alignment horizontal="left"/>
    </xf>
    <xf numFmtId="0" fontId="156" fillId="0" borderId="27" xfId="2" applyFont="1" applyBorder="1" applyAlignment="1">
      <alignment horizontal="left"/>
    </xf>
    <xf numFmtId="0" fontId="156" fillId="15" borderId="30" xfId="2" applyFont="1" applyFill="1" applyBorder="1" applyAlignment="1">
      <alignment horizontal="center"/>
    </xf>
    <xf numFmtId="0" fontId="156" fillId="15" borderId="269" xfId="2" applyFont="1" applyFill="1" applyBorder="1" applyAlignment="1">
      <alignment horizontal="center"/>
    </xf>
    <xf numFmtId="2" fontId="156" fillId="0" borderId="35" xfId="2" applyNumberFormat="1" applyFont="1" applyBorder="1"/>
    <xf numFmtId="0" fontId="156" fillId="0" borderId="35" xfId="2" applyFont="1" applyBorder="1" applyAlignment="1">
      <alignment horizontal="center"/>
    </xf>
    <xf numFmtId="0" fontId="156" fillId="0" borderId="219" xfId="2" applyFont="1" applyBorder="1" applyAlignment="1">
      <alignment horizontal="center"/>
    </xf>
    <xf numFmtId="0" fontId="156" fillId="0" borderId="270" xfId="2" applyFont="1" applyBorder="1" applyAlignment="1">
      <alignment horizontal="center"/>
    </xf>
    <xf numFmtId="0" fontId="156" fillId="0" borderId="102" xfId="2" applyFont="1" applyBorder="1"/>
    <xf numFmtId="0" fontId="156" fillId="0" borderId="103" xfId="2" applyFont="1" applyBorder="1"/>
    <xf numFmtId="2" fontId="156" fillId="0" borderId="104" xfId="2" applyNumberFormat="1" applyFont="1" applyBorder="1"/>
    <xf numFmtId="0" fontId="156" fillId="0" borderId="104" xfId="2" applyFont="1" applyBorder="1" applyAlignment="1">
      <alignment horizontal="center"/>
    </xf>
    <xf numFmtId="0" fontId="156" fillId="0" borderId="218" xfId="2" applyFont="1" applyBorder="1" applyAlignment="1">
      <alignment horizontal="center"/>
    </xf>
    <xf numFmtId="2" fontId="156" fillId="0" borderId="216" xfId="2" applyNumberFormat="1" applyFont="1" applyBorder="1"/>
    <xf numFmtId="2" fontId="156" fillId="0" borderId="219" xfId="2" applyNumberFormat="1" applyFont="1" applyBorder="1"/>
    <xf numFmtId="2" fontId="156" fillId="0" borderId="218" xfId="2" applyNumberFormat="1" applyFont="1" applyBorder="1"/>
    <xf numFmtId="0" fontId="156" fillId="0" borderId="0" xfId="2" applyFont="1" applyAlignment="1">
      <alignment horizontal="center"/>
    </xf>
    <xf numFmtId="0" fontId="156" fillId="0" borderId="265" xfId="2" applyFont="1" applyBorder="1"/>
    <xf numFmtId="0" fontId="156" fillId="0" borderId="266" xfId="2" applyFont="1" applyBorder="1" applyAlignment="1">
      <alignment horizontal="center"/>
    </xf>
    <xf numFmtId="0" fontId="156" fillId="0" borderId="105" xfId="2" applyFont="1" applyBorder="1" applyAlignment="1">
      <alignment horizontal="center"/>
    </xf>
    <xf numFmtId="172" fontId="156" fillId="0" borderId="194" xfId="2" applyNumberFormat="1" applyFont="1" applyBorder="1"/>
    <xf numFmtId="0" fontId="156" fillId="0" borderId="271" xfId="2" applyFont="1" applyBorder="1" applyAlignment="1">
      <alignment horizontal="center"/>
    </xf>
    <xf numFmtId="187" fontId="156" fillId="0" borderId="268" xfId="2" applyNumberFormat="1" applyFont="1" applyBorder="1" applyAlignment="1">
      <alignment horizontal="left"/>
    </xf>
    <xf numFmtId="0" fontId="156" fillId="0" borderId="26" xfId="2" applyFont="1" applyBorder="1" applyAlignment="1">
      <alignment horizontal="left"/>
    </xf>
    <xf numFmtId="0" fontId="156" fillId="0" borderId="220" xfId="2" applyFont="1" applyBorder="1" applyAlignment="1">
      <alignment horizontal="center" vertical="center"/>
    </xf>
    <xf numFmtId="0" fontId="156" fillId="0" borderId="221" xfId="2" applyFont="1" applyBorder="1" applyAlignment="1">
      <alignment horizontal="center" vertical="center"/>
    </xf>
    <xf numFmtId="0" fontId="156" fillId="0" borderId="222" xfId="2" applyFont="1" applyBorder="1" applyAlignment="1">
      <alignment horizontal="center" vertical="center"/>
    </xf>
    <xf numFmtId="0" fontId="165" fillId="0" borderId="25" xfId="2" applyFont="1" applyBorder="1" applyAlignment="1">
      <alignment horizontal="center"/>
    </xf>
    <xf numFmtId="0" fontId="165" fillId="0" borderId="27" xfId="2" applyFont="1" applyBorder="1" applyAlignment="1">
      <alignment horizontal="center"/>
    </xf>
    <xf numFmtId="1" fontId="156" fillId="0" borderId="35" xfId="2" applyNumberFormat="1" applyFont="1" applyBorder="1" applyAlignment="1">
      <alignment horizontal="right"/>
    </xf>
    <xf numFmtId="0" fontId="156" fillId="0" borderId="25" xfId="2" applyFont="1" applyBorder="1" applyAlignment="1">
      <alignment horizontal="center"/>
    </xf>
    <xf numFmtId="0" fontId="156" fillId="0" borderId="100" xfId="2" applyFont="1" applyBorder="1" applyAlignment="1">
      <alignment horizontal="center"/>
    </xf>
    <xf numFmtId="188" fontId="156" fillId="0" borderId="35" xfId="2" applyNumberFormat="1" applyFont="1" applyBorder="1" applyAlignment="1">
      <alignment horizontal="right"/>
    </xf>
    <xf numFmtId="0" fontId="156" fillId="0" borderId="25" xfId="2" applyFont="1" applyBorder="1" applyAlignment="1">
      <alignment horizontal="center" vertical="center" wrapText="1"/>
    </xf>
    <xf numFmtId="0" fontId="156" fillId="0" borderId="100" xfId="2" applyFont="1" applyBorder="1" applyAlignment="1">
      <alignment horizontal="center" vertical="center" wrapText="1"/>
    </xf>
    <xf numFmtId="0" fontId="156" fillId="0" borderId="268" xfId="2" applyFont="1" applyBorder="1" applyAlignment="1">
      <alignment horizontal="center" vertical="center"/>
    </xf>
    <xf numFmtId="0" fontId="156" fillId="0" borderId="35" xfId="2" applyFont="1" applyBorder="1" applyAlignment="1">
      <alignment horizontal="center" vertical="center" wrapText="1"/>
    </xf>
    <xf numFmtId="1" fontId="156" fillId="0" borderId="35" xfId="2" applyNumberFormat="1" applyFont="1" applyBorder="1" applyAlignment="1">
      <alignment horizontal="center" vertical="center"/>
    </xf>
    <xf numFmtId="0" fontId="164" fillId="0" borderId="35" xfId="2" applyFont="1" applyBorder="1" applyAlignment="1">
      <alignment horizontal="left" vertical="center" wrapText="1" indent="1"/>
    </xf>
    <xf numFmtId="0" fontId="164" fillId="0" borderId="219" xfId="2" applyFont="1" applyBorder="1" applyAlignment="1">
      <alignment horizontal="left" vertical="center" wrapText="1" indent="1"/>
    </xf>
    <xf numFmtId="0" fontId="156" fillId="0" borderId="270" xfId="2" applyFont="1" applyBorder="1" applyAlignment="1">
      <alignment horizontal="center" vertical="center"/>
    </xf>
    <xf numFmtId="0" fontId="156" fillId="0" borderId="104" xfId="2" applyFont="1" applyBorder="1" applyAlignment="1">
      <alignment horizontal="center" vertical="center" wrapText="1"/>
    </xf>
    <xf numFmtId="1" fontId="156" fillId="0" borderId="104" xfId="2" applyNumberFormat="1" applyFont="1" applyBorder="1" applyAlignment="1">
      <alignment horizontal="center" vertical="center"/>
    </xf>
    <xf numFmtId="0" fontId="164" fillId="0" borderId="104" xfId="2" applyFont="1" applyBorder="1" applyAlignment="1">
      <alignment horizontal="left" vertical="center" wrapText="1" indent="1"/>
    </xf>
    <xf numFmtId="0" fontId="164" fillId="0" borderId="218" xfId="2" applyFont="1" applyBorder="1" applyAlignment="1">
      <alignment horizontal="left" vertical="center" wrapText="1" indent="1"/>
    </xf>
    <xf numFmtId="2" fontId="161" fillId="0" borderId="194" xfId="2" applyNumberFormat="1" applyFont="1" applyBorder="1"/>
    <xf numFmtId="0" fontId="156" fillId="0" borderId="267" xfId="2" applyFont="1" applyBorder="1" applyAlignment="1">
      <alignment horizontal="center"/>
    </xf>
    <xf numFmtId="0" fontId="156" fillId="0" borderId="111" xfId="2" applyFont="1" applyBorder="1" applyAlignment="1">
      <alignment horizontal="center"/>
    </xf>
    <xf numFmtId="2" fontId="161" fillId="0" borderId="35" xfId="2" applyNumberFormat="1" applyFont="1" applyBorder="1"/>
    <xf numFmtId="2" fontId="161" fillId="0" borderId="28" xfId="2" applyNumberFormat="1" applyFont="1" applyBorder="1" applyAlignment="1">
      <alignment horizontal="center"/>
    </xf>
    <xf numFmtId="0" fontId="156" fillId="0" borderId="99" xfId="2" applyFont="1" applyBorder="1"/>
    <xf numFmtId="0" fontId="166" fillId="0" borderId="272" xfId="2" applyFont="1" applyBorder="1"/>
    <xf numFmtId="0" fontId="161" fillId="0" borderId="273" xfId="2" applyFont="1" applyBorder="1"/>
    <xf numFmtId="0" fontId="161" fillId="0" borderId="274" xfId="2" applyFont="1" applyBorder="1"/>
    <xf numFmtId="2" fontId="161" fillId="0" borderId="197" xfId="2" applyNumberFormat="1" applyFont="1" applyBorder="1"/>
    <xf numFmtId="0" fontId="156" fillId="0" borderId="28" xfId="2" applyFont="1" applyBorder="1" applyAlignment="1">
      <alignment horizontal="center"/>
    </xf>
    <xf numFmtId="0" fontId="156" fillId="0" borderId="99" xfId="2" applyFont="1" applyBorder="1" applyAlignment="1">
      <alignment horizontal="center"/>
    </xf>
    <xf numFmtId="0" fontId="161" fillId="0" borderId="275" xfId="2" applyFont="1" applyBorder="1"/>
    <xf numFmtId="0" fontId="161" fillId="0" borderId="73" xfId="2" applyFont="1" applyBorder="1"/>
    <xf numFmtId="0" fontId="161" fillId="0" borderId="276" xfId="2" applyFont="1" applyBorder="1"/>
    <xf numFmtId="0" fontId="156" fillId="0" borderId="191" xfId="2" applyFont="1" applyBorder="1"/>
    <xf numFmtId="2" fontId="161" fillId="0" borderId="205" xfId="2" applyNumberFormat="1" applyFont="1" applyBorder="1"/>
    <xf numFmtId="0" fontId="156" fillId="0" borderId="103" xfId="2" applyFont="1" applyBorder="1" applyAlignment="1">
      <alignment horizontal="center"/>
    </xf>
    <xf numFmtId="0" fontId="166" fillId="0" borderId="277" xfId="2" applyFont="1" applyBorder="1"/>
    <xf numFmtId="0" fontId="161" fillId="0" borderId="278" xfId="2" applyFont="1" applyBorder="1"/>
    <xf numFmtId="0" fontId="161" fillId="0" borderId="279" xfId="2" applyFont="1" applyBorder="1"/>
    <xf numFmtId="0" fontId="161" fillId="0" borderId="280" xfId="2" applyFont="1" applyBorder="1"/>
    <xf numFmtId="0" fontId="161" fillId="0" borderId="281" xfId="2" applyFont="1" applyBorder="1"/>
    <xf numFmtId="0" fontId="156" fillId="0" borderId="282" xfId="2" applyFont="1" applyBorder="1"/>
    <xf numFmtId="0" fontId="161" fillId="7" borderId="223" xfId="2" applyFont="1" applyFill="1" applyBorder="1"/>
    <xf numFmtId="0" fontId="156" fillId="0" borderId="105" xfId="2" applyFont="1" applyBorder="1" applyAlignment="1">
      <alignment horizontal="center"/>
    </xf>
    <xf numFmtId="0" fontId="156" fillId="0" borderId="216" xfId="2" applyFont="1" applyBorder="1" applyAlignment="1">
      <alignment horizontal="left"/>
    </xf>
    <xf numFmtId="0" fontId="161" fillId="0" borderId="283" xfId="2" applyFont="1" applyBorder="1" applyAlignment="1">
      <alignment horizontal="center" vertical="center"/>
    </xf>
    <xf numFmtId="0" fontId="17" fillId="0" borderId="35" xfId="2" applyFont="1" applyBorder="1" applyAlignment="1">
      <alignment horizontal="center"/>
    </xf>
    <xf numFmtId="15" fontId="17" fillId="0" borderId="284" xfId="2" applyNumberFormat="1" applyFont="1" applyBorder="1" applyAlignment="1">
      <alignment horizontal="center"/>
    </xf>
    <xf numFmtId="0" fontId="156" fillId="0" borderId="26" xfId="2" applyFont="1" applyBorder="1"/>
    <xf numFmtId="2" fontId="161" fillId="0" borderId="224" xfId="2" applyNumberFormat="1" applyFont="1" applyBorder="1"/>
    <xf numFmtId="0" fontId="156" fillId="0" borderId="26" xfId="2" applyFont="1" applyBorder="1" applyAlignment="1">
      <alignment horizontal="center"/>
    </xf>
    <xf numFmtId="0" fontId="161" fillId="0" borderId="285" xfId="2" applyFont="1" applyBorder="1"/>
    <xf numFmtId="0" fontId="161" fillId="0" borderId="26" xfId="2" applyFont="1" applyBorder="1" applyAlignment="1">
      <alignment horizontal="center" vertical="center"/>
    </xf>
    <xf numFmtId="0" fontId="161" fillId="0" borderId="269" xfId="2" applyFont="1" applyBorder="1" applyAlignment="1">
      <alignment horizontal="center" vertical="center"/>
    </xf>
    <xf numFmtId="2" fontId="161" fillId="0" borderId="286" xfId="2" applyNumberFormat="1" applyFont="1" applyBorder="1" applyAlignment="1">
      <alignment horizontal="center" vertical="center"/>
    </xf>
    <xf numFmtId="2" fontId="159" fillId="0" borderId="205" xfId="2" applyNumberFormat="1" applyFont="1" applyBorder="1"/>
    <xf numFmtId="0" fontId="164" fillId="0" borderId="35" xfId="2" applyFont="1" applyBorder="1"/>
    <xf numFmtId="0" fontId="156" fillId="0" borderId="35" xfId="2" applyFont="1" applyBorder="1"/>
    <xf numFmtId="0" fontId="156" fillId="0" borderId="27" xfId="2" applyFont="1" applyBorder="1" applyAlignment="1">
      <alignment horizontal="center"/>
    </xf>
    <xf numFmtId="0" fontId="156" fillId="0" borderId="24" xfId="2" applyFont="1" applyBorder="1"/>
    <xf numFmtId="0" fontId="156" fillId="0" borderId="24" xfId="2" applyFont="1" applyBorder="1" applyAlignment="1">
      <alignment horizontal="center"/>
    </xf>
    <xf numFmtId="0" fontId="161" fillId="0" borderId="35" xfId="2" applyFont="1" applyBorder="1"/>
    <xf numFmtId="15" fontId="161" fillId="0" borderId="284" xfId="2" applyNumberFormat="1" applyFont="1" applyBorder="1"/>
    <xf numFmtId="0" fontId="156" fillId="0" borderId="194" xfId="2" applyFont="1" applyBorder="1"/>
    <xf numFmtId="0" fontId="161" fillId="0" borderId="287" xfId="2" applyFont="1" applyBorder="1" applyAlignment="1">
      <alignment horizontal="center" vertical="center"/>
    </xf>
    <xf numFmtId="0" fontId="161" fillId="0" borderId="288" xfId="2" applyFont="1" applyBorder="1"/>
    <xf numFmtId="15" fontId="161" fillId="0" borderId="289" xfId="2" applyNumberFormat="1" applyFont="1" applyBorder="1"/>
    <xf numFmtId="0" fontId="156" fillId="0" borderId="268" xfId="2" applyFont="1" applyBorder="1"/>
    <xf numFmtId="0" fontId="164" fillId="0" borderId="25" xfId="2" applyFont="1" applyBorder="1" applyAlignment="1">
      <alignment horizontal="left"/>
    </xf>
    <xf numFmtId="0" fontId="164" fillId="0" borderId="27" xfId="2" applyFont="1" applyBorder="1" applyAlignment="1">
      <alignment horizontal="left"/>
    </xf>
    <xf numFmtId="0" fontId="156" fillId="0" borderId="35" xfId="2" quotePrefix="1" applyFont="1" applyBorder="1" applyAlignment="1">
      <alignment horizontal="center"/>
    </xf>
    <xf numFmtId="0" fontId="161" fillId="0" borderId="223" xfId="2" applyFont="1" applyBorder="1" applyAlignment="1">
      <alignment horizontal="center"/>
    </xf>
    <xf numFmtId="0" fontId="156" fillId="0" borderId="115" xfId="2" applyFont="1" applyBorder="1" applyAlignment="1">
      <alignment horizontal="center"/>
    </xf>
    <xf numFmtId="0" fontId="161" fillId="0" borderId="224" xfId="2" applyFont="1" applyBorder="1" applyAlignment="1">
      <alignment horizontal="center"/>
    </xf>
    <xf numFmtId="0" fontId="156" fillId="0" borderId="0" xfId="2" applyFont="1" applyAlignment="1">
      <alignment horizontal="center"/>
    </xf>
    <xf numFmtId="1" fontId="161" fillId="0" borderId="290" xfId="2" applyNumberFormat="1" applyFont="1" applyBorder="1" applyAlignment="1">
      <alignment horizontal="center"/>
    </xf>
    <xf numFmtId="2" fontId="161" fillId="0" borderId="205" xfId="2" applyNumberFormat="1" applyFont="1" applyBorder="1" applyAlignment="1">
      <alignment horizontal="center"/>
    </xf>
    <xf numFmtId="0" fontId="156" fillId="0" borderId="133" xfId="2" applyFont="1" applyBorder="1"/>
    <xf numFmtId="0" fontId="156" fillId="0" borderId="132" xfId="2" applyFont="1" applyBorder="1"/>
    <xf numFmtId="0" fontId="156" fillId="0" borderId="131" xfId="2" applyFont="1" applyBorder="1"/>
    <xf numFmtId="174" fontId="156" fillId="0" borderId="0" xfId="2" applyNumberFormat="1" applyFont="1"/>
    <xf numFmtId="0" fontId="157" fillId="15" borderId="72" xfId="2" applyFont="1" applyFill="1" applyBorder="1" applyAlignment="1">
      <alignment horizontal="center" vertical="center"/>
    </xf>
    <xf numFmtId="0" fontId="157" fillId="15" borderId="73" xfId="2" applyFont="1" applyFill="1" applyBorder="1" applyAlignment="1">
      <alignment horizontal="center" vertical="center"/>
    </xf>
    <xf numFmtId="0" fontId="157" fillId="15" borderId="74" xfId="2" applyFont="1" applyFill="1" applyBorder="1" applyAlignment="1">
      <alignment horizontal="center" vertical="center"/>
    </xf>
    <xf numFmtId="0" fontId="157" fillId="15" borderId="75" xfId="2" applyFont="1" applyFill="1" applyBorder="1" applyAlignment="1">
      <alignment horizontal="center" vertical="center"/>
    </xf>
    <xf numFmtId="0" fontId="157" fillId="15" borderId="0" xfId="2" applyFont="1" applyFill="1" applyAlignment="1">
      <alignment horizontal="center" vertical="center"/>
    </xf>
    <xf numFmtId="0" fontId="157" fillId="15" borderId="76" xfId="2" applyFont="1" applyFill="1" applyBorder="1" applyAlignment="1">
      <alignment horizontal="center" vertical="center"/>
    </xf>
    <xf numFmtId="0" fontId="166" fillId="15" borderId="75" xfId="2" applyFont="1" applyFill="1" applyBorder="1" applyAlignment="1">
      <alignment horizontal="center" vertical="center"/>
    </xf>
    <xf numFmtId="0" fontId="166" fillId="15" borderId="0" xfId="2" applyFont="1" applyFill="1" applyAlignment="1">
      <alignment horizontal="center" vertical="center"/>
    </xf>
    <xf numFmtId="0" fontId="166" fillId="15" borderId="76" xfId="2" applyFont="1" applyFill="1" applyBorder="1" applyAlignment="1">
      <alignment horizontal="center" vertical="center"/>
    </xf>
    <xf numFmtId="0" fontId="158" fillId="15" borderId="77" xfId="2" applyFont="1" applyFill="1" applyBorder="1" applyAlignment="1">
      <alignment horizontal="center" vertical="center"/>
    </xf>
    <xf numFmtId="0" fontId="158" fillId="15" borderId="78" xfId="2" applyFont="1" applyFill="1" applyBorder="1" applyAlignment="1">
      <alignment horizontal="center" vertical="center"/>
    </xf>
    <xf numFmtId="0" fontId="158" fillId="15" borderId="79" xfId="2" applyFont="1" applyFill="1" applyBorder="1" applyAlignment="1">
      <alignment horizontal="center" vertical="center"/>
    </xf>
    <xf numFmtId="0" fontId="156" fillId="0" borderId="75" xfId="2" applyFont="1" applyBorder="1"/>
    <xf numFmtId="0" fontId="156" fillId="0" borderId="76" xfId="2" applyFont="1" applyBorder="1"/>
    <xf numFmtId="15" fontId="156" fillId="0" borderId="0" xfId="2" applyNumberFormat="1" applyFont="1"/>
    <xf numFmtId="0" fontId="156" fillId="0" borderId="35" xfId="2" applyFont="1" applyBorder="1" applyAlignment="1">
      <alignment horizontal="center"/>
    </xf>
    <xf numFmtId="0" fontId="156" fillId="16" borderId="35" xfId="2" applyFont="1" applyFill="1" applyBorder="1"/>
    <xf numFmtId="0" fontId="156" fillId="17" borderId="35" xfId="2" applyFont="1" applyFill="1" applyBorder="1" applyAlignment="1">
      <alignment horizontal="center"/>
    </xf>
    <xf numFmtId="1" fontId="156" fillId="0" borderId="35" xfId="2" applyNumberFormat="1" applyFont="1" applyBorder="1"/>
    <xf numFmtId="0" fontId="156" fillId="0" borderId="24" xfId="2" applyFont="1" applyBorder="1" applyAlignment="1">
      <alignment horizontal="center"/>
    </xf>
    <xf numFmtId="0" fontId="156" fillId="0" borderId="22" xfId="2" applyFont="1" applyBorder="1"/>
    <xf numFmtId="0" fontId="156" fillId="0" borderId="22" xfId="2" applyFont="1" applyBorder="1" applyAlignment="1">
      <alignment horizontal="center"/>
    </xf>
    <xf numFmtId="181" fontId="156" fillId="0" borderId="35" xfId="2" applyNumberFormat="1" applyFont="1" applyBorder="1"/>
    <xf numFmtId="0" fontId="156" fillId="0" borderId="24" xfId="2" applyFont="1" applyBorder="1"/>
    <xf numFmtId="172" fontId="156" fillId="0" borderId="35" xfId="2" applyNumberFormat="1" applyFont="1" applyBorder="1"/>
    <xf numFmtId="0" fontId="156" fillId="0" borderId="28" xfId="2" applyFont="1" applyBorder="1" applyAlignment="1">
      <alignment horizontal="center"/>
    </xf>
    <xf numFmtId="0" fontId="156" fillId="0" borderId="30" xfId="2" applyFont="1" applyBorder="1" applyAlignment="1">
      <alignment horizontal="center"/>
    </xf>
    <xf numFmtId="0" fontId="156" fillId="0" borderId="35" xfId="2" applyFont="1" applyBorder="1" applyAlignment="1">
      <alignment horizontal="center" vertical="center"/>
    </xf>
    <xf numFmtId="0" fontId="156" fillId="0" borderId="25" xfId="2" applyFont="1" applyBorder="1" applyAlignment="1">
      <alignment horizontal="left" vertical="center"/>
    </xf>
    <xf numFmtId="0" fontId="156" fillId="0" borderId="27" xfId="2" applyFont="1" applyBorder="1" applyAlignment="1">
      <alignment horizontal="left" vertical="center"/>
    </xf>
    <xf numFmtId="172" fontId="156" fillId="0" borderId="35" xfId="2" applyNumberFormat="1" applyFont="1" applyBorder="1" applyAlignment="1">
      <alignment horizontal="right" vertical="center"/>
    </xf>
    <xf numFmtId="0" fontId="164" fillId="0" borderId="25" xfId="2" applyFont="1" applyBorder="1" applyAlignment="1">
      <alignment horizontal="center" vertical="center" wrapText="1"/>
    </xf>
    <xf numFmtId="0" fontId="164" fillId="0" borderId="27" xfId="2" applyFont="1" applyBorder="1" applyAlignment="1">
      <alignment horizontal="center" vertical="center" wrapText="1"/>
    </xf>
    <xf numFmtId="0" fontId="156" fillId="0" borderId="197" xfId="2" applyFont="1" applyBorder="1" applyAlignment="1">
      <alignment vertical="center"/>
    </xf>
    <xf numFmtId="0" fontId="156" fillId="0" borderId="24" xfId="2" applyFont="1" applyBorder="1" applyAlignment="1">
      <alignment horizontal="center" wrapText="1"/>
    </xf>
    <xf numFmtId="0" fontId="156" fillId="0" borderId="65" xfId="2" applyFont="1" applyBorder="1" applyAlignment="1">
      <alignment horizontal="center" vertical="center"/>
    </xf>
    <xf numFmtId="0" fontId="156" fillId="0" borderId="101" xfId="2" applyFont="1" applyBorder="1" applyAlignment="1">
      <alignment vertical="center"/>
    </xf>
    <xf numFmtId="0" fontId="156" fillId="0" borderId="22" xfId="2" applyFont="1" applyBorder="1" applyAlignment="1">
      <alignment horizontal="center" wrapText="1"/>
    </xf>
    <xf numFmtId="0" fontId="156" fillId="0" borderId="101" xfId="2" applyFont="1" applyBorder="1" applyAlignment="1">
      <alignment horizontal="center" vertical="center"/>
    </xf>
    <xf numFmtId="0" fontId="156" fillId="0" borderId="31" xfId="2" applyFont="1" applyBorder="1" applyAlignment="1">
      <alignment horizontal="center" vertical="center"/>
    </xf>
    <xf numFmtId="0" fontId="156" fillId="0" borderId="0" xfId="2" applyFont="1" applyAlignment="1">
      <alignment vertical="center"/>
    </xf>
    <xf numFmtId="0" fontId="156" fillId="0" borderId="0" xfId="2" applyFont="1" applyAlignment="1">
      <alignment horizontal="center" wrapText="1"/>
    </xf>
    <xf numFmtId="0" fontId="156" fillId="0" borderId="0" xfId="2" applyFont="1" applyAlignment="1">
      <alignment horizontal="center" vertical="center" wrapText="1"/>
    </xf>
    <xf numFmtId="0" fontId="156" fillId="0" borderId="0" xfId="2" applyFont="1" applyAlignment="1">
      <alignment horizontal="center" vertical="center"/>
    </xf>
    <xf numFmtId="0" fontId="156" fillId="0" borderId="35" xfId="2" applyFont="1" applyBorder="1" applyAlignment="1">
      <alignment vertical="center"/>
    </xf>
    <xf numFmtId="0" fontId="156" fillId="0" borderId="25" xfId="2" applyFont="1" applyBorder="1" applyAlignment="1">
      <alignment vertical="center" wrapText="1"/>
    </xf>
    <xf numFmtId="0" fontId="156" fillId="0" borderId="27" xfId="2" applyFont="1" applyBorder="1" applyAlignment="1">
      <alignment vertical="center" wrapText="1"/>
    </xf>
    <xf numFmtId="0" fontId="156" fillId="0" borderId="35" xfId="2" quotePrefix="1" applyFont="1" applyBorder="1" applyAlignment="1">
      <alignment horizontal="center" vertical="center" wrapText="1"/>
    </xf>
    <xf numFmtId="0" fontId="156" fillId="0" borderId="28" xfId="2" applyFont="1" applyBorder="1" applyAlignment="1">
      <alignment horizontal="center" vertical="center" wrapText="1"/>
    </xf>
    <xf numFmtId="0" fontId="156" fillId="0" borderId="25" xfId="2" applyFont="1" applyBorder="1" applyAlignment="1">
      <alignment horizontal="left" wrapText="1"/>
    </xf>
    <xf numFmtId="0" fontId="156" fillId="0" borderId="27" xfId="2" applyFont="1" applyBorder="1" applyAlignment="1">
      <alignment horizontal="left" wrapText="1"/>
    </xf>
    <xf numFmtId="0" fontId="15" fillId="0" borderId="27" xfId="2" applyBorder="1"/>
    <xf numFmtId="49" fontId="156" fillId="0" borderId="197" xfId="2" applyNumberFormat="1" applyFont="1" applyBorder="1" applyAlignment="1">
      <alignment horizontal="center"/>
    </xf>
    <xf numFmtId="0" fontId="156" fillId="0" borderId="102" xfId="2" applyFont="1" applyBorder="1" applyAlignment="1">
      <alignment horizontal="center"/>
    </xf>
    <xf numFmtId="0" fontId="156" fillId="0" borderId="23" xfId="2" applyFont="1" applyBorder="1" applyAlignment="1">
      <alignment horizontal="center" vertical="center"/>
    </xf>
    <xf numFmtId="0" fontId="156" fillId="0" borderId="24" xfId="2" applyFont="1" applyBorder="1" applyAlignment="1">
      <alignment horizontal="center" vertical="center"/>
    </xf>
    <xf numFmtId="12" fontId="156" fillId="0" borderId="223" xfId="2" applyNumberFormat="1" applyFont="1" applyBorder="1" applyAlignment="1">
      <alignment horizontal="center"/>
    </xf>
    <xf numFmtId="172" fontId="156" fillId="0" borderId="282" xfId="2" applyNumberFormat="1" applyFont="1" applyBorder="1" applyAlignment="1">
      <alignment horizontal="center"/>
    </xf>
    <xf numFmtId="172" fontId="156" fillId="0" borderId="271" xfId="2" applyNumberFormat="1" applyFont="1" applyBorder="1" applyAlignment="1">
      <alignment horizontal="center"/>
    </xf>
    <xf numFmtId="0" fontId="156" fillId="0" borderId="28" xfId="2" applyFont="1" applyBorder="1" applyAlignment="1">
      <alignment horizontal="center" vertical="center"/>
    </xf>
    <xf numFmtId="0" fontId="156" fillId="0" borderId="0" xfId="2" applyFont="1" applyAlignment="1">
      <alignment horizontal="center" vertical="center"/>
    </xf>
    <xf numFmtId="12" fontId="156" fillId="0" borderId="291" xfId="2" applyNumberFormat="1" applyFont="1" applyBorder="1" applyAlignment="1">
      <alignment horizontal="center"/>
    </xf>
    <xf numFmtId="172" fontId="156" fillId="0" borderId="26" xfId="2" applyNumberFormat="1" applyFont="1" applyBorder="1" applyAlignment="1">
      <alignment horizontal="center"/>
    </xf>
    <xf numFmtId="172" fontId="156" fillId="0" borderId="100" xfId="2" applyNumberFormat="1" applyFont="1" applyBorder="1" applyAlignment="1">
      <alignment horizontal="center"/>
    </xf>
    <xf numFmtId="0" fontId="156" fillId="0" borderId="30" xfId="2" applyFont="1" applyBorder="1" applyAlignment="1">
      <alignment horizontal="center" vertical="center"/>
    </xf>
    <xf numFmtId="0" fontId="156" fillId="0" borderId="22" xfId="2" applyFont="1" applyBorder="1" applyAlignment="1">
      <alignment horizontal="center" vertical="center"/>
    </xf>
    <xf numFmtId="12" fontId="156" fillId="0" borderId="292" xfId="2" applyNumberFormat="1" applyFont="1" applyBorder="1" applyAlignment="1">
      <alignment horizontal="center"/>
    </xf>
    <xf numFmtId="172" fontId="156" fillId="0" borderId="191" xfId="2" applyNumberFormat="1" applyFont="1" applyBorder="1" applyAlignment="1">
      <alignment horizontal="center"/>
    </xf>
    <xf numFmtId="172" fontId="156" fillId="0" borderId="286" xfId="2" applyNumberFormat="1" applyFont="1" applyBorder="1" applyAlignment="1">
      <alignment horizontal="center"/>
    </xf>
    <xf numFmtId="18" fontId="156" fillId="0" borderId="25" xfId="2" applyNumberFormat="1" applyFont="1" applyBorder="1" applyAlignment="1">
      <alignment horizontal="center"/>
    </xf>
    <xf numFmtId="0" fontId="156" fillId="0" borderId="25" xfId="2" applyFont="1" applyBorder="1" applyAlignment="1">
      <alignment horizontal="center" vertical="center" wrapText="1"/>
    </xf>
    <xf numFmtId="0" fontId="156" fillId="0" borderId="35" xfId="2" applyFont="1" applyBorder="1" applyAlignment="1">
      <alignment horizontal="center" vertical="center" wrapText="1"/>
    </xf>
    <xf numFmtId="13" fontId="156" fillId="0" borderId="25" xfId="2" applyNumberFormat="1" applyFont="1" applyBorder="1" applyAlignment="1">
      <alignment horizontal="center" vertical="center"/>
    </xf>
    <xf numFmtId="189" fontId="156" fillId="0" borderId="35" xfId="2" applyNumberFormat="1" applyFont="1" applyBorder="1" applyAlignment="1">
      <alignment horizontal="center" vertical="center"/>
    </xf>
    <xf numFmtId="172" fontId="156" fillId="0" borderId="35" xfId="2" applyNumberFormat="1" applyFont="1" applyBorder="1" applyAlignment="1">
      <alignment horizontal="center"/>
    </xf>
    <xf numFmtId="190" fontId="156" fillId="0" borderId="35" xfId="2" applyNumberFormat="1" applyFont="1" applyBorder="1" applyAlignment="1">
      <alignment horizontal="center" vertical="center"/>
    </xf>
    <xf numFmtId="0" fontId="156" fillId="0" borderId="77" xfId="2" applyFont="1" applyBorder="1"/>
    <xf numFmtId="0" fontId="156" fillId="0" borderId="78" xfId="2" applyFont="1" applyBorder="1"/>
    <xf numFmtId="0" fontId="156" fillId="0" borderId="79" xfId="2" applyFont="1" applyBorder="1"/>
    <xf numFmtId="0" fontId="35" fillId="0" borderId="293" xfId="16" applyFont="1" applyBorder="1"/>
    <xf numFmtId="0" fontId="35" fillId="0" borderId="117" xfId="16" applyFont="1" applyBorder="1"/>
    <xf numFmtId="10" fontId="35" fillId="0" borderId="117" xfId="16" applyNumberFormat="1" applyFont="1" applyBorder="1"/>
    <xf numFmtId="0" fontId="35" fillId="0" borderId="118" xfId="16" applyFont="1" applyBorder="1"/>
    <xf numFmtId="0" fontId="33" fillId="0" borderId="293" xfId="2" applyFont="1" applyBorder="1" applyAlignment="1">
      <alignment horizontal="center" vertical="center" wrapText="1"/>
    </xf>
    <xf numFmtId="0" fontId="33" fillId="0" borderId="117" xfId="2" applyFont="1" applyBorder="1" applyAlignment="1">
      <alignment horizontal="center" vertical="center" wrapText="1"/>
    </xf>
    <xf numFmtId="0" fontId="33" fillId="9" borderId="293" xfId="2" applyFont="1" applyFill="1" applyBorder="1" applyAlignment="1" applyProtection="1">
      <alignment horizontal="center" vertical="center" wrapText="1"/>
      <protection locked="0"/>
    </xf>
    <xf numFmtId="0" fontId="33" fillId="9" borderId="117" xfId="2" applyFont="1" applyFill="1" applyBorder="1" applyAlignment="1" applyProtection="1">
      <alignment horizontal="center" vertical="center" wrapText="1"/>
      <protection locked="0"/>
    </xf>
    <xf numFmtId="0" fontId="33" fillId="9" borderId="118" xfId="2" applyFont="1" applyFill="1" applyBorder="1" applyAlignment="1" applyProtection="1">
      <alignment horizontal="center" vertical="center" wrapText="1"/>
      <protection locked="0"/>
    </xf>
    <xf numFmtId="0" fontId="33" fillId="0" borderId="119" xfId="2" applyFont="1" applyBorder="1" applyAlignment="1">
      <alignment horizontal="center" vertical="center" wrapText="1"/>
    </xf>
    <xf numFmtId="0" fontId="40" fillId="9" borderId="120" xfId="2" quotePrefix="1" applyFont="1" applyFill="1" applyBorder="1" applyAlignment="1" applyProtection="1">
      <alignment horizontal="center" vertical="center" wrapText="1"/>
      <protection locked="0"/>
    </xf>
    <xf numFmtId="0" fontId="33" fillId="0" borderId="121" xfId="2" applyFont="1" applyBorder="1" applyAlignment="1">
      <alignment horizontal="center" vertical="center" wrapText="1"/>
    </xf>
    <xf numFmtId="0" fontId="40" fillId="9" borderId="123" xfId="2" applyFont="1" applyFill="1" applyBorder="1" applyAlignment="1" applyProtection="1">
      <alignment horizontal="center" vertical="center" wrapText="1"/>
      <protection locked="0"/>
    </xf>
    <xf numFmtId="0" fontId="33" fillId="0" borderId="294" xfId="2" applyFont="1" applyBorder="1" applyAlignment="1">
      <alignment horizontal="center" vertical="center" wrapText="1"/>
    </xf>
    <xf numFmtId="0" fontId="33" fillId="0" borderId="295" xfId="2" applyFont="1" applyBorder="1" applyAlignment="1">
      <alignment horizontal="center" vertical="center" wrapText="1"/>
    </xf>
    <xf numFmtId="0" fontId="32" fillId="0" borderId="296" xfId="47" applyFont="1" applyBorder="1" applyAlignment="1">
      <alignment horizontal="left" vertical="center"/>
    </xf>
    <xf numFmtId="0" fontId="32" fillId="0" borderId="168" xfId="47" applyFont="1" applyBorder="1" applyAlignment="1">
      <alignment horizontal="left" vertical="center"/>
    </xf>
    <xf numFmtId="0" fontId="36" fillId="0" borderId="297" xfId="2" applyFont="1" applyBorder="1" applyAlignment="1">
      <alignment horizontal="center" vertical="center" wrapText="1"/>
    </xf>
    <xf numFmtId="0" fontId="26" fillId="0" borderId="22" xfId="48" applyFont="1" applyBorder="1" applyAlignment="1">
      <alignment vertical="center" wrapText="1"/>
    </xf>
    <xf numFmtId="0" fontId="26" fillId="0" borderId="69" xfId="48" applyFont="1" applyBorder="1" applyAlignment="1">
      <alignment vertical="center" wrapText="1"/>
    </xf>
    <xf numFmtId="0" fontId="32" fillId="0" borderId="298" xfId="47" applyFont="1" applyBorder="1" applyAlignment="1">
      <alignment horizontal="left" vertical="center"/>
    </xf>
    <xf numFmtId="0" fontId="32" fillId="0" borderId="16" xfId="47" applyFont="1" applyBorder="1" applyAlignment="1">
      <alignment horizontal="left" vertical="center"/>
    </xf>
    <xf numFmtId="0" fontId="36" fillId="0" borderId="299" xfId="2" applyFont="1" applyBorder="1" applyAlignment="1">
      <alignment horizontal="center" vertical="center" wrapText="1"/>
    </xf>
    <xf numFmtId="0" fontId="39" fillId="0" borderId="298" xfId="2" applyFont="1" applyBorder="1" applyAlignment="1">
      <alignment horizontal="left" vertical="center" wrapText="1"/>
    </xf>
    <xf numFmtId="0" fontId="26" fillId="0" borderId="26" xfId="48" applyFont="1" applyBorder="1" applyAlignment="1">
      <alignment vertical="center"/>
    </xf>
    <xf numFmtId="0" fontId="26" fillId="0" borderId="70" xfId="48" applyFont="1" applyBorder="1" applyAlignment="1">
      <alignment vertical="center"/>
    </xf>
    <xf numFmtId="0" fontId="39" fillId="0" borderId="300" xfId="47" applyFont="1" applyBorder="1" applyAlignment="1">
      <alignment horizontal="left" vertical="center" wrapText="1"/>
    </xf>
    <xf numFmtId="0" fontId="39" fillId="0" borderId="160" xfId="47" applyFont="1" applyBorder="1" applyAlignment="1">
      <alignment horizontal="left" vertical="center" wrapText="1"/>
    </xf>
    <xf numFmtId="0" fontId="32" fillId="3" borderId="160" xfId="47" applyFont="1" applyFill="1" applyBorder="1" applyAlignment="1">
      <alignment horizontal="center" vertical="center" wrapText="1"/>
    </xf>
    <xf numFmtId="0" fontId="36" fillId="0" borderId="301" xfId="2" applyFont="1" applyBorder="1" applyAlignment="1">
      <alignment horizontal="center" vertical="center" wrapText="1"/>
    </xf>
    <xf numFmtId="0" fontId="23" fillId="0" borderId="0" xfId="47" applyFont="1" applyAlignment="1">
      <alignment vertical="center" wrapText="1"/>
    </xf>
    <xf numFmtId="0" fontId="35" fillId="0" borderId="302" xfId="16" applyFont="1" applyBorder="1" applyAlignment="1">
      <alignment horizontal="center"/>
    </xf>
    <xf numFmtId="0" fontId="35" fillId="0" borderId="303" xfId="16" applyFont="1" applyBorder="1" applyAlignment="1">
      <alignment horizontal="center"/>
    </xf>
    <xf numFmtId="0" fontId="42" fillId="9" borderId="304" xfId="16" applyFont="1" applyFill="1" applyBorder="1" applyAlignment="1">
      <alignment horizontal="center" vertical="center" wrapText="1"/>
    </xf>
    <xf numFmtId="0" fontId="43" fillId="9" borderId="305" xfId="16" applyFont="1" applyFill="1" applyBorder="1" applyAlignment="1">
      <alignment horizontal="center" vertical="center" wrapText="1"/>
    </xf>
    <xf numFmtId="0" fontId="42" fillId="9" borderId="306" xfId="16" applyFont="1" applyFill="1" applyBorder="1" applyAlignment="1">
      <alignment horizontal="center" vertical="center" wrapText="1"/>
    </xf>
    <xf numFmtId="0" fontId="41" fillId="9" borderId="307" xfId="16" applyFont="1" applyFill="1" applyBorder="1" applyAlignment="1">
      <alignment horizontal="center" vertical="center" wrapText="1"/>
    </xf>
    <xf numFmtId="0" fontId="41" fillId="9" borderId="307" xfId="16" applyFont="1" applyFill="1" applyBorder="1" applyAlignment="1">
      <alignment horizontal="center" vertical="center" wrapText="1"/>
    </xf>
    <xf numFmtId="0" fontId="42" fillId="9" borderId="307" xfId="16" applyFont="1" applyFill="1" applyBorder="1" applyAlignment="1">
      <alignment horizontal="center" vertical="center" wrapText="1"/>
    </xf>
    <xf numFmtId="10" fontId="41" fillId="9" borderId="307" xfId="16" applyNumberFormat="1" applyFont="1" applyFill="1" applyBorder="1" applyAlignment="1">
      <alignment horizontal="center" vertical="center" wrapText="1"/>
    </xf>
    <xf numFmtId="0" fontId="43" fillId="9" borderId="308" xfId="16" applyFont="1" applyFill="1" applyBorder="1" applyAlignment="1">
      <alignment horizontal="center" vertical="center" wrapText="1"/>
    </xf>
    <xf numFmtId="0" fontId="43" fillId="9" borderId="309" xfId="16" applyFont="1" applyFill="1" applyBorder="1" applyAlignment="1">
      <alignment horizontal="center" vertical="center" wrapText="1"/>
    </xf>
    <xf numFmtId="191" fontId="37" fillId="0" borderId="310" xfId="16" applyNumberFormat="1" applyFont="1" applyBorder="1" applyAlignment="1">
      <alignment horizontal="center" vertical="center" wrapText="1"/>
    </xf>
    <xf numFmtId="15" fontId="46" fillId="0" borderId="311" xfId="16" applyNumberFormat="1" applyFont="1" applyBorder="1" applyAlignment="1">
      <alignment horizontal="center" vertical="center"/>
    </xf>
    <xf numFmtId="15" fontId="37" fillId="0" borderId="311" xfId="16" applyNumberFormat="1" applyFont="1" applyBorder="1" applyAlignment="1">
      <alignment horizontal="center" vertical="center"/>
    </xf>
    <xf numFmtId="1" fontId="37" fillId="0" borderId="311" xfId="16" applyNumberFormat="1" applyFont="1" applyBorder="1" applyAlignment="1">
      <alignment horizontal="center" vertical="center"/>
    </xf>
    <xf numFmtId="172" fontId="46" fillId="0" borderId="311" xfId="16" applyNumberFormat="1" applyFont="1" applyBorder="1" applyAlignment="1">
      <alignment horizontal="center" vertical="center" wrapText="1"/>
    </xf>
    <xf numFmtId="1" fontId="37" fillId="0" borderId="311" xfId="16" applyNumberFormat="1" applyFont="1" applyBorder="1" applyAlignment="1">
      <alignment horizontal="center" vertical="center" wrapText="1"/>
    </xf>
    <xf numFmtId="0" fontId="46" fillId="0" borderId="311" xfId="16" applyFont="1" applyBorder="1" applyAlignment="1">
      <alignment horizontal="center" vertical="center" wrapText="1"/>
    </xf>
    <xf numFmtId="2" fontId="37" fillId="0" borderId="311" xfId="16" applyNumberFormat="1" applyFont="1" applyBorder="1" applyAlignment="1">
      <alignment horizontal="center" vertical="center" wrapText="1"/>
    </xf>
    <xf numFmtId="10" fontId="37" fillId="0" borderId="311" xfId="16" applyNumberFormat="1" applyFont="1" applyBorder="1" applyAlignment="1">
      <alignment vertical="center" wrapText="1"/>
    </xf>
    <xf numFmtId="172" fontId="37" fillId="0" borderId="312" xfId="16" applyNumberFormat="1" applyFont="1" applyBorder="1" applyAlignment="1">
      <alignment horizontal="center" vertical="center" wrapText="1"/>
    </xf>
    <xf numFmtId="172" fontId="37" fillId="0" borderId="313" xfId="16" applyNumberFormat="1" applyFont="1" applyBorder="1" applyAlignment="1">
      <alignment horizontal="center" vertical="center" wrapText="1"/>
    </xf>
    <xf numFmtId="191" fontId="37" fillId="0" borderId="298" xfId="16" applyNumberFormat="1" applyFont="1" applyBorder="1" applyAlignment="1">
      <alignment horizontal="center" vertical="center" wrapText="1"/>
    </xf>
    <xf numFmtId="15" fontId="46" fillId="0" borderId="16" xfId="16" applyNumberFormat="1" applyFont="1" applyBorder="1" applyAlignment="1">
      <alignment horizontal="center"/>
    </xf>
    <xf numFmtId="15" fontId="37" fillId="0" borderId="16" xfId="16" applyNumberFormat="1" applyFont="1" applyBorder="1" applyAlignment="1">
      <alignment horizontal="center"/>
    </xf>
    <xf numFmtId="1" fontId="37" fillId="0" borderId="16" xfId="16" applyNumberFormat="1" applyFont="1" applyBorder="1" applyAlignment="1">
      <alignment horizontal="center"/>
    </xf>
    <xf numFmtId="172" fontId="46" fillId="0" borderId="16" xfId="16" applyNumberFormat="1" applyFont="1" applyBorder="1" applyAlignment="1">
      <alignment horizontal="center" vertical="center" wrapText="1"/>
    </xf>
    <xf numFmtId="1" fontId="37" fillId="0" borderId="16" xfId="16" applyNumberFormat="1" applyFont="1" applyBorder="1" applyAlignment="1">
      <alignment horizontal="center" vertical="center" wrapText="1"/>
    </xf>
    <xf numFmtId="0" fontId="46" fillId="0" borderId="16" xfId="16" applyFont="1" applyBorder="1" applyAlignment="1">
      <alignment horizontal="center" vertical="center" wrapText="1"/>
    </xf>
    <xf numFmtId="2" fontId="37" fillId="0" borderId="16" xfId="16" applyNumberFormat="1" applyFont="1" applyBorder="1" applyAlignment="1">
      <alignment horizontal="center" vertical="center" wrapText="1"/>
    </xf>
    <xf numFmtId="10" fontId="37" fillId="0" borderId="16" xfId="16" applyNumberFormat="1" applyFont="1" applyBorder="1" applyAlignment="1">
      <alignment vertical="center" wrapText="1"/>
    </xf>
    <xf numFmtId="2" fontId="37" fillId="0" borderId="16" xfId="16" applyNumberFormat="1" applyFont="1" applyBorder="1" applyAlignment="1">
      <alignment horizontal="center" vertical="center" wrapText="1"/>
    </xf>
    <xf numFmtId="172" fontId="37" fillId="0" borderId="314" xfId="16" applyNumberFormat="1" applyFont="1" applyBorder="1" applyAlignment="1">
      <alignment horizontal="center" vertical="center" wrapText="1"/>
    </xf>
    <xf numFmtId="172" fontId="37" fillId="0" borderId="315" xfId="16" applyNumberFormat="1" applyFont="1" applyBorder="1" applyAlignment="1">
      <alignment horizontal="center" vertical="center" wrapText="1"/>
    </xf>
    <xf numFmtId="191" fontId="37" fillId="0" borderId="300" xfId="16" applyNumberFormat="1" applyFont="1" applyBorder="1" applyAlignment="1">
      <alignment horizontal="center" vertical="center" wrapText="1"/>
    </xf>
    <xf numFmtId="15" fontId="46" fillId="0" borderId="160" xfId="16" applyNumberFormat="1" applyFont="1" applyBorder="1" applyAlignment="1">
      <alignment horizontal="center"/>
    </xf>
    <xf numFmtId="15" fontId="37" fillId="0" borderId="160" xfId="16" applyNumberFormat="1" applyFont="1" applyBorder="1" applyAlignment="1">
      <alignment horizontal="center"/>
    </xf>
    <xf numFmtId="1" fontId="37" fillId="0" borderId="160" xfId="16" applyNumberFormat="1" applyFont="1" applyBorder="1" applyAlignment="1">
      <alignment horizontal="center"/>
    </xf>
    <xf numFmtId="172" fontId="46" fillId="0" borderId="160" xfId="16" applyNumberFormat="1" applyFont="1" applyBorder="1" applyAlignment="1">
      <alignment horizontal="center" vertical="center" wrapText="1"/>
    </xf>
    <xf numFmtId="1" fontId="37" fillId="0" borderId="160" xfId="16" applyNumberFormat="1" applyFont="1" applyBorder="1" applyAlignment="1">
      <alignment horizontal="center" vertical="center" wrapText="1"/>
    </xf>
    <xf numFmtId="0" fontId="46" fillId="0" borderId="160" xfId="16" applyFont="1" applyBorder="1" applyAlignment="1">
      <alignment horizontal="center" vertical="center" wrapText="1"/>
    </xf>
    <xf numFmtId="2" fontId="37" fillId="0" borderId="160" xfId="16" applyNumberFormat="1" applyFont="1" applyBorder="1" applyAlignment="1">
      <alignment horizontal="center" vertical="center" wrapText="1"/>
    </xf>
    <xf numFmtId="10" fontId="37" fillId="0" borderId="160" xfId="16" applyNumberFormat="1" applyFont="1" applyBorder="1" applyAlignment="1">
      <alignment vertical="center" wrapText="1"/>
    </xf>
    <xf numFmtId="2" fontId="37" fillId="0" borderId="160" xfId="16" applyNumberFormat="1" applyFont="1" applyBorder="1" applyAlignment="1">
      <alignment horizontal="center" vertical="center" wrapText="1"/>
    </xf>
    <xf numFmtId="172" fontId="37" fillId="0" borderId="316" xfId="16" applyNumberFormat="1" applyFont="1" applyBorder="1" applyAlignment="1">
      <alignment horizontal="center" vertical="center" wrapText="1"/>
    </xf>
    <xf numFmtId="172" fontId="37" fillId="0" borderId="317" xfId="16" applyNumberFormat="1" applyFont="1" applyBorder="1" applyAlignment="1">
      <alignment horizontal="center" vertical="center" wrapText="1"/>
    </xf>
    <xf numFmtId="0" fontId="35" fillId="0" borderId="119" xfId="16" applyFont="1" applyBorder="1" applyAlignment="1">
      <alignment horizontal="center"/>
    </xf>
    <xf numFmtId="0" fontId="35" fillId="0" borderId="120" xfId="16" applyFont="1" applyBorder="1" applyAlignment="1">
      <alignment horizontal="center"/>
    </xf>
    <xf numFmtId="0" fontId="35" fillId="0" borderId="318" xfId="16" applyFont="1" applyBorder="1" applyAlignment="1">
      <alignment horizontal="center"/>
    </xf>
    <xf numFmtId="0" fontId="35" fillId="0" borderId="305" xfId="16" applyFont="1" applyBorder="1" applyAlignment="1">
      <alignment horizontal="center"/>
    </xf>
    <xf numFmtId="0" fontId="35" fillId="0" borderId="119" xfId="16" applyFont="1" applyBorder="1" applyAlignment="1">
      <alignment horizontal="center"/>
    </xf>
    <xf numFmtId="0" fontId="35" fillId="0" borderId="120" xfId="16" applyFont="1" applyBorder="1" applyAlignment="1">
      <alignment horizontal="center"/>
    </xf>
    <xf numFmtId="0" fontId="35" fillId="0" borderId="319" xfId="16" applyFont="1" applyBorder="1" applyAlignment="1">
      <alignment horizontal="center"/>
    </xf>
    <xf numFmtId="0" fontId="35" fillId="0" borderId="309" xfId="16" applyFont="1" applyBorder="1" applyAlignment="1">
      <alignment horizontal="center"/>
    </xf>
    <xf numFmtId="0" fontId="18" fillId="0" borderId="119" xfId="3" applyFont="1" applyBorder="1" applyAlignment="1">
      <alignment horizontal="center" vertical="center"/>
    </xf>
    <xf numFmtId="0" fontId="18" fillId="0" borderId="120" xfId="3" applyFont="1" applyBorder="1" applyAlignment="1">
      <alignment horizontal="center" vertical="center"/>
    </xf>
    <xf numFmtId="0" fontId="18" fillId="0" borderId="121" xfId="3" applyFont="1" applyBorder="1" applyAlignment="1">
      <alignment horizontal="center" vertical="center"/>
    </xf>
    <xf numFmtId="0" fontId="18" fillId="0" borderId="122" xfId="3" applyFont="1" applyBorder="1" applyAlignment="1">
      <alignment horizontal="center" vertical="center"/>
    </xf>
    <xf numFmtId="0" fontId="18" fillId="0" borderId="123" xfId="3" applyFont="1" applyBorder="1" applyAlignment="1">
      <alignment horizontal="center" vertical="center"/>
    </xf>
    <xf numFmtId="0" fontId="35" fillId="0" borderId="35" xfId="16" applyFont="1" applyBorder="1"/>
    <xf numFmtId="2" fontId="37" fillId="0" borderId="320" xfId="16" applyNumberFormat="1" applyFont="1" applyBorder="1" applyAlignment="1">
      <alignment horizontal="center" vertical="center" wrapText="1"/>
    </xf>
    <xf numFmtId="2" fontId="37" fillId="0" borderId="321" xfId="16" applyNumberFormat="1" applyFont="1" applyBorder="1" applyAlignment="1">
      <alignment horizontal="center" vertical="center" wrapText="1"/>
    </xf>
    <xf numFmtId="2" fontId="37" fillId="0" borderId="322" xfId="16" applyNumberFormat="1" applyFont="1" applyBorder="1" applyAlignment="1">
      <alignment horizontal="center" vertical="center" wrapText="1"/>
    </xf>
  </cellXfs>
  <cellStyles count="49">
    <cellStyle name="Millares 2" xfId="15" xr:uid="{00000000-0005-0000-0000-000000000000}"/>
    <cellStyle name="Millares 2 2" xfId="23" xr:uid="{53E7F6AD-996A-4473-8D04-61809F0CB083}"/>
    <cellStyle name="Moneda 2" xfId="14" xr:uid="{00000000-0005-0000-0000-000001000000}"/>
    <cellStyle name="Normal" xfId="0" builtinId="0"/>
    <cellStyle name="Normal 2" xfId="2" xr:uid="{00000000-0005-0000-0000-000003000000}"/>
    <cellStyle name="Normal 3" xfId="7" xr:uid="{00000000-0005-0000-0000-000004000000}"/>
    <cellStyle name="Normal 3 2" xfId="20" xr:uid="{D90DB83D-66F9-4C04-84D3-C448583A5F03}"/>
    <cellStyle name="Normal 3 3" xfId="32" xr:uid="{8DFC65DF-7196-4396-A112-A1E37A0A6684}"/>
    <cellStyle name="Normal 4" xfId="4" xr:uid="{00000000-0005-0000-0000-000005000000}"/>
    <cellStyle name="Normal 4 10" xfId="33" xr:uid="{8140CC61-6668-49DA-8F64-70E7ECCD5EB0}"/>
    <cellStyle name="Normal 4 10 2" xfId="43" xr:uid="{40AC1AFD-83EF-4F74-BF0F-3CECFE07CF59}"/>
    <cellStyle name="Normal 4 10 2 2" xfId="45" xr:uid="{DECAE436-399C-497C-8993-CBE36AB7A8FA}"/>
    <cellStyle name="Normal 4 2" xfId="3" xr:uid="{00000000-0005-0000-0000-000006000000}"/>
    <cellStyle name="Normal 4 3" xfId="9" xr:uid="{00000000-0005-0000-0000-000007000000}"/>
    <cellStyle name="Normal 4 3 13" xfId="34" xr:uid="{553236D2-3BEA-440D-819E-0FFB901C417B}"/>
    <cellStyle name="Normal 4 3 13 2" xfId="44" xr:uid="{B787583C-27AE-4B27-A381-2B58207CAB5E}"/>
    <cellStyle name="Normal 4 3 13 2 2" xfId="46" xr:uid="{A778DF32-0FBE-49AE-8EE7-E361F99751AD}"/>
    <cellStyle name="Normal 4 3 4 2" xfId="18" xr:uid="{4F8E34FB-6C57-47D7-87C1-3E6CA946DFF7}"/>
    <cellStyle name="Normal 4 3 5" xfId="12" xr:uid="{00000000-0005-0000-0000-000008000000}"/>
    <cellStyle name="Normal 4 3 5 2" xfId="26" xr:uid="{34390900-9A95-43AC-88EB-8D8F6BE783B6}"/>
    <cellStyle name="Normal 4 3 5 3" xfId="27" xr:uid="{67927E88-E8FE-456A-A228-3844ACCE68DC}"/>
    <cellStyle name="Normal 4 3 6 3" xfId="22" xr:uid="{D9991951-0FDB-4EA1-A9DF-C799C7838B2C}"/>
    <cellStyle name="Normal 4 3 6 3 2" xfId="25" xr:uid="{0B5975D6-0A3D-4D82-BD46-36E8EE2311C3}"/>
    <cellStyle name="Normal 4 3 6 3 3" xfId="36" xr:uid="{281E63C4-8BC4-4DA7-98EA-343979625970}"/>
    <cellStyle name="Normal 4 3 6 3 3 2" xfId="48" xr:uid="{C74CAB0A-E6BF-45E1-A455-D4BC6688668F}"/>
    <cellStyle name="Normal 4 3 6 3 4" xfId="38" xr:uid="{2E3897CD-082D-4D9C-AF42-0426B2F932E5}"/>
    <cellStyle name="Normal 4 3 6 3 5" xfId="41" xr:uid="{A300B230-A172-4A14-82F5-94644FBE4EBB}"/>
    <cellStyle name="Normal 4 3 9" xfId="31" xr:uid="{C9D96A9D-1619-4DB9-9CD5-F5D33C513893}"/>
    <cellStyle name="Normal 4 5 2 3" xfId="17" xr:uid="{D2A8355F-ADFE-40C0-AA0B-B183A683B615}"/>
    <cellStyle name="Normal 4 5 2 4" xfId="21" xr:uid="{DF38232E-70B1-4BF5-BE95-FAB8F68A95BD}"/>
    <cellStyle name="Normal 4 5 2 4 2" xfId="24" xr:uid="{1C9AC655-B077-4E8E-BE28-ABF4247C3CB3}"/>
    <cellStyle name="Normal 4 5 2 4 3" xfId="35" xr:uid="{93CE6983-261F-4DE5-8282-7D0A00F5EEB4}"/>
    <cellStyle name="Normal 4 5 2 4 3 2" xfId="47" xr:uid="{2DA30AE0-00F3-40D3-B4F3-AE084ABB70B2}"/>
    <cellStyle name="Normal 4 5 2 4 4" xfId="37" xr:uid="{9E881216-16E7-48F8-AD15-46CFDE9CB414}"/>
    <cellStyle name="Normal 4 5 2 4 5" xfId="40" xr:uid="{6EA864E1-0C2C-430E-9597-0AA1731A621B}"/>
    <cellStyle name="Normal 4 7 2" xfId="29" xr:uid="{C6C5F038-C76B-4E2A-A6B8-8A22E0648714}"/>
    <cellStyle name="Normal 4 7 2 2" xfId="39" xr:uid="{D5C381EC-2A3A-4C82-8B1F-335EF32A14BF}"/>
    <cellStyle name="Normal 4 7 3" xfId="42" xr:uid="{5CDACE43-6B0A-467A-AF5B-3155FEF9990E}"/>
    <cellStyle name="Normal 5" xfId="13" xr:uid="{00000000-0005-0000-0000-000009000000}"/>
    <cellStyle name="Normal 5 2 2" xfId="19" xr:uid="{E14C8C2D-FD24-40ED-A6C6-B6889935427E}"/>
    <cellStyle name="Normal_H020113 (4)" xfId="8" xr:uid="{00000000-0005-0000-0000-00000A000000}"/>
    <cellStyle name="Normal_Libro4" xfId="16" xr:uid="{D986D8BB-F63A-466A-A1D7-B5ED49CCB565}"/>
    <cellStyle name="Normal_NLT153.XLS" xfId="6" xr:uid="{00000000-0005-0000-0000-00000B000000}"/>
    <cellStyle name="Normal_NLT153.XLS_1" xfId="5" xr:uid="{00000000-0005-0000-0000-00000C000000}"/>
    <cellStyle name="Normal_Reporte Digital (ASTM) HMA" xfId="28" xr:uid="{76A8758F-D7B2-49A7-98A6-C565E1EC8F38}"/>
    <cellStyle name="Porcentaje" xfId="1" builtinId="5"/>
    <cellStyle name="Porcentual 2 2" xfId="10" xr:uid="{00000000-0005-0000-0000-00000E000000}"/>
    <cellStyle name="Porcentual 4 2" xfId="11" xr:uid="{00000000-0005-0000-0000-00000F000000}"/>
    <cellStyle name="Porcentual 4 3" xfId="30" xr:uid="{29275A84-E3B0-444E-AB51-3C38D7D4821F}"/>
  </cellStyles>
  <dxfs count="15">
    <dxf>
      <font>
        <color theme="1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706877986405547E-2"/>
          <c:y val="9.1152934338522063E-2"/>
          <c:w val="0.8661064001615183"/>
          <c:h val="0.7211805687371291"/>
        </c:manualLayout>
      </c:layout>
      <c:scatterChart>
        <c:scatterStyle val="smoothMarker"/>
        <c:varyColors val="0"/>
        <c:ser>
          <c:idx val="1"/>
          <c:order val="0"/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Granulometría!$AI$37:$AI$47</c:f>
              <c:numCache>
                <c:formatCode>0.000</c:formatCode>
                <c:ptCount val="11"/>
                <c:pt idx="0">
                  <c:v>63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4.75</c:v>
                </c:pt>
                <c:pt idx="8">
                  <c:v>2</c:v>
                </c:pt>
                <c:pt idx="9">
                  <c:v>0.42499999999999999</c:v>
                </c:pt>
                <c:pt idx="10">
                  <c:v>7.4999999999999997E-2</c:v>
                </c:pt>
              </c:numCache>
            </c:numRef>
          </c:xVal>
          <c:yVal>
            <c:numRef>
              <c:f>Granulometría!$AJ$37:$AJ$47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88-45BB-8794-CA4B89782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61416"/>
        <c:axId val="257761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D10H</c:v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Granulometría!$BA$56:$BB$56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</c:v>
                      </c:pt>
                      <c:pt idx="1">
                        <c:v>0.01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Granulometría!$BA$57:$BB$57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10</c:v>
                      </c:pt>
                      <c:pt idx="1">
                        <c:v>10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6F1-4A09-AED4-287DD3F83AA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D30H</c:v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Granulometría!$BA$58:$BB$58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</c:v>
                      </c:pt>
                      <c:pt idx="1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Granulometría!$BA$59:$BB$59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30</c:v>
                      </c:pt>
                      <c:pt idx="1">
                        <c:v>30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6F1-4A09-AED4-287DD3F83AA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D60H</c:v>
                </c:tx>
                <c:spPr>
                  <a:ln w="9525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Granulometría!$BA$60:$BB$60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</c:v>
                      </c:pt>
                      <c:pt idx="1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Granulometría!$BA$61:$BB$61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60</c:v>
                      </c:pt>
                      <c:pt idx="1">
                        <c:v>60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6F1-4A09-AED4-287DD3F83AA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D10V</c:v>
                </c:tx>
                <c:spPr>
                  <a:ln w="9525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Granulometría!$BE$56:$BF$56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Granulometría!$BE$57:$BF$57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</c:v>
                      </c:pt>
                      <c:pt idx="1">
                        <c:v>10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6F1-4A09-AED4-287DD3F83AA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D30V</c:v>
                </c:tx>
                <c:spPr>
                  <a:ln w="95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Granulometría!$BE$58:$BF$58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Granulometría!$BE$59:$BF$59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</c:v>
                      </c:pt>
                      <c:pt idx="1">
                        <c:v>30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6F1-4A09-AED4-287DD3F83AA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D60V</c:v>
                </c:tx>
                <c:spPr>
                  <a:ln w="95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Granulometría!$BE$60:$BF$60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Granulometría!$BE$61:$BF$61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</c:v>
                      </c:pt>
                      <c:pt idx="1">
                        <c:v>60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6F1-4A09-AED4-287DD3F83AAF}"/>
                  </c:ext>
                </c:extLst>
              </c15:ser>
            </c15:filteredScatterSeries>
          </c:ext>
        </c:extLst>
      </c:scatterChart>
      <c:valAx>
        <c:axId val="257761416"/>
        <c:scaling>
          <c:logBase val="10"/>
          <c:orientation val="maxMin"/>
          <c:max val="100"/>
          <c:min val="0.0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DIÁMETRO EN MM.</a:t>
                </a:r>
              </a:p>
            </c:rich>
          </c:tx>
          <c:layout>
            <c:manualLayout>
              <c:xMode val="edge"/>
              <c:yMode val="edge"/>
              <c:x val="0.41524165832862053"/>
              <c:y val="0.90616736861380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257761024"/>
        <c:crosses val="autoZero"/>
        <c:crossBetween val="midCat"/>
        <c:majorUnit val="10"/>
        <c:minorUnit val="10"/>
      </c:valAx>
      <c:valAx>
        <c:axId val="257761024"/>
        <c:scaling>
          <c:orientation val="minMax"/>
          <c:max val="1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% QUE PASA EN PESO</a:t>
                </a:r>
              </a:p>
            </c:rich>
          </c:tx>
          <c:layout>
            <c:manualLayout>
              <c:xMode val="edge"/>
              <c:yMode val="edge"/>
              <c:x val="1.1567987703194558E-2"/>
              <c:y val="0.1601058007283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0" sourceLinked="0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257761416"/>
        <c:crossesAt val="1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 alignWithMargins="0"/>
    <c:pageMargins b="1" l="0.75000000000000122" r="0.75000000000000122" t="1" header="0" footer="0"/>
    <c:pageSetup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 sz="1400" b="1" i="1" u="none" strike="noStrike" baseline="0">
                <a:solidFill>
                  <a:sysClr val="windowText" lastClr="000000"/>
                </a:solidFill>
                <a:effectLst/>
              </a:rPr>
              <a:t>RESISTENCIA DE  DISEÑO EN CILINDROS DE LODOCRETO [ASTM D-4832]</a:t>
            </a:r>
            <a:r>
              <a:rPr lang="es-SV" sz="1400" b="1" i="0" u="none" strike="noStrike" baseline="0">
                <a:solidFill>
                  <a:sysClr val="windowText" lastClr="000000"/>
                </a:solidFill>
              </a:rPr>
              <a:t>                                               </a:t>
            </a:r>
            <a:endParaRPr lang="es-SV" sz="14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7549330573515698"/>
          <c:y val="6.9024231941055378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>
        <c:manualLayout>
          <c:layoutTarget val="inner"/>
          <c:xMode val="edge"/>
          <c:yMode val="edge"/>
          <c:x val="8.376286638607898E-2"/>
          <c:y val="0.14041366301323052"/>
          <c:w val="0.8796257224706423"/>
          <c:h val="0.7341332955971339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7746854278264E-2"/>
                  <c:y val="-1.66827553730026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ED-40DC-9E4C-A0B2C2F4C989}"/>
                </c:ext>
              </c:extLst>
            </c:dLbl>
            <c:dLbl>
              <c:idx val="1"/>
              <c:layout>
                <c:manualLayout>
                  <c:x val="8.180589732942941E-3"/>
                  <c:y val="-0.102762771533156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ED-40DC-9E4C-A0B2C2F4C989}"/>
                </c:ext>
              </c:extLst>
            </c:dLbl>
            <c:dLbl>
              <c:idx val="2"/>
              <c:layout>
                <c:manualLayout>
                  <c:x val="4.0934388381452566E-2"/>
                  <c:y val="-2.0913293805668087E-2"/>
                </c:manualLayout>
              </c:layout>
              <c:spPr>
                <a:noFill/>
                <a:ln>
                  <a:solidFill>
                    <a:schemeClr val="tx2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SV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071383876853585E-2"/>
                      <c:h val="3.820225649425187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C6ED-40DC-9E4C-A0B2C2F4C989}"/>
                </c:ext>
              </c:extLst>
            </c:dLbl>
            <c:dLbl>
              <c:idx val="3"/>
              <c:layout>
                <c:manualLayout>
                  <c:x val="3.444859587891632E-4"/>
                  <c:y val="-6.34411060427497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ED-40DC-9E4C-A0B2C2F4C989}"/>
                </c:ext>
              </c:extLst>
            </c:dLbl>
            <c:spPr>
              <a:noFill/>
              <a:ln>
                <a:solidFill>
                  <a:schemeClr val="tx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'DISEÑO DE LODOCRETO (2)'!$Q$12:$Q$13</c:f>
              <c:numCache>
                <c:formatCode>0.00</c:formatCode>
                <c:ptCount val="2"/>
                <c:pt idx="0" formatCode="0.0">
                  <c:v>0</c:v>
                </c:pt>
                <c:pt idx="1">
                  <c:v>7</c:v>
                </c:pt>
              </c:numCache>
            </c:numRef>
          </c:xVal>
          <c:yVal>
            <c:numRef>
              <c:f>'DISEÑO DE LODOCRETO (2)'!$R$12:$R$13</c:f>
              <c:numCache>
                <c:formatCode>0.00</c:formatCode>
                <c:ptCount val="2"/>
                <c:pt idx="0" formatCode="0.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ED-40DC-9E4C-A0B2C2F4C98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'DISEÑO DE LODOCRETO (2)'!$D$3</c:f>
              <c:numCache>
                <c:formatCode>General</c:formatCode>
                <c:ptCount val="1"/>
              </c:numCache>
            </c:numRef>
          </c:xVal>
          <c:yVal>
            <c:numRef>
              <c:f>'DISEÑO DE LODOCRETO (2)'!$E$3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ED-40DC-9E4C-A0B2C2F4C98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'DISEÑO DE LODOCRETO (2)'!$D$3</c:f>
              <c:numCache>
                <c:formatCode>General</c:formatCode>
                <c:ptCount val="1"/>
              </c:numCache>
            </c:numRef>
          </c:xVal>
          <c:yVal>
            <c:numRef>
              <c:f>'DISEÑO DE LODOCRETO (2)'!$F$3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ED-40DC-9E4C-A0B2C2F4C98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'DISEÑO DE LODOCRETO (2)'!$D$3</c:f>
              <c:numCache>
                <c:formatCode>General</c:formatCode>
                <c:ptCount val="1"/>
              </c:numCache>
            </c:numRef>
          </c:xVal>
          <c:yVal>
            <c:numRef>
              <c:f>'DISEÑO DE LODOCRETO (2)'!$G$3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6ED-40DC-9E4C-A0B2C2F4C98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'DISEÑO DE LODOCRETO (2)'!$D$3</c:f>
              <c:numCache>
                <c:formatCode>General</c:formatCode>
                <c:ptCount val="1"/>
              </c:numCache>
            </c:numRef>
          </c:xVal>
          <c:yVal>
            <c:numRef>
              <c:f>'DISEÑO DE LODOCRETO (2)'!$H$3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6ED-40DC-9E4C-A0B2C2F4C98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'DISEÑO DE LODOCRETO (2)'!$D$3</c:f>
              <c:numCache>
                <c:formatCode>General</c:formatCode>
                <c:ptCount val="1"/>
              </c:numCache>
            </c:numRef>
          </c:xVal>
          <c:yVal>
            <c:numRef>
              <c:f>'DISEÑO DE LODOCRETO (2)'!$I$3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6ED-40DC-9E4C-A0B2C2F4C98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'DISEÑO DE LODOCRETO (2)'!$D$3</c:f>
              <c:numCache>
                <c:formatCode>General</c:formatCode>
                <c:ptCount val="1"/>
              </c:numCache>
            </c:numRef>
          </c:xVal>
          <c:yVal>
            <c:numRef>
              <c:f>'DISEÑO DE LODOCRETO (2)'!$J$3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6ED-40DC-9E4C-A0B2C2F4C98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'DISEÑO DE LODOCRETO (2)'!$D$3</c:f>
              <c:numCache>
                <c:formatCode>General</c:formatCode>
                <c:ptCount val="1"/>
              </c:numCache>
            </c:numRef>
          </c:xVal>
          <c:yVal>
            <c:numRef>
              <c:f>'DISEÑO DE LODOCRETO (2)'!$K$3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6ED-40DC-9E4C-A0B2C2F4C989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'DISEÑO DE LODOCRETO (2)'!$D$3</c:f>
              <c:numCache>
                <c:formatCode>General</c:formatCode>
                <c:ptCount val="1"/>
              </c:numCache>
            </c:numRef>
          </c:xVal>
          <c:yVal>
            <c:numRef>
              <c:f>'DISEÑO DE LODOCRETO (2)'!$L$3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6ED-40DC-9E4C-A0B2C2F4C989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'DISEÑO DE LODOCRETO (2)'!$D$3</c:f>
              <c:numCache>
                <c:formatCode>General</c:formatCode>
                <c:ptCount val="1"/>
              </c:numCache>
            </c:numRef>
          </c:xVal>
          <c:yVal>
            <c:numRef>
              <c:f>'DISEÑO DE LODOCRETO (2)'!$M$3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6ED-40DC-9E4C-A0B2C2F4C989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'DISEÑO DE LODOCRETO (2)'!$D$3</c:f>
              <c:numCache>
                <c:formatCode>General</c:formatCode>
                <c:ptCount val="1"/>
              </c:numCache>
            </c:numRef>
          </c:xVal>
          <c:yVal>
            <c:numRef>
              <c:f>'DISEÑO DE LODOCRETO (2)'!$N$3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6ED-40DC-9E4C-A0B2C2F4C989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'DISEÑO DE LODOCRETO (2)'!$D$3</c:f>
              <c:numCache>
                <c:formatCode>General</c:formatCode>
                <c:ptCount val="1"/>
              </c:numCache>
            </c:numRef>
          </c:xVal>
          <c:yVal>
            <c:numRef>
              <c:f>'DISEÑO DE LODOCRETO (2)'!$O$3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6ED-40DC-9E4C-A0B2C2F4C989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C6ED-40DC-9E4C-A0B2C2F4C989}"/>
              </c:ext>
            </c:extLst>
          </c:dPt>
          <c:dLbls>
            <c:dLbl>
              <c:idx val="0"/>
              <c:layout>
                <c:manualLayout>
                  <c:x val="-1.6813616639568391E-2"/>
                  <c:y val="-1.096638483086871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6ED-40DC-9E4C-A0B2C2F4C989}"/>
                </c:ext>
              </c:extLst>
            </c:dLbl>
            <c:dLbl>
              <c:idx val="1"/>
              <c:layout>
                <c:manualLayout>
                  <c:x val="3.5703237074991213E-2"/>
                  <c:y val="-2.55891078815257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6ED-40DC-9E4C-A0B2C2F4C989}"/>
                </c:ext>
              </c:extLst>
            </c:dLbl>
            <c:spPr>
              <a:noFill/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'DISEÑO DE LODOCRETO (2)'!$E$30:$E$31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'DISEÑO DE LODOCRETO (2)'!$D$30:$D$31</c:f>
              <c:numCache>
                <c:formatCode>General</c:formatCode>
                <c:ptCount val="2"/>
                <c:pt idx="0">
                  <c:v>0</c:v>
                </c:pt>
                <c:pt idx="1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C6ED-40DC-9E4C-A0B2C2F4C989}"/>
            </c:ext>
          </c:extLst>
        </c:ser>
        <c:ser>
          <c:idx val="13"/>
          <c:order val="13"/>
          <c:tx>
            <c:v>13</c:v>
          </c:tx>
          <c:spPr>
            <a:ln w="19050" cap="rnd">
              <a:solidFill>
                <a:srgbClr val="E8280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'DISEÑO DE LODOCRETO (2)'!$E$32:$E$33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'DISEÑO DE LODOCRETO (2)'!$D$32:$D$33</c:f>
              <c:numCache>
                <c:formatCode>General</c:formatCode>
                <c:ptCount val="2"/>
                <c:pt idx="0">
                  <c:v>27</c:v>
                </c:pt>
                <c:pt idx="1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C6ED-40DC-9E4C-A0B2C2F4C9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33394239"/>
        <c:axId val="733399647"/>
      </c:scatterChart>
      <c:valAx>
        <c:axId val="733394239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 sz="1200" b="1">
                    <a:solidFill>
                      <a:sysClr val="windowText" lastClr="000000"/>
                    </a:solidFill>
                  </a:rPr>
                  <a:t>Porcentaje</a:t>
                </a:r>
                <a:r>
                  <a:rPr lang="es-SV" sz="1200" b="1" baseline="0">
                    <a:solidFill>
                      <a:sysClr val="windowText" lastClr="000000"/>
                    </a:solidFill>
                  </a:rPr>
                  <a:t> de cemento</a:t>
                </a:r>
                <a:endParaRPr lang="es-SV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82808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733399647"/>
        <c:crosses val="autoZero"/>
        <c:crossBetween val="midCat"/>
        <c:majorUnit val="1"/>
        <c:minorUnit val="0.1"/>
      </c:valAx>
      <c:valAx>
        <c:axId val="733399647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 sz="1200" b="1">
                    <a:solidFill>
                      <a:sysClr val="windowText" lastClr="000000"/>
                    </a:solidFill>
                  </a:rPr>
                  <a:t>Kg/cm²</a:t>
                </a:r>
              </a:p>
            </c:rich>
          </c:tx>
          <c:layout>
            <c:manualLayout>
              <c:xMode val="edge"/>
              <c:yMode val="edge"/>
              <c:x val="1.6868513332466285E-2"/>
              <c:y val="0.45693444062984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733394239"/>
        <c:crosses val="autoZero"/>
        <c:crossBetween val="midCat"/>
        <c:majorUnit val="3.5"/>
        <c:minorUnit val="2"/>
      </c:valAx>
      <c:spPr>
        <a:noFill/>
        <a:ln w="15875"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6226460720127"/>
          <c:y val="5.4607508532423313E-2"/>
          <c:w val="0.80476377595743742"/>
          <c:h val="0.7747440273037602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LIMITES!$A$3:$A$5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LIMITES!$C$3:$C$5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7-41F7-B7F5-9C1A9A4F24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LIMITES!$A$3:$A$5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LIMITES!$E$3:$E$5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7-41F7-B7F5-9C1A9A4F248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71776575159718625"/>
                  <c:y val="1.706484641638226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D7-41F7-B7F5-9C1A9A4F24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D7-41F7-B7F5-9C1A9A4F24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LIMITES!$D$11:$D$12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xVal>
          <c:yVal>
            <c:numRef>
              <c:f>LIMITES!$E$11:$E$12</c:f>
              <c:numCache>
                <c:formatCode>0.0%</c:formatCode>
                <c:ptCount val="2"/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D7-41F7-B7F5-9C1A9A4F248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LIMITES!$D$15:$D$16</c:f>
              <c:numCache>
                <c:formatCode>General</c:formatCode>
                <c:ptCount val="2"/>
                <c:pt idx="0" formatCode="#,##0">
                  <c:v>1.1066237839776663</c:v>
                </c:pt>
                <c:pt idx="1">
                  <c:v>25</c:v>
                </c:pt>
              </c:numCache>
            </c:numRef>
          </c:xVal>
          <c:yVal>
            <c:numRef>
              <c:f>LIMITES!$E$15:$E$16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D7-41F7-B7F5-9C1A9A4F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622952"/>
        <c:axId val="331622168"/>
      </c:scatterChart>
      <c:valAx>
        <c:axId val="331622952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No. de Golpes</a:t>
                </a:r>
              </a:p>
            </c:rich>
          </c:tx>
          <c:layout>
            <c:manualLayout>
              <c:xMode val="edge"/>
              <c:yMode val="edge"/>
              <c:x val="0.45476290463692026"/>
              <c:y val="0.9078498293515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331622168"/>
        <c:crosses val="autoZero"/>
        <c:crossBetween val="midCat"/>
      </c:valAx>
      <c:valAx>
        <c:axId val="331622168"/>
        <c:scaling>
          <c:orientation val="minMax"/>
          <c:min val="0.57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Contenido de Humedad (%)</a:t>
                </a:r>
              </a:p>
            </c:rich>
          </c:tx>
          <c:layout>
            <c:manualLayout>
              <c:xMode val="edge"/>
              <c:yMode val="edge"/>
              <c:x val="1.1904761904761921E-2"/>
              <c:y val="0.1604095563139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331622952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 alignWithMargins="0"/>
    <c:pageMargins b="1" l="0.75000000000000278" r="0.75000000000000278" t="1" header="0" footer="0"/>
    <c:pageSetup orientation="landscape" horizontalDpi="300" verticalDpi="300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75549971866168"/>
          <c:y val="8.7155963302752298E-2"/>
          <c:w val="0.81974334820881278"/>
          <c:h val="0.70183486238532111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Clasificación!$B$31</c:f>
              <c:numCache>
                <c:formatCode>0.00%</c:formatCode>
                <c:ptCount val="1"/>
                <c:pt idx="0">
                  <c:v>0</c:v>
                </c:pt>
              </c:numCache>
            </c:numRef>
          </c:xVal>
          <c:yVal>
            <c:numRef>
              <c:f>Clasificación!$V$31</c:f>
              <c:numCache>
                <c:formatCode>0.00%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E9-4176-A1FE-212585F3E9BB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'[5]CLA (01)'!$AL$16:$AL$26</c:f>
              <c:numCache>
                <c:formatCode>General</c:formatCode>
                <c:ptCount val="11"/>
                <c:pt idx="0">
                  <c:v>0.04</c:v>
                </c:pt>
                <c:pt idx="1">
                  <c:v>0.255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</c:numCache>
            </c:numRef>
          </c:xVal>
          <c:yVal>
            <c:numRef>
              <c:f>'[5]CLA (01)'!$AM$16:$AM$26</c:f>
              <c:numCache>
                <c:formatCode>General</c:formatCode>
                <c:ptCount val="11"/>
                <c:pt idx="0">
                  <c:v>0.04</c:v>
                </c:pt>
                <c:pt idx="1">
                  <c:v>0.04</c:v>
                </c:pt>
                <c:pt idx="2">
                  <c:v>7.2999999999999982E-2</c:v>
                </c:pt>
                <c:pt idx="3">
                  <c:v>0.14599999999999999</c:v>
                </c:pt>
                <c:pt idx="4">
                  <c:v>0.219</c:v>
                </c:pt>
                <c:pt idx="5">
                  <c:v>0.29199999999999998</c:v>
                </c:pt>
                <c:pt idx="6">
                  <c:v>0.36499999999999994</c:v>
                </c:pt>
                <c:pt idx="7">
                  <c:v>0.43799999999999989</c:v>
                </c:pt>
                <c:pt idx="8">
                  <c:v>0.51100000000000001</c:v>
                </c:pt>
                <c:pt idx="9">
                  <c:v>0.58399999999999985</c:v>
                </c:pt>
                <c:pt idx="10">
                  <c:v>0.65699999999999992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E9-4176-A1FE-212585F3E9BB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'[5]CLA (01)'!$AL$28:$AL$29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'[5]CLA (01)'!$AM$28:$AM$29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E9-4176-A1FE-212585F3E9BB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'[5]CLA (01)'!$AL$31:$AL$33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0.2</c:v>
                </c:pt>
                <c:pt idx="2">
                  <c:v>0.29589041095890412</c:v>
                </c:pt>
              </c:numCache>
            </c:numRef>
          </c:xVal>
          <c:yVal>
            <c:numRef>
              <c:f>'[5]CLA (01)'!$AM$31:$AM$33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E9-4176-A1FE-212585F3E9BB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'[5]CLA (01)'!$AL$35:$AL$36</c:f>
              <c:numCache>
                <c:formatCode>General</c:formatCode>
                <c:ptCount val="2"/>
                <c:pt idx="0">
                  <c:v>0</c:v>
                </c:pt>
                <c:pt idx="1">
                  <c:v>0.6</c:v>
                </c:pt>
              </c:numCache>
            </c:numRef>
          </c:xVal>
          <c:yVal>
            <c:numRef>
              <c:f>'[5]CLA (01)'!$AM$35:$AM$36</c:f>
              <c:numCache>
                <c:formatCode>General</c:formatCode>
                <c:ptCount val="2"/>
                <c:pt idx="0">
                  <c:v>0</c:v>
                </c:pt>
                <c:pt idx="1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E9-4176-A1FE-212585F3E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60632"/>
        <c:axId val="257759064"/>
      </c:scatterChart>
      <c:valAx>
        <c:axId val="257760632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Límite Líquido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257759064"/>
        <c:crosses val="autoZero"/>
        <c:crossBetween val="midCat"/>
        <c:majorUnit val="0.1"/>
      </c:valAx>
      <c:valAx>
        <c:axId val="257759064"/>
        <c:scaling>
          <c:orientation val="minMax"/>
          <c:max val="0.60000000000000064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Índice Plástico</a:t>
                </a:r>
              </a:p>
            </c:rich>
          </c:tx>
          <c:layout>
            <c:manualLayout>
              <c:xMode val="edge"/>
              <c:yMode val="edge"/>
              <c:x val="1.324848679629332E-2"/>
              <c:y val="0.26295235822794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25776063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000000000000389" l="0.70000000000000062" r="0.70000000000000062" t="0.7500000000000038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706877986405547E-2"/>
          <c:y val="9.1152934338522063E-2"/>
          <c:w val="0.8661064001615183"/>
          <c:h val="0.7211805687371291"/>
        </c:manualLayout>
      </c:layout>
      <c:scatterChart>
        <c:scatterStyle val="smoothMarker"/>
        <c:varyColors val="0"/>
        <c:ser>
          <c:idx val="1"/>
          <c:order val="0"/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Granulometría!$AI$37:$AI$47</c:f>
              <c:numCache>
                <c:formatCode>0.000</c:formatCode>
                <c:ptCount val="11"/>
                <c:pt idx="0">
                  <c:v>63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4.75</c:v>
                </c:pt>
                <c:pt idx="8">
                  <c:v>2</c:v>
                </c:pt>
                <c:pt idx="9">
                  <c:v>0.42499999999999999</c:v>
                </c:pt>
                <c:pt idx="10">
                  <c:v>7.4999999999999997E-2</c:v>
                </c:pt>
              </c:numCache>
            </c:numRef>
          </c:xVal>
          <c:yVal>
            <c:numRef>
              <c:f>Granulometría!$AJ$37:$AJ$47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3C-43AD-B99B-AFE2CC2A0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48648"/>
        <c:axId val="318147080"/>
      </c:scatterChart>
      <c:valAx>
        <c:axId val="318148648"/>
        <c:scaling>
          <c:logBase val="10"/>
          <c:orientation val="maxMin"/>
          <c:max val="100"/>
          <c:min val="0.0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DIÁMETRO EN MM.</a:t>
                </a:r>
              </a:p>
            </c:rich>
          </c:tx>
          <c:layout>
            <c:manualLayout>
              <c:xMode val="edge"/>
              <c:yMode val="edge"/>
              <c:x val="0.41524165832862053"/>
              <c:y val="0.90616736861380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318147080"/>
        <c:crosses val="autoZero"/>
        <c:crossBetween val="midCat"/>
        <c:majorUnit val="10"/>
        <c:minorUnit val="10"/>
      </c:valAx>
      <c:valAx>
        <c:axId val="318147080"/>
        <c:scaling>
          <c:orientation val="minMax"/>
          <c:max val="1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% QUE PASA EN PESO</a:t>
                </a:r>
              </a:p>
            </c:rich>
          </c:tx>
          <c:layout>
            <c:manualLayout>
              <c:xMode val="edge"/>
              <c:yMode val="edge"/>
              <c:x val="6.8370025175424557E-4"/>
              <c:y val="0.1601058474248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0" sourceLinked="0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318148648"/>
        <c:crossesAt val="1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 alignWithMargins="0"/>
    <c:pageMargins b="1" l="0.75000000000000122" r="0.75000000000000122" t="1" header="0" footer="0"/>
    <c:pageSetup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SV"/>
              <a:t>GRAFICO RELACIÓN DENSIDAD - HUMEDAD</a:t>
            </a:r>
          </a:p>
        </c:rich>
      </c:tx>
      <c:layout>
        <c:manualLayout>
          <c:xMode val="edge"/>
          <c:yMode val="edge"/>
          <c:x val="0.2330671166104237"/>
          <c:y val="3.85852090032154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89327968805635"/>
          <c:y val="0.1328905810231861"/>
          <c:w val="0.79335008878378399"/>
          <c:h val="0.69767555037172702"/>
        </c:manualLayout>
      </c:layout>
      <c:scatterChart>
        <c:scatterStyle val="smoothMarker"/>
        <c:varyColors val="0"/>
        <c:ser>
          <c:idx val="0"/>
          <c:order val="0"/>
          <c:spPr>
            <a:ln w="2222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7.6008683605094982E-2"/>
                  <c:y val="-0.142390223730072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76-470F-B379-224DD5B1DC41}"/>
                </c:ext>
              </c:extLst>
            </c:dLbl>
            <c:dLbl>
              <c:idx val="4"/>
              <c:layout>
                <c:manualLayout>
                  <c:x val="-0.14031338732748794"/>
                  <c:y val="-0.202411659957296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76-470F-B379-224DD5B1DC41}"/>
                </c:ext>
              </c:extLst>
            </c:dLbl>
            <c:dLbl>
              <c:idx val="8"/>
              <c:layout>
                <c:manualLayout>
                  <c:x val="4.0022779128722492E-2"/>
                  <c:y val="-7.80815420580466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76-470F-B379-224DD5B1DC41}"/>
                </c:ext>
              </c:extLst>
            </c:dLbl>
            <c:dLbl>
              <c:idx val="12"/>
              <c:layout>
                <c:manualLayout>
                  <c:x val="1.5459979267297469E-2"/>
                  <c:y val="-9.0943278392451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76-470F-B379-224DD5B1DC41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5875">
                <a:solidFill>
                  <a:schemeClr val="tx1"/>
                </a:solidFill>
              </a:ln>
              <a:effectLst>
                <a:softEdge rad="0"/>
              </a:effectLst>
            </c:spPr>
            <c:trendlineType val="poly"/>
            <c:order val="3"/>
            <c:forward val="1.0000000000000005E-2"/>
            <c:backward val="5.0000000000000053E-3"/>
            <c:dispRSqr val="0"/>
            <c:dispEq val="0"/>
          </c:trendline>
          <c:xVal>
            <c:numRef>
              <c:f>'Proctor '!$O$26:$AD$26</c:f>
              <c:numCache>
                <c:formatCode>0.0%</c:formatCode>
                <c:ptCount val="16"/>
                <c:pt idx="0">
                  <c:v>0</c:v>
                </c:pt>
                <c:pt idx="4">
                  <c:v>0</c:v>
                </c:pt>
                <c:pt idx="8">
                  <c:v>0</c:v>
                </c:pt>
                <c:pt idx="12">
                  <c:v>0</c:v>
                </c:pt>
              </c:numCache>
            </c:numRef>
          </c:xVal>
          <c:yVal>
            <c:numRef>
              <c:f>'Proctor '!$O$18:$AD$18</c:f>
              <c:numCache>
                <c:formatCode>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76-470F-B379-224DD5B1DC41}"/>
            </c:ext>
          </c:extLst>
        </c:ser>
        <c:ser>
          <c:idx val="1"/>
          <c:order val="1"/>
          <c:spPr>
            <a:ln w="15875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Ref>
              <c:f>'Proctor '!$AI$30:$AI$31</c:f>
              <c:numCache>
                <c:formatCode>General</c:formatCode>
                <c:ptCount val="2"/>
                <c:pt idx="0">
                  <c:v>0.224</c:v>
                </c:pt>
                <c:pt idx="1">
                  <c:v>0.224</c:v>
                </c:pt>
              </c:numCache>
            </c:numRef>
          </c:xVal>
          <c:yVal>
            <c:numRef>
              <c:f>'Proctor '!$AH$30:$AH$31</c:f>
              <c:numCache>
                <c:formatCode>General</c:formatCode>
                <c:ptCount val="2"/>
                <c:pt idx="0">
                  <c:v>0</c:v>
                </c:pt>
                <c:pt idx="1">
                  <c:v>1411.3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876-470F-B379-224DD5B1DC41}"/>
            </c:ext>
          </c:extLst>
        </c:ser>
        <c:ser>
          <c:idx val="2"/>
          <c:order val="2"/>
          <c:spPr>
            <a:ln w="15875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Ref>
              <c:f>'Proctor '!$AI$32:$AI$33</c:f>
              <c:numCache>
                <c:formatCode>General</c:formatCode>
                <c:ptCount val="2"/>
                <c:pt idx="0">
                  <c:v>0</c:v>
                </c:pt>
                <c:pt idx="1">
                  <c:v>0.224</c:v>
                </c:pt>
              </c:numCache>
            </c:numRef>
          </c:xVal>
          <c:yVal>
            <c:numRef>
              <c:f>'Proctor '!$AH$32:$AH$33</c:f>
              <c:numCache>
                <c:formatCode>General</c:formatCode>
                <c:ptCount val="2"/>
                <c:pt idx="0">
                  <c:v>1411.3</c:v>
                </c:pt>
                <c:pt idx="1">
                  <c:v>1411.3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876-470F-B379-224DD5B1DC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8146688"/>
        <c:axId val="318142768"/>
      </c:scatterChart>
      <c:valAx>
        <c:axId val="318146688"/>
        <c:scaling>
          <c:orientation val="minMax"/>
          <c:max val="0.25"/>
          <c:min val="0.17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min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SV"/>
                  <a:t>Humedad %</a:t>
                </a:r>
              </a:p>
            </c:rich>
          </c:tx>
          <c:layout>
            <c:manualLayout>
              <c:xMode val="edge"/>
              <c:yMode val="edge"/>
              <c:x val="0.43271860166415366"/>
              <c:y val="0.90255361166670889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SV"/>
          </a:p>
        </c:txPr>
        <c:crossAx val="318142768"/>
        <c:crossesAt val="1190"/>
        <c:crossBetween val="midCat"/>
        <c:majorUnit val="1.0000000000000002E-2"/>
      </c:valAx>
      <c:valAx>
        <c:axId val="318142768"/>
        <c:scaling>
          <c:orientation val="minMax"/>
          <c:max val="1420"/>
          <c:min val="136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SV"/>
                  <a:t>Peso Vol. seco kg/m³</a:t>
                </a:r>
              </a:p>
            </c:rich>
          </c:tx>
          <c:layout>
            <c:manualLayout>
              <c:xMode val="edge"/>
              <c:yMode val="edge"/>
              <c:x val="5.4488188976377959E-3"/>
              <c:y val="0.273400342642057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SV"/>
          </a:p>
        </c:txPr>
        <c:crossAx val="318146688"/>
        <c:crosses val="autoZero"/>
        <c:crossBetween val="midCat"/>
        <c:majorUnit val="10"/>
        <c:minorUnit val="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chemeClr val="accent1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s-SV"/>
    </a:p>
  </c:txPr>
  <c:printSettings>
    <c:headerFooter alignWithMargins="0"/>
    <c:pageMargins b="1" l="0.750000000000001" r="0.750000000000001" t="1" header="0" footer="0"/>
    <c:pageSetup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SV"/>
              <a:t>GRAFICO RELACIÓN DENSIDAD - HUMEDAD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89327968805635"/>
          <c:y val="0.1328905810231861"/>
          <c:w val="0.79335008878378399"/>
          <c:h val="0.69767555037172702"/>
        </c:manualLayout>
      </c:layout>
      <c:scatterChart>
        <c:scatterStyle val="smoothMarker"/>
        <c:varyColors val="0"/>
        <c:ser>
          <c:idx val="0"/>
          <c:order val="0"/>
          <c:spPr>
            <a:ln w="2222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trendlineType val="poly"/>
            <c:order val="3"/>
            <c:forward val="1.0000000000000005E-2"/>
            <c:backward val="5.0000000000000053E-3"/>
            <c:dispRSqr val="0"/>
            <c:dispEq val="0"/>
          </c:trendline>
          <c:xVal>
            <c:numRef>
              <c:f>'Proctor '!$O$26:$AD$26</c:f>
              <c:numCache>
                <c:formatCode>0.0%</c:formatCode>
                <c:ptCount val="16"/>
                <c:pt idx="0">
                  <c:v>0</c:v>
                </c:pt>
                <c:pt idx="4">
                  <c:v>0</c:v>
                </c:pt>
                <c:pt idx="8">
                  <c:v>0</c:v>
                </c:pt>
                <c:pt idx="12">
                  <c:v>0</c:v>
                </c:pt>
              </c:numCache>
            </c:numRef>
          </c:xVal>
          <c:yVal>
            <c:numRef>
              <c:f>'Proctor '!$O$18:$AD$18</c:f>
              <c:numCache>
                <c:formatCode>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BC-46B7-949B-7ADB89A6672E}"/>
            </c:ext>
          </c:extLst>
        </c:ser>
        <c:ser>
          <c:idx val="1"/>
          <c:order val="1"/>
          <c:spPr>
            <a:ln w="15875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Ref>
              <c:f>'Proctor '!$AI$30:$AI$31</c:f>
              <c:numCache>
                <c:formatCode>General</c:formatCode>
                <c:ptCount val="2"/>
                <c:pt idx="0">
                  <c:v>0.224</c:v>
                </c:pt>
                <c:pt idx="1">
                  <c:v>0.224</c:v>
                </c:pt>
              </c:numCache>
            </c:numRef>
          </c:xVal>
          <c:yVal>
            <c:numRef>
              <c:f>'Proctor '!$AH$30:$AH$31</c:f>
              <c:numCache>
                <c:formatCode>General</c:formatCode>
                <c:ptCount val="2"/>
                <c:pt idx="0">
                  <c:v>0</c:v>
                </c:pt>
                <c:pt idx="1">
                  <c:v>1411.3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BC-46B7-949B-7ADB89A6672E}"/>
            </c:ext>
          </c:extLst>
        </c:ser>
        <c:ser>
          <c:idx val="2"/>
          <c:order val="2"/>
          <c:spPr>
            <a:ln w="15875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Ref>
              <c:f>'Proctor '!$AI$32:$AI$33</c:f>
              <c:numCache>
                <c:formatCode>General</c:formatCode>
                <c:ptCount val="2"/>
                <c:pt idx="0">
                  <c:v>0</c:v>
                </c:pt>
                <c:pt idx="1">
                  <c:v>0.224</c:v>
                </c:pt>
              </c:numCache>
            </c:numRef>
          </c:xVal>
          <c:yVal>
            <c:numRef>
              <c:f>'Proctor '!$AH$32:$AH$33</c:f>
              <c:numCache>
                <c:formatCode>General</c:formatCode>
                <c:ptCount val="2"/>
                <c:pt idx="0">
                  <c:v>1411.3</c:v>
                </c:pt>
                <c:pt idx="1">
                  <c:v>1411.3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BC-46B7-949B-7ADB89A667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8147864"/>
        <c:axId val="318149824"/>
      </c:scatterChart>
      <c:valAx>
        <c:axId val="318147864"/>
        <c:scaling>
          <c:orientation val="minMax"/>
          <c:max val="0.17"/>
          <c:min val="9.0000000000000024E-2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min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SV"/>
                  <a:t>Humedad %</a:t>
                </a:r>
              </a:p>
            </c:rich>
          </c:tx>
          <c:layout>
            <c:manualLayout>
              <c:xMode val="edge"/>
              <c:yMode val="edge"/>
              <c:x val="0.43271860166415366"/>
              <c:y val="0.90255361166670889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SV"/>
          </a:p>
        </c:txPr>
        <c:crossAx val="318149824"/>
        <c:crossesAt val="1300"/>
        <c:crossBetween val="midCat"/>
        <c:majorUnit val="1.0000000000000005E-2"/>
      </c:valAx>
      <c:valAx>
        <c:axId val="318149824"/>
        <c:scaling>
          <c:orientation val="minMax"/>
          <c:max val="1900"/>
          <c:min val="170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SV"/>
                  <a:t>Peso Vol. seco kg/m³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SV"/>
          </a:p>
        </c:txPr>
        <c:crossAx val="318147864"/>
        <c:crossesAt val="7.0000000000000021E-2"/>
        <c:crossBetween val="midCat"/>
        <c:majorUnit val="20"/>
        <c:minorUnit val="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s-SV"/>
    </a:p>
  </c:txPr>
  <c:printSettings>
    <c:headerFooter alignWithMargins="0"/>
    <c:pageMargins b="1" l="0.750000000000001" r="0.750000000000001" t="1" header="0" footer="0"/>
    <c:pageSetup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 sz="1400" b="1" i="1" u="none" strike="noStrike" baseline="0">
                <a:solidFill>
                  <a:sysClr val="windowText" lastClr="000000"/>
                </a:solidFill>
                <a:effectLst/>
              </a:rPr>
              <a:t>RESISTENCIA DE  B R I Q U E T A S  DE SUELO CEMENTO [ASTM-D1632 / ASTM-D1633]</a:t>
            </a:r>
            <a:r>
              <a:rPr lang="es-SV" sz="1400" b="1" i="0" u="none" strike="noStrike" baseline="0">
                <a:solidFill>
                  <a:sysClr val="windowText" lastClr="000000"/>
                </a:solidFill>
              </a:rPr>
              <a:t>                                               </a:t>
            </a:r>
            <a:r>
              <a:rPr lang="es-SV" sz="1400" b="1" i="1" u="none" strike="noStrike" baseline="0">
                <a:solidFill>
                  <a:sysClr val="windowText" lastClr="000000"/>
                </a:solidFill>
                <a:effectLst/>
              </a:rPr>
              <a:t>DISEÑO DE SUELO CEMEMENTO.</a:t>
            </a:r>
            <a:endParaRPr lang="es-SV" sz="14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3650068829645493"/>
          <c:y val="6.4571055686793735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>
        <c:manualLayout>
          <c:layoutTarget val="inner"/>
          <c:xMode val="edge"/>
          <c:yMode val="edge"/>
          <c:x val="8.376286638607898E-2"/>
          <c:y val="0.18821108385591032"/>
          <c:w val="0.8796257224706423"/>
          <c:h val="0.6863357233859810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761619400859707E-3"/>
                  <c:y val="-1.8909343500133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F5-49CE-A7CA-7BBA38501F61}"/>
                </c:ext>
              </c:extLst>
            </c:dLbl>
            <c:dLbl>
              <c:idx val="1"/>
              <c:layout>
                <c:manualLayout>
                  <c:x val="6.620885035394858E-3"/>
                  <c:y val="-8.3480399186927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F5-49CE-A7CA-7BBA38501F61}"/>
                </c:ext>
              </c:extLst>
            </c:dLbl>
            <c:dLbl>
              <c:idx val="2"/>
              <c:layout>
                <c:manualLayout>
                  <c:x val="8.180589732942941E-3"/>
                  <c:y val="-7.23474585512730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F5-49CE-A7CA-7BBA38501F61}"/>
                </c:ext>
              </c:extLst>
            </c:dLbl>
            <c:dLbl>
              <c:idx val="3"/>
              <c:layout>
                <c:manualLayout>
                  <c:x val="1.2822123539173712E-2"/>
                  <c:y val="-0.1012931042039737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F5-49CE-A7CA-7BBA38501F61}"/>
                </c:ext>
              </c:extLst>
            </c:dLbl>
            <c:dLbl>
              <c:idx val="4"/>
              <c:layout>
                <c:manualLayout>
                  <c:x val="1.5979113220683124E-2"/>
                  <c:y val="-4.78549891528340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F5-49CE-A7CA-7BBA38501F61}"/>
                </c:ext>
              </c:extLst>
            </c:dLbl>
            <c:spPr>
              <a:noFill/>
              <a:ln>
                <a:solidFill>
                  <a:schemeClr val="tx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SC!$Q$12:$Q$16</c:f>
              <c:numCache>
                <c:formatCode>0.00</c:formatCode>
                <c:ptCount val="5"/>
                <c:pt idx="0" formatCode="0.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SC!$R$12:$R$16</c:f>
              <c:numCache>
                <c:formatCode>0.00</c:formatCode>
                <c:ptCount val="5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F5-49CE-A7CA-7BBA38501F6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SC!$D$3</c:f>
              <c:numCache>
                <c:formatCode>General</c:formatCode>
                <c:ptCount val="1"/>
              </c:numCache>
            </c:numRef>
          </c:xVal>
          <c:yVal>
            <c:numRef>
              <c:f>SC!$E$3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FF5-49CE-A7CA-7BBA38501F6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SC!$D$3</c:f>
              <c:numCache>
                <c:formatCode>General</c:formatCode>
                <c:ptCount val="1"/>
              </c:numCache>
            </c:numRef>
          </c:xVal>
          <c:yVal>
            <c:numRef>
              <c:f>SC!$F$3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FF5-49CE-A7CA-7BBA38501F6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SC!$D$3</c:f>
              <c:numCache>
                <c:formatCode>General</c:formatCode>
                <c:ptCount val="1"/>
              </c:numCache>
            </c:numRef>
          </c:xVal>
          <c:yVal>
            <c:numRef>
              <c:f>SC!$G$3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FF5-49CE-A7CA-7BBA38501F6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SC!$D$3</c:f>
              <c:numCache>
                <c:formatCode>General</c:formatCode>
                <c:ptCount val="1"/>
              </c:numCache>
            </c:numRef>
          </c:xVal>
          <c:yVal>
            <c:numRef>
              <c:f>SC!$H$3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FF5-49CE-A7CA-7BBA38501F6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SC!$D$3</c:f>
              <c:numCache>
                <c:formatCode>General</c:formatCode>
                <c:ptCount val="1"/>
              </c:numCache>
            </c:numRef>
          </c:xVal>
          <c:yVal>
            <c:numRef>
              <c:f>SC!$I$3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FF5-49CE-A7CA-7BBA38501F6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SC!$D$3</c:f>
              <c:numCache>
                <c:formatCode>General</c:formatCode>
                <c:ptCount val="1"/>
              </c:numCache>
            </c:numRef>
          </c:xVal>
          <c:yVal>
            <c:numRef>
              <c:f>SC!$J$3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FF5-49CE-A7CA-7BBA38501F6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SC!$D$3</c:f>
              <c:numCache>
                <c:formatCode>General</c:formatCode>
                <c:ptCount val="1"/>
              </c:numCache>
            </c:numRef>
          </c:xVal>
          <c:yVal>
            <c:numRef>
              <c:f>SC!$K$3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FF5-49CE-A7CA-7BBA38501F6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SC!$D$3</c:f>
              <c:numCache>
                <c:formatCode>General</c:formatCode>
                <c:ptCount val="1"/>
              </c:numCache>
            </c:numRef>
          </c:xVal>
          <c:yVal>
            <c:numRef>
              <c:f>SC!$L$3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FF5-49CE-A7CA-7BBA38501F6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SC!$D$3</c:f>
              <c:numCache>
                <c:formatCode>General</c:formatCode>
                <c:ptCount val="1"/>
              </c:numCache>
            </c:numRef>
          </c:xVal>
          <c:yVal>
            <c:numRef>
              <c:f>SC!$M$3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FF5-49CE-A7CA-7BBA38501F6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SC!$D$3</c:f>
              <c:numCache>
                <c:formatCode>General</c:formatCode>
                <c:ptCount val="1"/>
              </c:numCache>
            </c:numRef>
          </c:xVal>
          <c:yVal>
            <c:numRef>
              <c:f>SC!$N$3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FF5-49CE-A7CA-7BBA38501F61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SC!$D$3</c:f>
              <c:numCache>
                <c:formatCode>General</c:formatCode>
                <c:ptCount val="1"/>
              </c:numCache>
            </c:numRef>
          </c:xVal>
          <c:yVal>
            <c:numRef>
              <c:f>SC!$O$3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FF5-49CE-A7CA-7BBA38501F61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7FF5-49CE-A7CA-7BBA38501F61}"/>
              </c:ext>
            </c:extLst>
          </c:dPt>
          <c:dLbls>
            <c:dLbl>
              <c:idx val="1"/>
              <c:layout>
                <c:manualLayout>
                  <c:x val="-1.699709686146887E-4"/>
                  <c:y val="-3.32322661021769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FF5-49CE-A7CA-7BBA38501F61}"/>
                </c:ext>
              </c:extLst>
            </c:dLbl>
            <c:spPr>
              <a:noFill/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SC!$E$35:$E$36</c:f>
              <c:numCache>
                <c:formatCode>General</c:formatCode>
                <c:ptCount val="2"/>
                <c:pt idx="0">
                  <c:v>2.65</c:v>
                </c:pt>
                <c:pt idx="1">
                  <c:v>2.65</c:v>
                </c:pt>
              </c:numCache>
            </c:numRef>
          </c:xVal>
          <c:yVal>
            <c:numRef>
              <c:f>SC!$D$35:$D$36</c:f>
              <c:numCache>
                <c:formatCode>General</c:formatCode>
                <c:ptCount val="2"/>
                <c:pt idx="0">
                  <c:v>0</c:v>
                </c:pt>
                <c:pt idx="1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FF5-49CE-A7CA-7BBA38501F61}"/>
            </c:ext>
          </c:extLst>
        </c:ser>
        <c:ser>
          <c:idx val="13"/>
          <c:order val="13"/>
          <c:tx>
            <c:v>13</c:v>
          </c:tx>
          <c:spPr>
            <a:ln w="19050" cap="rnd">
              <a:solidFill>
                <a:srgbClr val="E8280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SC!$E$37:$E$38</c:f>
              <c:numCache>
                <c:formatCode>General</c:formatCode>
                <c:ptCount val="2"/>
                <c:pt idx="0">
                  <c:v>0</c:v>
                </c:pt>
                <c:pt idx="1">
                  <c:v>2.65</c:v>
                </c:pt>
              </c:numCache>
            </c:numRef>
          </c:xVal>
          <c:yVal>
            <c:numRef>
              <c:f>SC!$D$37:$D$38</c:f>
              <c:numCache>
                <c:formatCode>General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7FF5-49CE-A7CA-7BBA38501F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33394239"/>
        <c:axId val="733399647"/>
      </c:scatterChart>
      <c:valAx>
        <c:axId val="733394239"/>
        <c:scaling>
          <c:orientation val="minMax"/>
          <c:max val="5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 sz="1200" b="1">
                    <a:solidFill>
                      <a:sysClr val="windowText" lastClr="000000"/>
                    </a:solidFill>
                  </a:rPr>
                  <a:t>Porcentaje</a:t>
                </a:r>
                <a:r>
                  <a:rPr lang="es-SV" sz="1200" b="1" baseline="0">
                    <a:solidFill>
                      <a:sysClr val="windowText" lastClr="000000"/>
                    </a:solidFill>
                  </a:rPr>
                  <a:t> de cemento</a:t>
                </a:r>
                <a:endParaRPr lang="es-SV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82808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733399647"/>
        <c:crosses val="autoZero"/>
        <c:crossBetween val="midCat"/>
        <c:majorUnit val="1"/>
        <c:minorUnit val="0.1"/>
      </c:valAx>
      <c:valAx>
        <c:axId val="733399647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 sz="1200" b="1">
                    <a:solidFill>
                      <a:sysClr val="windowText" lastClr="000000"/>
                    </a:solidFill>
                  </a:rPr>
                  <a:t>Kg/cm²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733394239"/>
        <c:crosses val="autoZero"/>
        <c:crossBetween val="midCat"/>
      </c:valAx>
      <c:spPr>
        <a:noFill/>
        <a:ln w="15875"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SV"/>
              <a:t>GRAFICO RELACIÓN DENSIDAD - HUMEDAD</a:t>
            </a:r>
          </a:p>
        </c:rich>
      </c:tx>
      <c:layout>
        <c:manualLayout>
          <c:xMode val="edge"/>
          <c:yMode val="edge"/>
          <c:x val="0.2330671166104237"/>
          <c:y val="3.85852090032154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89327968805635"/>
          <c:y val="0.1328905810231861"/>
          <c:w val="0.79335008878378399"/>
          <c:h val="0.69767555037172702"/>
        </c:manualLayout>
      </c:layout>
      <c:scatterChart>
        <c:scatterStyle val="smoothMarker"/>
        <c:varyColors val="0"/>
        <c:ser>
          <c:idx val="0"/>
          <c:order val="0"/>
          <c:spPr>
            <a:ln w="2222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7.6008683605094982E-2"/>
                  <c:y val="-0.142390223730072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3D-49DC-84F1-A28B862C5748}"/>
                </c:ext>
              </c:extLst>
            </c:dLbl>
            <c:dLbl>
              <c:idx val="4"/>
              <c:layout>
                <c:manualLayout>
                  <c:x val="-0.14031338732748794"/>
                  <c:y val="-0.202411659957296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3D-49DC-84F1-A28B862C5748}"/>
                </c:ext>
              </c:extLst>
            </c:dLbl>
            <c:dLbl>
              <c:idx val="8"/>
              <c:layout>
                <c:manualLayout>
                  <c:x val="-0.11912137975013123"/>
                  <c:y val="-6.0256221314581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3D-49DC-84F1-A28B862C5748}"/>
                </c:ext>
              </c:extLst>
            </c:dLbl>
            <c:dLbl>
              <c:idx val="12"/>
              <c:layout>
                <c:manualLayout>
                  <c:x val="1.5459979267297469E-2"/>
                  <c:y val="-9.0943278392451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3D-49DC-84F1-A28B862C5748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5875">
                <a:solidFill>
                  <a:schemeClr val="tx1"/>
                </a:solidFill>
              </a:ln>
              <a:effectLst>
                <a:softEdge rad="0"/>
              </a:effectLst>
            </c:spPr>
            <c:trendlineType val="poly"/>
            <c:order val="3"/>
            <c:forward val="1.0000000000000005E-2"/>
            <c:backward val="5.0000000000000053E-3"/>
            <c:dispRSqr val="0"/>
            <c:dispEq val="0"/>
          </c:trendline>
          <c:xVal>
            <c:numRef>
              <c:f>'Proctor SC'!$O$26:$AD$26</c:f>
              <c:numCache>
                <c:formatCode>0.0%</c:formatCode>
                <c:ptCount val="16"/>
                <c:pt idx="0">
                  <c:v>0</c:v>
                </c:pt>
                <c:pt idx="4">
                  <c:v>0</c:v>
                </c:pt>
                <c:pt idx="8">
                  <c:v>0</c:v>
                </c:pt>
                <c:pt idx="12">
                  <c:v>0</c:v>
                </c:pt>
              </c:numCache>
            </c:numRef>
          </c:xVal>
          <c:yVal>
            <c:numRef>
              <c:f>'Proctor SC'!$O$18:$AD$18</c:f>
              <c:numCache>
                <c:formatCode>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3D-49DC-84F1-A28B862C5748}"/>
            </c:ext>
          </c:extLst>
        </c:ser>
        <c:ser>
          <c:idx val="1"/>
          <c:order val="1"/>
          <c:spPr>
            <a:ln w="15875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Ref>
              <c:f>'Proctor SC'!$AI$30:$AI$31</c:f>
              <c:numCache>
                <c:formatCode>General</c:formatCode>
                <c:ptCount val="2"/>
                <c:pt idx="0">
                  <c:v>0.20899999999999999</c:v>
                </c:pt>
                <c:pt idx="1">
                  <c:v>0.20899999999999999</c:v>
                </c:pt>
              </c:numCache>
            </c:numRef>
          </c:xVal>
          <c:yVal>
            <c:numRef>
              <c:f>'Proctor SC'!$AH$30:$AH$31</c:f>
              <c:numCache>
                <c:formatCode>General</c:formatCode>
                <c:ptCount val="2"/>
                <c:pt idx="0">
                  <c:v>0</c:v>
                </c:pt>
                <c:pt idx="1">
                  <c:v>1454.9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3D-49DC-84F1-A28B862C5748}"/>
            </c:ext>
          </c:extLst>
        </c:ser>
        <c:ser>
          <c:idx val="2"/>
          <c:order val="2"/>
          <c:spPr>
            <a:ln w="15875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Ref>
              <c:f>'Proctor SC'!$AI$32:$AI$33</c:f>
              <c:numCache>
                <c:formatCode>General</c:formatCode>
                <c:ptCount val="2"/>
                <c:pt idx="0">
                  <c:v>0</c:v>
                </c:pt>
                <c:pt idx="1">
                  <c:v>0.20899999999999999</c:v>
                </c:pt>
              </c:numCache>
            </c:numRef>
          </c:xVal>
          <c:yVal>
            <c:numRef>
              <c:f>'Proctor SC'!$AH$32:$AH$33</c:f>
              <c:numCache>
                <c:formatCode>General</c:formatCode>
                <c:ptCount val="2"/>
                <c:pt idx="0">
                  <c:v>1454.9</c:v>
                </c:pt>
                <c:pt idx="1">
                  <c:v>1454.9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53D-49DC-84F1-A28B862C57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8146688"/>
        <c:axId val="318142768"/>
      </c:scatterChart>
      <c:valAx>
        <c:axId val="318146688"/>
        <c:scaling>
          <c:orientation val="minMax"/>
          <c:max val="0.24000000000000002"/>
          <c:min val="0.16000000000000003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min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SV"/>
                  <a:t>Humedad %</a:t>
                </a:r>
              </a:p>
            </c:rich>
          </c:tx>
          <c:layout>
            <c:manualLayout>
              <c:xMode val="edge"/>
              <c:yMode val="edge"/>
              <c:x val="0.43271860166415366"/>
              <c:y val="0.90255361166670889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SV"/>
          </a:p>
        </c:txPr>
        <c:crossAx val="318142768"/>
        <c:crossesAt val="1190"/>
        <c:crossBetween val="midCat"/>
        <c:majorUnit val="1.0000000000000002E-2"/>
      </c:valAx>
      <c:valAx>
        <c:axId val="318142768"/>
        <c:scaling>
          <c:orientation val="minMax"/>
          <c:max val="1470"/>
          <c:min val="135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SV"/>
                  <a:t>Peso Vol. seco kg/m³</a:t>
                </a:r>
              </a:p>
            </c:rich>
          </c:tx>
          <c:layout>
            <c:manualLayout>
              <c:xMode val="edge"/>
              <c:yMode val="edge"/>
              <c:x val="5.4488188976377959E-3"/>
              <c:y val="0.273400342642057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SV"/>
          </a:p>
        </c:txPr>
        <c:crossAx val="318146688"/>
        <c:crosses val="autoZero"/>
        <c:crossBetween val="midCat"/>
        <c:majorUnit val="10"/>
        <c:minorUnit val="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chemeClr val="accent1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s-SV"/>
    </a:p>
  </c:txPr>
  <c:printSettings>
    <c:headerFooter alignWithMargins="0"/>
    <c:pageMargins b="1" l="0.750000000000001" r="0.750000000000001" t="1" header="0" footer="0"/>
    <c:pageSetup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SV"/>
              <a:t>GRAFICO RELACIÓN DENSIDAD - HUMEDAD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89327968805635"/>
          <c:y val="0.1328905810231861"/>
          <c:w val="0.79335008878378399"/>
          <c:h val="0.69767555037172702"/>
        </c:manualLayout>
      </c:layout>
      <c:scatterChart>
        <c:scatterStyle val="smoothMarker"/>
        <c:varyColors val="0"/>
        <c:ser>
          <c:idx val="0"/>
          <c:order val="0"/>
          <c:spPr>
            <a:ln w="2222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trendlineType val="poly"/>
            <c:order val="3"/>
            <c:forward val="1.0000000000000005E-2"/>
            <c:backward val="5.0000000000000053E-3"/>
            <c:dispRSqr val="0"/>
            <c:dispEq val="0"/>
          </c:trendline>
          <c:xVal>
            <c:numRef>
              <c:f>'Proctor SC'!$O$26:$AD$26</c:f>
              <c:numCache>
                <c:formatCode>0.0%</c:formatCode>
                <c:ptCount val="16"/>
                <c:pt idx="0">
                  <c:v>0</c:v>
                </c:pt>
                <c:pt idx="4">
                  <c:v>0</c:v>
                </c:pt>
                <c:pt idx="8">
                  <c:v>0</c:v>
                </c:pt>
                <c:pt idx="12">
                  <c:v>0</c:v>
                </c:pt>
              </c:numCache>
            </c:numRef>
          </c:xVal>
          <c:yVal>
            <c:numRef>
              <c:f>'Proctor SC'!$O$18:$AD$18</c:f>
              <c:numCache>
                <c:formatCode>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45-4D5B-AD97-1597540098F4}"/>
            </c:ext>
          </c:extLst>
        </c:ser>
        <c:ser>
          <c:idx val="1"/>
          <c:order val="1"/>
          <c:spPr>
            <a:ln w="15875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Ref>
              <c:f>'Proctor SC'!$AI$30:$AI$31</c:f>
              <c:numCache>
                <c:formatCode>General</c:formatCode>
                <c:ptCount val="2"/>
                <c:pt idx="0">
                  <c:v>0.20899999999999999</c:v>
                </c:pt>
                <c:pt idx="1">
                  <c:v>0.20899999999999999</c:v>
                </c:pt>
              </c:numCache>
            </c:numRef>
          </c:xVal>
          <c:yVal>
            <c:numRef>
              <c:f>'Proctor SC'!$AH$30:$AH$31</c:f>
              <c:numCache>
                <c:formatCode>General</c:formatCode>
                <c:ptCount val="2"/>
                <c:pt idx="0">
                  <c:v>0</c:v>
                </c:pt>
                <c:pt idx="1">
                  <c:v>1454.9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45-4D5B-AD97-1597540098F4}"/>
            </c:ext>
          </c:extLst>
        </c:ser>
        <c:ser>
          <c:idx val="2"/>
          <c:order val="2"/>
          <c:spPr>
            <a:ln w="15875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Ref>
              <c:f>'Proctor SC'!$AI$32:$AI$33</c:f>
              <c:numCache>
                <c:formatCode>General</c:formatCode>
                <c:ptCount val="2"/>
                <c:pt idx="0">
                  <c:v>0</c:v>
                </c:pt>
                <c:pt idx="1">
                  <c:v>0.20899999999999999</c:v>
                </c:pt>
              </c:numCache>
            </c:numRef>
          </c:xVal>
          <c:yVal>
            <c:numRef>
              <c:f>'Proctor SC'!$AH$32:$AH$33</c:f>
              <c:numCache>
                <c:formatCode>General</c:formatCode>
                <c:ptCount val="2"/>
                <c:pt idx="0">
                  <c:v>1454.9</c:v>
                </c:pt>
                <c:pt idx="1">
                  <c:v>1454.9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45-4D5B-AD97-1597540098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8147864"/>
        <c:axId val="318149824"/>
      </c:scatterChart>
      <c:valAx>
        <c:axId val="318147864"/>
        <c:scaling>
          <c:orientation val="minMax"/>
          <c:max val="0.17"/>
          <c:min val="9.0000000000000024E-2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min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SV"/>
                  <a:t>Humedad %</a:t>
                </a:r>
              </a:p>
            </c:rich>
          </c:tx>
          <c:layout>
            <c:manualLayout>
              <c:xMode val="edge"/>
              <c:yMode val="edge"/>
              <c:x val="0.43271860166415366"/>
              <c:y val="0.90255361166670889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SV"/>
          </a:p>
        </c:txPr>
        <c:crossAx val="318149824"/>
        <c:crossesAt val="1300"/>
        <c:crossBetween val="midCat"/>
        <c:majorUnit val="1.0000000000000005E-2"/>
      </c:valAx>
      <c:valAx>
        <c:axId val="318149824"/>
        <c:scaling>
          <c:orientation val="minMax"/>
          <c:max val="1900"/>
          <c:min val="170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SV"/>
                  <a:t>Peso Vol. seco kg/m³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SV"/>
          </a:p>
        </c:txPr>
        <c:crossAx val="318147864"/>
        <c:crossesAt val="7.0000000000000021E-2"/>
        <c:crossBetween val="midCat"/>
        <c:majorUnit val="20"/>
        <c:minorUnit val="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s-SV"/>
    </a:p>
  </c:txPr>
  <c:printSettings>
    <c:headerFooter alignWithMargins="0"/>
    <c:pageMargins b="1" l="0.750000000000001" r="0.750000000000001" t="1" header="0" footer="0"/>
    <c:pageSetup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microsoft.com/office/2007/relationships/hdphoto" Target="../media/hdphoto2.wdp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3" Type="http://schemas.microsoft.com/office/2007/relationships/hdphoto" Target="../media/hdphoto5.wdp"/><Relationship Id="rId2" Type="http://schemas.openxmlformats.org/officeDocument/2006/relationships/image" Target="../media/image6.png"/><Relationship Id="rId1" Type="http://schemas.openxmlformats.org/officeDocument/2006/relationships/image" Target="../media/image9.png"/><Relationship Id="rId4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07/relationships/hdphoto" Target="../media/hdphoto7.wdp"/><Relationship Id="rId1" Type="http://schemas.openxmlformats.org/officeDocument/2006/relationships/image" Target="../media/image8.png"/></Relationships>
</file>

<file path=xl/drawings/_rels/drawing13.xml.rels><?xml version="1.0" encoding="UTF-8" standalone="yes"?>
<Relationships xmlns="http://schemas.openxmlformats.org/package/2006/relationships"><Relationship Id="rId3" Type="http://schemas.microsoft.com/office/2007/relationships/hdphoto" Target="../media/hdphoto7.wdp"/><Relationship Id="rId2" Type="http://schemas.openxmlformats.org/officeDocument/2006/relationships/image" Target="../media/image8.png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3.wdp"/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microsoft.com/office/2007/relationships/hdphoto" Target="../media/hdphoto5.wdp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microsoft.com/office/2007/relationships/hdphoto" Target="../media/hdphoto4.wdp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microsoft.com/office/2007/relationships/hdphoto" Target="../media/hdphoto5.wdp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07/relationships/hdphoto" Target="../media/hdphoto7.wdp"/><Relationship Id="rId2" Type="http://schemas.openxmlformats.org/officeDocument/2006/relationships/image" Target="../media/image8.png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microsoft.com/office/2007/relationships/hdphoto" Target="../media/hdphoto5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32</xdr:row>
      <xdr:rowOff>57150</xdr:rowOff>
    </xdr:from>
    <xdr:to>
      <xdr:col>31</xdr:col>
      <xdr:colOff>133350</xdr:colOff>
      <xdr:row>47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B24C7-C9B8-495E-AE63-8F0FB62E6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54</xdr:col>
      <xdr:colOff>28575</xdr:colOff>
      <xdr:row>63</xdr:row>
      <xdr:rowOff>161925</xdr:rowOff>
    </xdr:from>
    <xdr:to>
      <xdr:col>66</xdr:col>
      <xdr:colOff>114801</xdr:colOff>
      <xdr:row>68</xdr:row>
      <xdr:rowOff>152525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102FD0A-12E5-48F4-AED8-A8C7163DB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4744700" y="12077700"/>
          <a:ext cx="3591426" cy="89547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28574</xdr:colOff>
      <xdr:row>1</xdr:row>
      <xdr:rowOff>149792</xdr:rowOff>
    </xdr:from>
    <xdr:to>
      <xdr:col>8</xdr:col>
      <xdr:colOff>257175</xdr:colOff>
      <xdr:row>2</xdr:row>
      <xdr:rowOff>452613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CE9A9B2-0E8E-49BC-A1B1-82EADC0B0F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435" t="28887" r="6435" b="32773"/>
        <a:stretch/>
      </xdr:blipFill>
      <xdr:spPr>
        <a:xfrm>
          <a:off x="28574" y="330767"/>
          <a:ext cx="1828801" cy="82669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30</xdr:row>
      <xdr:rowOff>0</xdr:rowOff>
    </xdr:from>
    <xdr:ext cx="1571844" cy="866896"/>
    <xdr:pic>
      <xdr:nvPicPr>
        <xdr:cNvPr id="2" name="Imagen 1">
          <a:extLst>
            <a:ext uri="{FF2B5EF4-FFF2-40B4-BE49-F238E27FC236}">
              <a16:creationId xmlns:a16="http://schemas.microsoft.com/office/drawing/2014/main" id="{E3E2545A-CD0A-40EC-935C-2A6F6F41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6625" y="4857750"/>
          <a:ext cx="1571844" cy="866896"/>
        </a:xfrm>
        <a:prstGeom prst="rect">
          <a:avLst/>
        </a:prstGeom>
      </xdr:spPr>
    </xdr:pic>
    <xdr:clientData/>
  </xdr:oneCellAnchor>
  <xdr:oneCellAnchor>
    <xdr:from>
      <xdr:col>0</xdr:col>
      <xdr:colOff>228600</xdr:colOff>
      <xdr:row>1</xdr:row>
      <xdr:rowOff>104775</xdr:rowOff>
    </xdr:from>
    <xdr:ext cx="1639162" cy="740971"/>
    <xdr:pic>
      <xdr:nvPicPr>
        <xdr:cNvPr id="3" name="Imagen 2">
          <a:extLst>
            <a:ext uri="{FF2B5EF4-FFF2-40B4-BE49-F238E27FC236}">
              <a16:creationId xmlns:a16="http://schemas.microsoft.com/office/drawing/2014/main" id="{7605FA16-0066-4AB6-9AE6-ECABF5D113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435" t="28887" r="6435" b="32773"/>
        <a:stretch/>
      </xdr:blipFill>
      <xdr:spPr>
        <a:xfrm>
          <a:off x="228600" y="266700"/>
          <a:ext cx="1639162" cy="740971"/>
        </a:xfrm>
        <a:prstGeom prst="rect">
          <a:avLst/>
        </a:prstGeom>
      </xdr:spPr>
    </xdr:pic>
    <xdr:clientData/>
  </xdr:oneCellAnchor>
  <xdr:oneCellAnchor>
    <xdr:from>
      <xdr:col>19</xdr:col>
      <xdr:colOff>66675</xdr:colOff>
      <xdr:row>30</xdr:row>
      <xdr:rowOff>85725</xdr:rowOff>
    </xdr:from>
    <xdr:ext cx="1552792" cy="752580"/>
    <xdr:pic>
      <xdr:nvPicPr>
        <xdr:cNvPr id="4" name="Imagen 3">
          <a:extLst>
            <a:ext uri="{FF2B5EF4-FFF2-40B4-BE49-F238E27FC236}">
              <a16:creationId xmlns:a16="http://schemas.microsoft.com/office/drawing/2014/main" id="{3A8F55F6-9A2B-4B51-A50E-650D3E41E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96400" y="4943475"/>
          <a:ext cx="1552792" cy="75258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13</xdr:row>
      <xdr:rowOff>19050</xdr:rowOff>
    </xdr:from>
    <xdr:to>
      <xdr:col>6</xdr:col>
      <xdr:colOff>190500</xdr:colOff>
      <xdr:row>13</xdr:row>
      <xdr:rowOff>161925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FE37F555-A6D7-4257-99F6-B5E724D53899}"/>
            </a:ext>
          </a:extLst>
        </xdr:cNvPr>
        <xdr:cNvSpPr>
          <a:spLocks noChangeShapeType="1"/>
        </xdr:cNvSpPr>
      </xdr:nvSpPr>
      <xdr:spPr bwMode="auto">
        <a:xfrm>
          <a:off x="4905375" y="184785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209550</xdr:colOff>
      <xdr:row>3</xdr:row>
      <xdr:rowOff>9526</xdr:rowOff>
    </xdr:from>
    <xdr:to>
      <xdr:col>3</xdr:col>
      <xdr:colOff>733425</xdr:colOff>
      <xdr:row>7</xdr:row>
      <xdr:rowOff>12512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3C3FFB2-650D-48B7-AFB8-2EC6109EBD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435" t="28887" r="6435" b="32773"/>
        <a:stretch/>
      </xdr:blipFill>
      <xdr:spPr>
        <a:xfrm>
          <a:off x="971550" y="533401"/>
          <a:ext cx="1228725" cy="55543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28</xdr:row>
      <xdr:rowOff>9525</xdr:rowOff>
    </xdr:from>
    <xdr:to>
      <xdr:col>4</xdr:col>
      <xdr:colOff>581025</xdr:colOff>
      <xdr:row>30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5D81ECD-2DCF-49B0-B495-FC69CFE8E67E}"/>
            </a:ext>
          </a:extLst>
        </xdr:cNvPr>
        <xdr:cNvSpPr>
          <a:spLocks noChangeShapeType="1"/>
        </xdr:cNvSpPr>
      </xdr:nvSpPr>
      <xdr:spPr bwMode="auto">
        <a:xfrm>
          <a:off x="2743200" y="4752975"/>
          <a:ext cx="0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581025</xdr:colOff>
      <xdr:row>28</xdr:row>
      <xdr:rowOff>9525</xdr:rowOff>
    </xdr:from>
    <xdr:to>
      <xdr:col>4</xdr:col>
      <xdr:colOff>581025</xdr:colOff>
      <xdr:row>30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9AB4B88A-B9A3-49CF-89FF-C6B7366C8E47}"/>
            </a:ext>
          </a:extLst>
        </xdr:cNvPr>
        <xdr:cNvSpPr>
          <a:spLocks noChangeShapeType="1"/>
        </xdr:cNvSpPr>
      </xdr:nvSpPr>
      <xdr:spPr bwMode="auto">
        <a:xfrm>
          <a:off x="2743200" y="4752975"/>
          <a:ext cx="0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197580</xdr:colOff>
      <xdr:row>26</xdr:row>
      <xdr:rowOff>133350</xdr:rowOff>
    </xdr:from>
    <xdr:to>
      <xdr:col>15</xdr:col>
      <xdr:colOff>834447</xdr:colOff>
      <xdr:row>54</xdr:row>
      <xdr:rowOff>113434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F48827-9E04-45F0-BAC7-03693901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371475</xdr:colOff>
      <xdr:row>1</xdr:row>
      <xdr:rowOff>57149</xdr:rowOff>
    </xdr:from>
    <xdr:to>
      <xdr:col>4</xdr:col>
      <xdr:colOff>204123</xdr:colOff>
      <xdr:row>3</xdr:row>
      <xdr:rowOff>142874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A63BBE1-AE49-41AB-BCD5-F9B48CB9F5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435" t="28887" r="6435" b="32773"/>
        <a:stretch/>
      </xdr:blipFill>
      <xdr:spPr>
        <a:xfrm>
          <a:off x="733425" y="257174"/>
          <a:ext cx="2128173" cy="962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25</xdr:row>
      <xdr:rowOff>66675</xdr:rowOff>
    </xdr:from>
    <xdr:to>
      <xdr:col>43</xdr:col>
      <xdr:colOff>133350</xdr:colOff>
      <xdr:row>43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BB5CF4C-A03C-4952-81B9-7138BDBA9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27</xdr:col>
      <xdr:colOff>40984</xdr:colOff>
      <xdr:row>29</xdr:row>
      <xdr:rowOff>97923</xdr:rowOff>
    </xdr:from>
    <xdr:ext cx="184731" cy="937629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324AC76A-DDF3-4349-977E-7D04D7E38DDB}"/>
            </a:ext>
          </a:extLst>
        </xdr:cNvPr>
        <xdr:cNvSpPr/>
      </xdr:nvSpPr>
      <xdr:spPr>
        <a:xfrm>
          <a:off x="9337384" y="5365248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  <xdr:oneCellAnchor>
    <xdr:from>
      <xdr:col>27</xdr:col>
      <xdr:colOff>40984</xdr:colOff>
      <xdr:row>29</xdr:row>
      <xdr:rowOff>97923</xdr:rowOff>
    </xdr:from>
    <xdr:ext cx="184731" cy="937629"/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8B428193-D23D-4E8D-9EFD-F9A2318FA039}"/>
            </a:ext>
          </a:extLst>
        </xdr:cNvPr>
        <xdr:cNvSpPr/>
      </xdr:nvSpPr>
      <xdr:spPr>
        <a:xfrm>
          <a:off x="9337384" y="5365248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  <xdr:oneCellAnchor>
    <xdr:from>
      <xdr:col>27</xdr:col>
      <xdr:colOff>40984</xdr:colOff>
      <xdr:row>29</xdr:row>
      <xdr:rowOff>97923</xdr:rowOff>
    </xdr:from>
    <xdr:ext cx="184731" cy="937629"/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E2BAFF9-739D-4D20-85B8-8D25F1A5D41B}"/>
            </a:ext>
          </a:extLst>
        </xdr:cNvPr>
        <xdr:cNvSpPr/>
      </xdr:nvSpPr>
      <xdr:spPr>
        <a:xfrm>
          <a:off x="9337384" y="5365248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  <xdr:oneCellAnchor>
    <xdr:from>
      <xdr:col>27</xdr:col>
      <xdr:colOff>40984</xdr:colOff>
      <xdr:row>29</xdr:row>
      <xdr:rowOff>97923</xdr:rowOff>
    </xdr:from>
    <xdr:ext cx="184731" cy="937629"/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7C70555D-7CF1-4C6B-87D6-F86ED7EB9A2B}"/>
            </a:ext>
          </a:extLst>
        </xdr:cNvPr>
        <xdr:cNvSpPr/>
      </xdr:nvSpPr>
      <xdr:spPr>
        <a:xfrm>
          <a:off x="9337384" y="5365248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  <xdr:oneCellAnchor>
    <xdr:from>
      <xdr:col>21</xdr:col>
      <xdr:colOff>38100</xdr:colOff>
      <xdr:row>25</xdr:row>
      <xdr:rowOff>180975</xdr:rowOff>
    </xdr:from>
    <xdr:ext cx="2287165" cy="311496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7FEF1724-B7C7-47AD-A592-BA66E1809927}"/>
            </a:ext>
          </a:extLst>
        </xdr:cNvPr>
        <xdr:cNvSpPr/>
      </xdr:nvSpPr>
      <xdr:spPr>
        <a:xfrm>
          <a:off x="8420100" y="4791075"/>
          <a:ext cx="2287165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GRAFICO</a:t>
          </a:r>
          <a:r>
            <a:rPr lang="es-E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LIMITE LIQUIDO</a:t>
          </a:r>
          <a:endParaRPr lang="es-E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51</xdr:col>
      <xdr:colOff>400050</xdr:colOff>
      <xdr:row>25</xdr:row>
      <xdr:rowOff>161925</xdr:rowOff>
    </xdr:from>
    <xdr:ext cx="1468544" cy="374141"/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92F8B2C-C27D-4442-A882-85FE6A421EC2}"/>
            </a:ext>
          </a:extLst>
        </xdr:cNvPr>
        <xdr:cNvSpPr/>
      </xdr:nvSpPr>
      <xdr:spPr>
        <a:xfrm>
          <a:off x="15173325" y="4772025"/>
          <a:ext cx="1468544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8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NO PLASTICO</a:t>
          </a:r>
        </a:p>
      </xdr:txBody>
    </xdr:sp>
    <xdr:clientData/>
  </xdr:oneCellAnchor>
  <xdr:oneCellAnchor>
    <xdr:from>
      <xdr:col>51</xdr:col>
      <xdr:colOff>285750</xdr:colOff>
      <xdr:row>27</xdr:row>
      <xdr:rowOff>114300</xdr:rowOff>
    </xdr:from>
    <xdr:ext cx="1804854" cy="37414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7084E370-B1B6-41E2-9E12-EDA7AD14F3FA}"/>
            </a:ext>
          </a:extLst>
        </xdr:cNvPr>
        <xdr:cNvSpPr/>
      </xdr:nvSpPr>
      <xdr:spPr>
        <a:xfrm>
          <a:off x="15059025" y="5076825"/>
          <a:ext cx="1804854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8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NO PLACTICABLE</a:t>
          </a:r>
        </a:p>
      </xdr:txBody>
    </xdr:sp>
    <xdr:clientData/>
  </xdr:oneCellAnchor>
  <xdr:oneCellAnchor>
    <xdr:from>
      <xdr:col>51</xdr:col>
      <xdr:colOff>495300</xdr:colOff>
      <xdr:row>33</xdr:row>
      <xdr:rowOff>95250</xdr:rowOff>
    </xdr:from>
    <xdr:ext cx="1468544" cy="37414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9D171147-ABE2-4F98-A2C0-D2F59BBAE664}"/>
            </a:ext>
          </a:extLst>
        </xdr:cNvPr>
        <xdr:cNvSpPr/>
      </xdr:nvSpPr>
      <xdr:spPr>
        <a:xfrm>
          <a:off x="15268575" y="5915025"/>
          <a:ext cx="1468544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8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NO PLASTICO</a:t>
          </a:r>
        </a:p>
      </xdr:txBody>
    </xdr:sp>
    <xdr:clientData/>
  </xdr:oneCellAnchor>
  <xdr:oneCellAnchor>
    <xdr:from>
      <xdr:col>51</xdr:col>
      <xdr:colOff>352425</xdr:colOff>
      <xdr:row>35</xdr:row>
      <xdr:rowOff>85725</xdr:rowOff>
    </xdr:from>
    <xdr:ext cx="1804854" cy="374141"/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40DB97F3-CC05-4AF2-B21C-5E7F16CC0E9B}"/>
            </a:ext>
          </a:extLst>
        </xdr:cNvPr>
        <xdr:cNvSpPr/>
      </xdr:nvSpPr>
      <xdr:spPr>
        <a:xfrm>
          <a:off x="15125700" y="6191250"/>
          <a:ext cx="1804854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8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NO PLACTICABLE</a:t>
          </a:r>
        </a:p>
      </xdr:txBody>
    </xdr:sp>
    <xdr:clientData/>
  </xdr:oneCellAnchor>
  <xdr:oneCellAnchor>
    <xdr:from>
      <xdr:col>51</xdr:col>
      <xdr:colOff>314325</xdr:colOff>
      <xdr:row>20</xdr:row>
      <xdr:rowOff>142875</xdr:rowOff>
    </xdr:from>
    <xdr:ext cx="1468544" cy="374141"/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9FB1CDD0-5799-491F-9C5B-7DE0C3740E18}"/>
            </a:ext>
          </a:extLst>
        </xdr:cNvPr>
        <xdr:cNvSpPr/>
      </xdr:nvSpPr>
      <xdr:spPr>
        <a:xfrm>
          <a:off x="15087600" y="3752850"/>
          <a:ext cx="1468544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8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NO PLASTICO</a:t>
          </a:r>
        </a:p>
      </xdr:txBody>
    </xdr:sp>
    <xdr:clientData/>
  </xdr:oneCellAnchor>
  <xdr:oneCellAnchor>
    <xdr:from>
      <xdr:col>51</xdr:col>
      <xdr:colOff>142875</xdr:colOff>
      <xdr:row>22</xdr:row>
      <xdr:rowOff>114300</xdr:rowOff>
    </xdr:from>
    <xdr:ext cx="1804854" cy="374141"/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F1E7F346-B18F-4401-B2C2-7F875833CDC9}"/>
            </a:ext>
          </a:extLst>
        </xdr:cNvPr>
        <xdr:cNvSpPr/>
      </xdr:nvSpPr>
      <xdr:spPr>
        <a:xfrm>
          <a:off x="14916150" y="4124325"/>
          <a:ext cx="1804854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8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NO PLACTICABLE</a:t>
          </a:r>
        </a:p>
      </xdr:txBody>
    </xdr:sp>
    <xdr:clientData/>
  </xdr:oneCellAnchor>
  <xdr:twoCellAnchor editAs="oneCell">
    <xdr:from>
      <xdr:col>8</xdr:col>
      <xdr:colOff>38099</xdr:colOff>
      <xdr:row>1</xdr:row>
      <xdr:rowOff>209550</xdr:rowOff>
    </xdr:from>
    <xdr:to>
      <xdr:col>17</xdr:col>
      <xdr:colOff>133349</xdr:colOff>
      <xdr:row>4</xdr:row>
      <xdr:rowOff>85725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F8037EB6-D03E-44B6-B631-431DA0FD9492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832" t="28837" r="6626" b="32521"/>
        <a:stretch/>
      </xdr:blipFill>
      <xdr:spPr>
        <a:xfrm>
          <a:off x="6410324" y="295275"/>
          <a:ext cx="1495425" cy="695325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0.51098</cdr:x>
      <cdr:y>0.49058</cdr:y>
    </cdr:from>
    <cdr:to>
      <cdr:x>0.52611</cdr:x>
      <cdr:y>0.55096</cdr:y>
    </cdr:to>
    <cdr:sp macro="" textlink="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A4F06955-9B90-4701-965E-D3D4C789FAD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52229" y="1376975"/>
          <a:ext cx="60679" cy="1690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32</xdr:row>
      <xdr:rowOff>47625</xdr:rowOff>
    </xdr:from>
    <xdr:to>
      <xdr:col>22</xdr:col>
      <xdr:colOff>104775</xdr:colOff>
      <xdr:row>48</xdr:row>
      <xdr:rowOff>76200</xdr:rowOff>
    </xdr:to>
    <xdr:graphicFrame macro="">
      <xdr:nvGraphicFramePr>
        <xdr:cNvPr id="2" name="CLAS">
          <a:extLst>
            <a:ext uri="{FF2B5EF4-FFF2-40B4-BE49-F238E27FC236}">
              <a16:creationId xmlns:a16="http://schemas.microsoft.com/office/drawing/2014/main" id="{B004D049-FFF6-4776-8D3F-E27B8F2C6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10</xdr:row>
      <xdr:rowOff>66675</xdr:rowOff>
    </xdr:from>
    <xdr:to>
      <xdr:col>22</xdr:col>
      <xdr:colOff>95250</xdr:colOff>
      <xdr:row>24</xdr:row>
      <xdr:rowOff>76200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2B41CDDA-BF0A-4B54-98D4-FCABB1285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34</xdr:col>
      <xdr:colOff>533400</xdr:colOff>
      <xdr:row>45</xdr:row>
      <xdr:rowOff>38100</xdr:rowOff>
    </xdr:from>
    <xdr:ext cx="2520003" cy="811715"/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7FEE015A-3E2E-41E3-B6F9-36986595A4C8}"/>
            </a:ext>
          </a:extLst>
        </xdr:cNvPr>
        <xdr:cNvSpPr/>
      </xdr:nvSpPr>
      <xdr:spPr>
        <a:xfrm>
          <a:off x="7915275" y="8401050"/>
          <a:ext cx="2520003" cy="81171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NO PLASTICO </a:t>
          </a:r>
        </a:p>
        <a:p>
          <a:pPr algn="ctr"/>
          <a:r>
            <a:rPr lang="es-E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NO PRACTICABLE</a:t>
          </a:r>
        </a:p>
      </xdr:txBody>
    </xdr:sp>
    <xdr:clientData/>
  </xdr:oneCellAnchor>
  <xdr:twoCellAnchor editAs="oneCell">
    <xdr:from>
      <xdr:col>0</xdr:col>
      <xdr:colOff>0</xdr:colOff>
      <xdr:row>57</xdr:row>
      <xdr:rowOff>104775</xdr:rowOff>
    </xdr:from>
    <xdr:to>
      <xdr:col>34</xdr:col>
      <xdr:colOff>381001</xdr:colOff>
      <xdr:row>82</xdr:row>
      <xdr:rowOff>84128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53105CF-0D53-4B29-9CED-A09B8D3C2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0" y="10458450"/>
          <a:ext cx="7762876" cy="4503728"/>
        </a:xfrm>
        <a:prstGeom prst="rect">
          <a:avLst/>
        </a:prstGeom>
      </xdr:spPr>
    </xdr:pic>
    <xdr:clientData/>
  </xdr:twoCellAnchor>
  <xdr:twoCellAnchor editAs="oneCell">
    <xdr:from>
      <xdr:col>34</xdr:col>
      <xdr:colOff>428625</xdr:colOff>
      <xdr:row>41</xdr:row>
      <xdr:rowOff>28575</xdr:rowOff>
    </xdr:from>
    <xdr:to>
      <xdr:col>61</xdr:col>
      <xdr:colOff>143655</xdr:colOff>
      <xdr:row>64</xdr:row>
      <xdr:rowOff>171994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A3BDFFA-BA28-4F32-B171-DEB2AD157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10500" y="7896225"/>
          <a:ext cx="5591955" cy="389626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</xdr:row>
      <xdr:rowOff>238125</xdr:rowOff>
    </xdr:from>
    <xdr:to>
      <xdr:col>7</xdr:col>
      <xdr:colOff>153262</xdr:colOff>
      <xdr:row>2</xdr:row>
      <xdr:rowOff>398071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BB10694-B13C-4EF8-9E06-AF3936DFEE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435" t="28887" r="6435" b="32773"/>
        <a:stretch/>
      </xdr:blipFill>
      <xdr:spPr>
        <a:xfrm>
          <a:off x="28575" y="314325"/>
          <a:ext cx="1639162" cy="7409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13447</xdr:colOff>
      <xdr:row>27</xdr:row>
      <xdr:rowOff>25774</xdr:rowOff>
    </xdr:from>
    <xdr:to>
      <xdr:col>22</xdr:col>
      <xdr:colOff>164166</xdr:colOff>
      <xdr:row>48</xdr:row>
      <xdr:rowOff>25774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2E427-2AF2-40D6-9BEF-F33780D45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19049</xdr:colOff>
      <xdr:row>22</xdr:row>
      <xdr:rowOff>19050</xdr:rowOff>
    </xdr:from>
    <xdr:to>
      <xdr:col>56</xdr:col>
      <xdr:colOff>28575</xdr:colOff>
      <xdr:row>42</xdr:row>
      <xdr:rowOff>57150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1F4E011A-BBD3-47D7-83C4-1367AEE13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95250</xdr:colOff>
      <xdr:row>1</xdr:row>
      <xdr:rowOff>200025</xdr:rowOff>
    </xdr:from>
    <xdr:to>
      <xdr:col>8</xdr:col>
      <xdr:colOff>172312</xdr:colOff>
      <xdr:row>2</xdr:row>
      <xdr:rowOff>331396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B13396F-D874-49FF-AEC1-CF1EAF4A3D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435" t="28887" r="6435" b="32773"/>
        <a:stretch/>
      </xdr:blipFill>
      <xdr:spPr>
        <a:xfrm>
          <a:off x="95250" y="381000"/>
          <a:ext cx="1639162" cy="7409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69272</xdr:colOff>
      <xdr:row>1</xdr:row>
      <xdr:rowOff>159327</xdr:rowOff>
    </xdr:from>
    <xdr:to>
      <xdr:col>2</xdr:col>
      <xdr:colOff>755037</xdr:colOff>
      <xdr:row>5</xdr:row>
      <xdr:rowOff>68406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789BD24-185E-4308-B151-C7EE710333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rcRect l="9152" t="28837" r="8988" b="32521"/>
        <a:stretch/>
      </xdr:blipFill>
      <xdr:spPr>
        <a:xfrm>
          <a:off x="326447" y="359352"/>
          <a:ext cx="1485865" cy="6520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24</xdr:row>
      <xdr:rowOff>28575</xdr:rowOff>
    </xdr:from>
    <xdr:ext cx="2520003" cy="811715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A87E20EC-1F61-44B2-B725-0DEA3390237B}"/>
            </a:ext>
          </a:extLst>
        </xdr:cNvPr>
        <xdr:cNvSpPr/>
      </xdr:nvSpPr>
      <xdr:spPr>
        <a:xfrm>
          <a:off x="219075" y="4695825"/>
          <a:ext cx="2520003" cy="81171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NO PLASTICO </a:t>
          </a:r>
        </a:p>
        <a:p>
          <a:pPr algn="ctr"/>
          <a:r>
            <a:rPr lang="es-E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NO PRACTICABLE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197580</xdr:colOff>
      <xdr:row>29</xdr:row>
      <xdr:rowOff>124640</xdr:rowOff>
    </xdr:from>
    <xdr:to>
      <xdr:col>15</xdr:col>
      <xdr:colOff>834447</xdr:colOff>
      <xdr:row>59</xdr:row>
      <xdr:rowOff>113434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F458D58-A71C-4573-92B3-DC0F1C13C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400050</xdr:colOff>
      <xdr:row>1</xdr:row>
      <xdr:rowOff>47625</xdr:rowOff>
    </xdr:from>
    <xdr:to>
      <xdr:col>4</xdr:col>
      <xdr:colOff>232698</xdr:colOff>
      <xdr:row>3</xdr:row>
      <xdr:rowOff>133350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29BE23B-1B60-454D-A72F-1FB6BCB956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435" t="28887" r="6435" b="32773"/>
        <a:stretch/>
      </xdr:blipFill>
      <xdr:spPr>
        <a:xfrm>
          <a:off x="762000" y="247650"/>
          <a:ext cx="2128173" cy="9620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13447</xdr:colOff>
      <xdr:row>27</xdr:row>
      <xdr:rowOff>25774</xdr:rowOff>
    </xdr:from>
    <xdr:to>
      <xdr:col>22</xdr:col>
      <xdr:colOff>164166</xdr:colOff>
      <xdr:row>48</xdr:row>
      <xdr:rowOff>25774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D87E1-B686-4AC6-9392-9A7FB3347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19049</xdr:colOff>
      <xdr:row>22</xdr:row>
      <xdr:rowOff>19050</xdr:rowOff>
    </xdr:from>
    <xdr:to>
      <xdr:col>56</xdr:col>
      <xdr:colOff>28575</xdr:colOff>
      <xdr:row>42</xdr:row>
      <xdr:rowOff>57150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69CFDA6-EA8A-4968-8DFA-617280C73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95250</xdr:colOff>
      <xdr:row>1</xdr:row>
      <xdr:rowOff>200025</xdr:rowOff>
    </xdr:from>
    <xdr:to>
      <xdr:col>8</xdr:col>
      <xdr:colOff>172312</xdr:colOff>
      <xdr:row>2</xdr:row>
      <xdr:rowOff>331396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FB5AA38-6497-45F1-977A-55938D5A8A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435" t="28887" r="6435" b="32773"/>
        <a:stretch/>
      </xdr:blipFill>
      <xdr:spPr>
        <a:xfrm>
          <a:off x="95250" y="375285"/>
          <a:ext cx="1662022" cy="7409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noldo\c\Mis%20documentos\Chicas%202003\A.%20Chica\INFORMES%20LABORATORIO\MEZCLA%20ASFALTICA%20CAROLINA%20-%20CIUDAD%20BARRIOS.xls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microsoft.com/office/2019/04/relationships/externalLinkLongPath" Target="ESTUDIO%20DE%20SUELOS%20Y%20CONCRETOS%20LAB.%202023/ENSAYOS%20E%20INFORMES/ES-2023-0110A%20DISE&#209;O%20ARAMBALA%20EDOCI%2024-04-23/ENSAYO%20ES-2023-0110A%20DISE&#209;O%20ARAMBALA%20EDOCI%2024-04-23.xlsx?0C849AE9" TargetMode="External"/><Relationship Id="rId1" Type="http://schemas.openxmlformats.org/officeDocument/2006/relationships/externalLinkPath" Target="file:///\\0C849AE9\ENSAYO%20ES-2023-0110A%20DISE&#209;O%20ARAMBALA%20EDOCI%2024-04-2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ymorejon_univo_edu_sv/Documents/Escritorio/ESTUDIO%20DE%20SUELOS%20Y%20CONCRETOS%20LAB.%202021/ENSAYOS%20%20LABOR%202021/ENSAYO%20ES-2021-0101%20CARACTERIZACION%20PROBLOCK%2015-10-2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ORMATOS%20ENSAYOS%20(DISE&#209;O%20LODOCRETO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UNIVO\OneDrive%20-%20Universidad%20de%20Oriente\Escritorio\DISE&#209;O%20DE%20BACHADASCCLELE-Hoja%20Patron-MRB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Lab_Suelos/Desktop/formatos%20de%20laboratorio/FORMATOS%20CLASIFICACI&#211;N....%20-%20copia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/personal/francisco_granados_univo_edu_sv/Documents/Escritorio/ESTUDIO%20DE%20SUELOS%20Y%20CONCRETOS%20LAB.%202023/ENSAYOS%20E%20INFORMES/ES-INFIL-2023-0252%20LOT%20JARDINES%20DE%20MIRAFLORES%2011.12.2023/ES-2023-0252%20INF%20LOT%20JARDINES%20DE%20MIRAFLORES%20S1.xlsx?84ADF93C" TargetMode="External"/><Relationship Id="rId1" Type="http://schemas.openxmlformats.org/officeDocument/2006/relationships/externalLinkPath" Target="file:///\\84ADF93C\ES-2023-0252%20INF%20LOT%20JARDINES%20DE%20MIRAFLORES%20S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paca\documentos%20c\DVD\01\OFELIA\DOCUMENTOS%20OFELIA%202009\CBR%20Y%20CLASIFICACION%20SAN%20LORENZO\1A%2003%20Clasificaciones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ab_Suelos\Desktop\LABORATORIO%20DE%20SUELOS%202016\ENSAYOS%20DE%20BANCO%20JESUS%20GARCI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ORMATOS%20ENSAYOS%20(CLASIFICACI&#211;N%20Y%20CARACTERIZACI&#211;N%20DE%20SUELOS)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microsoft.com/office/2019/04/relationships/externalLinkLongPath" Target="/personal/francisco_granados_univo_edu_sv/Documents/Escritorio/ESTUDIO%20DE%20SUELOS%20Y%20CONCRETOS%20LAB.%202023/ENSAYOS%20E%20INFORMES/ES-2023-0159%20PCA%20TECOLUCA%2015-06-23/ENSAYO%20ES-2023-0159%20PCA%201.2%2015-06-23.xlsx?AFC2281F" TargetMode="External"/><Relationship Id="rId1" Type="http://schemas.openxmlformats.org/officeDocument/2006/relationships/externalLinkPath" Target="file:///\\AFC2281F\ENSAYO%20ES-2023-0159%20PCA%201.2%2015-06-2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UNIVO\OneDrive%20-%20Universidad%20de%20Oriente\Escritorio\ESTUDIO%20DE%20SUELOS%20Y%20CONCRETOS%20LAB.%202022\ENSAYOS%20%20LABOR%202022\ENSAYO%20ES-2022-0324%20DISE&#209;O%20SC%20PROSERCON%2022-11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VACIOS, 2+580-2+620"/>
      <sheetName val="MARSHALL, 2+580-2+620"/>
      <sheetName val="GRAN., 2+580-2+620"/>
      <sheetName val="MARSHALL, 3+140-3+180"/>
      <sheetName val="GRAN., 3+140-3+180 "/>
      <sheetName val="FACTOR"/>
      <sheetName val="% VACIOS, 3+140-3+180"/>
      <sheetName val="MARSHALL, 5+220-5+300, L.I."/>
      <sheetName val="GRAN., 5+220-5+300, L.I."/>
      <sheetName val="%VACIOS, 5+220-5+300, L.I."/>
      <sheetName val="MARSHALL, 4+700-4+770 L.D."/>
      <sheetName val="GRAN., 4+700-4+770 L.D."/>
      <sheetName val="%VACIOS, 4+700 - 4+770, L.D."/>
      <sheetName val="MARSHALL, 3+040-3+100 L.D."/>
      <sheetName val="GRAN., 3+040-3+100 L.D."/>
      <sheetName val="%VACIOS, 3+040 - 3+100 L.D."/>
      <sheetName val="MARSHALL, 4+050-4+120 L.I."/>
      <sheetName val="GRAN., 4+050-4+120 L.I."/>
      <sheetName val="%VACIOS, 4+050 - 4+120 L.I."/>
      <sheetName val="Hoja1"/>
    </sheetNames>
    <sheetDataSet>
      <sheetData sheetId="0"/>
      <sheetData sheetId="1"/>
      <sheetData sheetId="2"/>
      <sheetData sheetId="3"/>
      <sheetData sheetId="4"/>
      <sheetData sheetId="5">
        <row r="5">
          <cell r="B5">
            <v>2.5</v>
          </cell>
          <cell r="C5">
            <v>5.56</v>
          </cell>
        </row>
        <row r="6">
          <cell r="B6">
            <v>2.6</v>
          </cell>
          <cell r="C6">
            <v>5.34</v>
          </cell>
        </row>
        <row r="7">
          <cell r="B7">
            <v>2.7</v>
          </cell>
          <cell r="C7">
            <v>4.97</v>
          </cell>
        </row>
        <row r="8">
          <cell r="B8">
            <v>2.8</v>
          </cell>
          <cell r="C8">
            <v>4.7300000000000004</v>
          </cell>
        </row>
        <row r="9">
          <cell r="B9">
            <v>2.9</v>
          </cell>
          <cell r="C9">
            <v>4.47</v>
          </cell>
        </row>
        <row r="10">
          <cell r="B10">
            <v>3</v>
          </cell>
          <cell r="C10">
            <v>4.17</v>
          </cell>
        </row>
        <row r="11">
          <cell r="B11">
            <v>3.1</v>
          </cell>
          <cell r="C11">
            <v>4.01</v>
          </cell>
        </row>
        <row r="12">
          <cell r="B12">
            <v>3.2</v>
          </cell>
          <cell r="C12">
            <v>3.81</v>
          </cell>
        </row>
        <row r="13">
          <cell r="B13">
            <v>3.3</v>
          </cell>
          <cell r="C13">
            <v>3.63</v>
          </cell>
        </row>
        <row r="14">
          <cell r="B14">
            <v>3.4</v>
          </cell>
          <cell r="C14">
            <v>3.55</v>
          </cell>
        </row>
        <row r="15">
          <cell r="B15">
            <v>3.5</v>
          </cell>
          <cell r="C15">
            <v>3.31</v>
          </cell>
        </row>
        <row r="16">
          <cell r="B16">
            <v>3.6</v>
          </cell>
          <cell r="C16">
            <v>3.12</v>
          </cell>
        </row>
        <row r="17">
          <cell r="B17">
            <v>3.7</v>
          </cell>
          <cell r="C17">
            <v>2.95</v>
          </cell>
        </row>
        <row r="18">
          <cell r="B18">
            <v>3.8</v>
          </cell>
          <cell r="C18">
            <v>2.78</v>
          </cell>
        </row>
        <row r="19">
          <cell r="B19">
            <v>3.9</v>
          </cell>
          <cell r="C19">
            <v>2.62</v>
          </cell>
        </row>
        <row r="20">
          <cell r="B20">
            <v>4</v>
          </cell>
          <cell r="C20">
            <v>2.46</v>
          </cell>
        </row>
        <row r="21">
          <cell r="B21">
            <v>4.0999999999999996</v>
          </cell>
          <cell r="C21">
            <v>2.27</v>
          </cell>
        </row>
        <row r="22">
          <cell r="B22">
            <v>4.1999999999999904</v>
          </cell>
          <cell r="C22">
            <v>2.1800000000000002</v>
          </cell>
        </row>
        <row r="23">
          <cell r="B23">
            <v>4.2999999999999901</v>
          </cell>
          <cell r="C23">
            <v>2.0699999999999998</v>
          </cell>
        </row>
        <row r="24">
          <cell r="B24">
            <v>4.3999999999999897</v>
          </cell>
          <cell r="C24">
            <v>1.97</v>
          </cell>
        </row>
        <row r="25">
          <cell r="B25">
            <v>4.4999999999999902</v>
          </cell>
          <cell r="C25">
            <v>1.87</v>
          </cell>
        </row>
        <row r="26">
          <cell r="B26">
            <v>4.5999999999999899</v>
          </cell>
          <cell r="C26">
            <v>1.79</v>
          </cell>
        </row>
        <row r="27">
          <cell r="B27">
            <v>4.6999999999999904</v>
          </cell>
          <cell r="C27">
            <v>1.72</v>
          </cell>
        </row>
        <row r="28">
          <cell r="B28">
            <v>4.7999999999999901</v>
          </cell>
          <cell r="C28">
            <v>1.64</v>
          </cell>
        </row>
        <row r="29">
          <cell r="B29">
            <v>4.8999999999999897</v>
          </cell>
          <cell r="C29">
            <v>1.57</v>
          </cell>
        </row>
        <row r="30">
          <cell r="B30">
            <v>4.9999999999999902</v>
          </cell>
          <cell r="C30">
            <v>1.52</v>
          </cell>
        </row>
        <row r="31">
          <cell r="B31">
            <v>5.0999999999999899</v>
          </cell>
          <cell r="C31">
            <v>1.46</v>
          </cell>
        </row>
        <row r="32">
          <cell r="B32">
            <v>5.1999999999999904</v>
          </cell>
          <cell r="C32">
            <v>1.39</v>
          </cell>
        </row>
        <row r="33">
          <cell r="B33">
            <v>5.2999999999999901</v>
          </cell>
          <cell r="C33">
            <v>1.36</v>
          </cell>
        </row>
        <row r="34">
          <cell r="B34">
            <v>5.3999999999999897</v>
          </cell>
          <cell r="C34">
            <v>1.32</v>
          </cell>
        </row>
        <row r="35">
          <cell r="B35">
            <v>5.4999999999999902</v>
          </cell>
          <cell r="C35">
            <v>1.28</v>
          </cell>
        </row>
        <row r="36">
          <cell r="B36">
            <v>5.5999999999999899</v>
          </cell>
          <cell r="C36">
            <v>1.23</v>
          </cell>
        </row>
        <row r="37">
          <cell r="B37">
            <v>5.6999999999999904</v>
          </cell>
          <cell r="C37">
            <v>1.19</v>
          </cell>
        </row>
        <row r="38">
          <cell r="B38">
            <v>5.7999999999999901</v>
          </cell>
          <cell r="C38">
            <v>1.1599999999999999</v>
          </cell>
        </row>
        <row r="39">
          <cell r="B39">
            <v>5.8999999999999897</v>
          </cell>
          <cell r="C39">
            <v>1.1000000000000001</v>
          </cell>
        </row>
        <row r="40">
          <cell r="B40">
            <v>6</v>
          </cell>
          <cell r="C40">
            <v>1.0900000000000001</v>
          </cell>
        </row>
        <row r="41">
          <cell r="B41">
            <v>6.0999999999999899</v>
          </cell>
          <cell r="C41">
            <v>1.07</v>
          </cell>
        </row>
        <row r="42">
          <cell r="B42">
            <v>6.1999999999999904</v>
          </cell>
          <cell r="C42">
            <v>1.04</v>
          </cell>
        </row>
        <row r="43">
          <cell r="B43">
            <v>6.2999999999999901</v>
          </cell>
          <cell r="C43">
            <v>1.01</v>
          </cell>
        </row>
        <row r="44">
          <cell r="B44">
            <v>6.3999999999999897</v>
          </cell>
          <cell r="C44">
            <v>1</v>
          </cell>
        </row>
        <row r="45">
          <cell r="B45">
            <v>6.4999999999999902</v>
          </cell>
          <cell r="C45">
            <v>0.96</v>
          </cell>
        </row>
        <row r="46">
          <cell r="B46">
            <v>6.5999999999999899</v>
          </cell>
          <cell r="C46">
            <v>0.94</v>
          </cell>
        </row>
        <row r="47">
          <cell r="B47">
            <v>6.6999999999999904</v>
          </cell>
          <cell r="C47">
            <v>0.92</v>
          </cell>
        </row>
        <row r="48">
          <cell r="B48">
            <v>6.7999999999999901</v>
          </cell>
          <cell r="C48">
            <v>0.9</v>
          </cell>
        </row>
        <row r="49">
          <cell r="B49">
            <v>6.8999999999999897</v>
          </cell>
          <cell r="C49">
            <v>0.87</v>
          </cell>
        </row>
        <row r="50">
          <cell r="B50">
            <v>6.9999999999999796</v>
          </cell>
          <cell r="C50">
            <v>0.86</v>
          </cell>
        </row>
        <row r="51">
          <cell r="B51">
            <v>7.0999999999999801</v>
          </cell>
          <cell r="C51">
            <v>0.84</v>
          </cell>
        </row>
        <row r="52">
          <cell r="B52">
            <v>7.1999999999999797</v>
          </cell>
          <cell r="C52">
            <v>0.82</v>
          </cell>
        </row>
        <row r="53">
          <cell r="B53">
            <v>7.2999999999999803</v>
          </cell>
          <cell r="C53">
            <v>0.81</v>
          </cell>
        </row>
        <row r="54">
          <cell r="B54">
            <v>7.3999999999999799</v>
          </cell>
          <cell r="C54">
            <v>0.79</v>
          </cell>
        </row>
        <row r="55">
          <cell r="B55">
            <v>7.4999999999999796</v>
          </cell>
          <cell r="C55">
            <v>0.77</v>
          </cell>
        </row>
        <row r="56">
          <cell r="B56">
            <v>7.5999999999999801</v>
          </cell>
          <cell r="C56">
            <v>0.76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ULOMETRÍA GRAVA"/>
      <sheetName val="GRAV ESP Y ABS GRAVA "/>
      <sheetName val="PESO VLM GRAVA"/>
      <sheetName val="GRANULOMETRIA DE ARENA "/>
      <sheetName val="GRAV ESP ARENA  "/>
      <sheetName val="PESO VLM ARENA "/>
      <sheetName val="DISEÑO CONCRETO 210"/>
      <sheetName val="DISEÑO CON. 210 25-04"/>
      <sheetName val="GRAF. DISEÑO  CONCRETO 210 "/>
      <sheetName val="GRANULOMETRIA DE ARENA  (2)"/>
      <sheetName val="GRAV ESP ARENA   (2)"/>
      <sheetName val="PESO VLM ARENA  (2)"/>
      <sheetName val="DISEÑO CONCRETO 210 (2)"/>
      <sheetName val="DISEÑO CON. 210 9-05 (2)"/>
      <sheetName val="GRAF. DISEÑO  CONCRETO 210  (2)"/>
      <sheetName val="Morteros - Revision Volumetrica"/>
      <sheetName val="RESISTENCIA DE MORTERO"/>
      <sheetName val="Grout - Revision Volumetrica"/>
      <sheetName val="DISEÑO CONCRETO 180"/>
      <sheetName val="DISEÑO CIL 180 26-04"/>
      <sheetName val="GRAF. DISEÑO  CONCRETO 180"/>
      <sheetName val="Granulometría"/>
      <sheetName val="LIMITES"/>
      <sheetName val="Clasificación"/>
      <sheetName val="Proctor "/>
      <sheetName val="LIMITES (3)"/>
      <sheetName val="CUADRO RESUMEN DE RESULTADOS"/>
      <sheetName val="GRAV ESP MAT SITU"/>
      <sheetName val="DATOS DE DISEÑO LODOCRETO"/>
      <sheetName val="RESULTADOS DE LABORATORIO"/>
      <sheetName val="RESIST. DISEÑO LODOCRETO"/>
      <sheetName val="RESIST. DE LODOCRETO"/>
      <sheetName val="Granulometría (2)"/>
      <sheetName val="LIMITES (2)"/>
      <sheetName val="Clasificación (2)"/>
      <sheetName val="Proctor  (2)"/>
      <sheetName val="CUADRO RESUMEN DE RESULTADO (2)"/>
      <sheetName val="GRAV ESP MAT SITU (2)"/>
      <sheetName val="DATOS DE DISEÑO LODOCRETO (2)"/>
      <sheetName val="RESULTADOS DE LABORATORIO (2)"/>
      <sheetName val="DISEÑO DE LODOCRETO (2)"/>
      <sheetName val="SC"/>
      <sheetName val="LIMITES (4)"/>
      <sheetName val="LIMITES (CON CEMENTO)"/>
      <sheetName val="DISEÑO CONCRETO 280 "/>
      <sheetName val="DISEÑO CONCRETO 210 (1)"/>
      <sheetName val="CIL. DISEÑO DE CONCRETO 210"/>
      <sheetName val="GRAF. CILINDROS DE CONCRETO 210"/>
      <sheetName val="RESISTENCIA DE grout"/>
      <sheetName val="DISEÑO CONCRETO 140"/>
      <sheetName val="Hoja2"/>
      <sheetName val="GRAV ESP Y ABS GRAVA sinai (2)"/>
      <sheetName val="Hoja1"/>
      <sheetName val="GRAV ESP ARENA  SINAI (2)"/>
    </sheetNames>
    <sheetDataSet>
      <sheetData sheetId="0"/>
      <sheetData sheetId="1"/>
      <sheetData sheetId="2"/>
      <sheetData sheetId="3"/>
      <sheetData sheetId="4"/>
      <sheetData sheetId="5"/>
      <sheetData sheetId="6">
        <row r="17">
          <cell r="I17">
            <v>2.9129999999999998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">
          <cell r="M8" t="str">
            <v>YULISA GÁLVEZ</v>
          </cell>
        </row>
        <row r="54">
          <cell r="R54" t="str">
            <v>ING FRANCISCO GRANADOS</v>
          </cell>
        </row>
        <row r="55">
          <cell r="A55" t="str">
            <v xml:space="preserve">Tecnico de Laboratorio de suelos y Materiales. </v>
          </cell>
          <cell r="R55" t="str">
            <v xml:space="preserve">Jefe Técnico de Laboratorio de suelos y Materiales. 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3">
          <cell r="F3" t="str">
            <v xml:space="preserve">ENSAYOS  DE  RESISTENCIA  DE  CILINDROS  DE  LODOCRETO [ASTM D-4832]      </v>
          </cell>
        </row>
      </sheetData>
      <sheetData sheetId="41"/>
      <sheetData sheetId="42"/>
      <sheetData sheetId="43">
        <row r="52">
          <cell r="AA52" t="str">
            <v>ING FRANCISCO GRANADOS</v>
          </cell>
        </row>
        <row r="53">
          <cell r="AA53" t="str">
            <v xml:space="preserve">Jefe Técnico de Laboratorio de suelos y Materiales. 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VA SM N. 57 HOLCIM"/>
      <sheetName val="GRANULOMETRIA DE CASCAJO VOLCAN"/>
      <sheetName val="GRAV ESP CASCAJO VOLCANICO"/>
      <sheetName val="(PESO VLM CASCAJO VOLCANICO"/>
      <sheetName val="GRANULOMETRIA LOLOTIQUE"/>
      <sheetName val="GRAV ESP LOLOTIQUE"/>
      <sheetName val="(PESO VLM LOLOTIQUE"/>
      <sheetName val="GRANULOMETRIA MAT. SELECTO"/>
      <sheetName val="GRAV ESP MAT SELECTO"/>
      <sheetName val="(PESO VLM MAT. SELECTO"/>
      <sheetName val="GRANULOMETRIA chispa"/>
      <sheetName val="GRAV ESP chispa"/>
      <sheetName val="(PESO VLM chispa"/>
      <sheetName val="GRANULOMETRIA ARENA `PRO-BLOCK"/>
      <sheetName val="GRAV ESP ARENA PRO-BLOCK"/>
      <sheetName val="(PESO VLM ARENA PRO-BLOCK"/>
    </sheetNames>
    <sheetDataSet>
      <sheetData sheetId="0"/>
      <sheetData sheetId="1">
        <row r="67">
          <cell r="B67" t="str">
            <v xml:space="preserve">Tecnico de Laboratorio de suelos y Materiales. </v>
          </cell>
          <cell r="C67"/>
          <cell r="D67"/>
          <cell r="E67"/>
          <cell r="F67"/>
          <cell r="G67"/>
          <cell r="H67"/>
          <cell r="I67"/>
          <cell r="J67"/>
          <cell r="K67"/>
          <cell r="L67"/>
          <cell r="M67"/>
          <cell r="N67"/>
          <cell r="O67"/>
          <cell r="P67"/>
          <cell r="Q67"/>
          <cell r="R67"/>
          <cell r="S67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ulometría"/>
      <sheetName val="LIMITES"/>
      <sheetName val="Clasificación"/>
      <sheetName val="Proctor"/>
      <sheetName val="Proctor con cemento"/>
      <sheetName val="CUADRO RESUMEN DE RESULTADO"/>
      <sheetName val="DATOS DE DISEÑO LODOCRETO (2)"/>
      <sheetName val="RESULTADOS DE LABORATORIO (2)"/>
      <sheetName val="DISEÑO DE LODOCRETO (2)"/>
      <sheetName val="Granulometría (2)"/>
      <sheetName val="LIMITES (2)"/>
      <sheetName val="Clasificación (2)"/>
      <sheetName val="Proctor (2)"/>
      <sheetName val="CUADRO RESUMEN DE RESULTADO (2)"/>
      <sheetName val="Granulometría (3)"/>
      <sheetName val="LIMITES (3)"/>
      <sheetName val="Clasificación (3)"/>
      <sheetName val="Proctor (3)"/>
      <sheetName val="CUADRO RESUMEN DE RESULTADO (3)"/>
      <sheetName val="Granulometría (4)"/>
      <sheetName val="LIMITES (4)"/>
      <sheetName val="Clasificación (4)"/>
      <sheetName val="Proctor (4)"/>
      <sheetName val="CUADRO RESUMEN DE RESULTADO (4)"/>
      <sheetName val="Granulometría (5)"/>
      <sheetName val="LIMITES (5)"/>
      <sheetName val="Clasificación (5)"/>
      <sheetName val="Proctor (5)"/>
      <sheetName val="CUADRO RESUMEN DE RESULTADO (5)"/>
      <sheetName val="SC"/>
      <sheetName val="GRANULOMETRÍA GRAVA"/>
      <sheetName val="GRAV ESP Y ABS GRAVA "/>
      <sheetName val="PESO VLM GRAVA"/>
      <sheetName val="GRANULOMETRIA DE ARENA "/>
      <sheetName val="GRAV ESP ARENA  "/>
      <sheetName val="PESO VLM ARENA "/>
      <sheetName val="DISEÑO CONCRETO 210"/>
      <sheetName val="DISEÑO CON. 210 25-04"/>
      <sheetName val="GRAF. DISEÑO  CONCRETO 210 "/>
      <sheetName val="GRANULOMETRIA DE ARENA  (2)"/>
      <sheetName val="GRAV ESP ARENA   (2)"/>
      <sheetName val="PESO VLM ARENA  (2)"/>
      <sheetName val="DISEÑO CONCRETO 210 (2)"/>
      <sheetName val="DISEÑO CON. 210 9-05 (2)"/>
      <sheetName val="GRAF. DISEÑO  CONCRETO 210  (2)"/>
      <sheetName val="Morteros - Revision Volumetrica"/>
      <sheetName val="RESISTENCIA DE MORTERO"/>
      <sheetName val="Grout - Revision Volumetrica"/>
      <sheetName val="DISEÑO CONCRETO 180"/>
      <sheetName val="DISEÑO CIL 180 26-04"/>
      <sheetName val="GRAF. DISEÑO  CONCRETO 180"/>
      <sheetName val="LIMITES (CON CEMENTO)"/>
      <sheetName val="DISEÑO CONCRETO 280 "/>
      <sheetName val="DISEÑO CONCRETO 210 (1)"/>
      <sheetName val="CIL. DISEÑO DE CONCRETO 210"/>
      <sheetName val="GRAF. CILINDROS DE CONCRETO 210"/>
      <sheetName val="RESISTENCIA DE grout"/>
      <sheetName val="DISEÑO CONCRETO 140"/>
      <sheetName val="Hoja2"/>
      <sheetName val="GRAV ESP Y ABS GRAVA sinai (2)"/>
      <sheetName val="Hoja1"/>
      <sheetName val="GRAV ESP ARENA  SINAI (2)"/>
    </sheetNames>
    <sheetDataSet>
      <sheetData sheetId="0" refreshError="1"/>
      <sheetData sheetId="1" refreshError="1"/>
      <sheetData sheetId="2">
        <row r="40">
          <cell r="Z40" t="str">
            <v>Arena limosa con grava, finos de baja plasticidad, color café claro.</v>
          </cell>
        </row>
      </sheetData>
      <sheetData sheetId="3"/>
      <sheetData sheetId="4" refreshError="1"/>
      <sheetData sheetId="5" refreshError="1"/>
      <sheetData sheetId="6"/>
      <sheetData sheetId="7"/>
      <sheetData sheetId="8">
        <row r="3">
          <cell r="F3" t="str">
            <v xml:space="preserve">ENSAYOS  DE  RESISTENCIA  DE  CILINDROS  DE  LODOCRETO [ASTM D-4832]      </v>
          </cell>
        </row>
        <row r="12">
          <cell r="Q12">
            <v>0</v>
          </cell>
          <cell r="R12">
            <v>0</v>
          </cell>
        </row>
        <row r="13">
          <cell r="Q13">
            <v>7</v>
          </cell>
          <cell r="R13">
            <v>31.966034704831849</v>
          </cell>
        </row>
        <row r="30">
          <cell r="D30">
            <v>0</v>
          </cell>
          <cell r="E30">
            <v>7</v>
          </cell>
        </row>
        <row r="31">
          <cell r="D31">
            <v>27</v>
          </cell>
          <cell r="E31">
            <v>7</v>
          </cell>
        </row>
        <row r="32">
          <cell r="D32">
            <v>27</v>
          </cell>
          <cell r="E32">
            <v>0</v>
          </cell>
        </row>
        <row r="33">
          <cell r="D33">
            <v>27</v>
          </cell>
          <cell r="E33">
            <v>7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 de DISEÑO"/>
      <sheetName val="HOJA DE LABORATORIO"/>
      <sheetName val="DATOS DE DISEÑO"/>
      <sheetName val="RESULTADOS DE LABORATORIO"/>
    </sheetNames>
    <sheetDataSet>
      <sheetData sheetId="0"/>
      <sheetData sheetId="1"/>
      <sheetData sheetId="2">
        <row r="47">
          <cell r="F47">
            <v>1836.3247422680411</v>
          </cell>
        </row>
        <row r="50">
          <cell r="H50">
            <v>2.5000000000000001E-2</v>
          </cell>
        </row>
        <row r="54">
          <cell r="F54">
            <v>45.908118556701027</v>
          </cell>
        </row>
        <row r="61">
          <cell r="F61">
            <v>44.080829123711339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ZCLA ASFALTICA"/>
      <sheetName val="METODO MARSHALL"/>
      <sheetName val="Espesor-Factor"/>
      <sheetName val="DISEÑO DE MEZCLAS"/>
      <sheetName val="% VACIOS"/>
      <sheetName val="FACTOR"/>
    </sheetNames>
    <sheetDataSet>
      <sheetData sheetId="0" refreshError="1"/>
      <sheetData sheetId="1" refreshError="1"/>
      <sheetData sheetId="2" refreshError="1">
        <row r="5">
          <cell r="B5">
            <v>2.5</v>
          </cell>
          <cell r="C5">
            <v>5.56</v>
          </cell>
        </row>
        <row r="6">
          <cell r="B6">
            <v>2.6</v>
          </cell>
          <cell r="C6">
            <v>5.34</v>
          </cell>
        </row>
        <row r="7">
          <cell r="B7">
            <v>2.7</v>
          </cell>
          <cell r="C7">
            <v>4.97</v>
          </cell>
        </row>
        <row r="8">
          <cell r="B8">
            <v>2.8</v>
          </cell>
          <cell r="C8">
            <v>4.7300000000000004</v>
          </cell>
        </row>
        <row r="9">
          <cell r="B9">
            <v>2.9</v>
          </cell>
          <cell r="C9">
            <v>4.47</v>
          </cell>
        </row>
        <row r="10">
          <cell r="B10">
            <v>3</v>
          </cell>
          <cell r="C10">
            <v>4.17</v>
          </cell>
        </row>
        <row r="11">
          <cell r="B11">
            <v>3.1</v>
          </cell>
          <cell r="C11">
            <v>4.01</v>
          </cell>
        </row>
        <row r="12">
          <cell r="B12">
            <v>3.2</v>
          </cell>
          <cell r="C12">
            <v>3.81</v>
          </cell>
        </row>
        <row r="13">
          <cell r="B13">
            <v>3.3</v>
          </cell>
          <cell r="C13">
            <v>3.63</v>
          </cell>
        </row>
        <row r="14">
          <cell r="B14">
            <v>3.4</v>
          </cell>
          <cell r="C14">
            <v>3.55</v>
          </cell>
        </row>
        <row r="15">
          <cell r="B15">
            <v>3.5</v>
          </cell>
          <cell r="C15">
            <v>3.31</v>
          </cell>
        </row>
        <row r="16">
          <cell r="B16">
            <v>3.6</v>
          </cell>
          <cell r="C16">
            <v>3.12</v>
          </cell>
        </row>
        <row r="17">
          <cell r="B17">
            <v>3.7</v>
          </cell>
          <cell r="C17">
            <v>2.95</v>
          </cell>
        </row>
        <row r="18">
          <cell r="B18">
            <v>3.8</v>
          </cell>
          <cell r="C18">
            <v>2.78</v>
          </cell>
        </row>
        <row r="19">
          <cell r="B19">
            <v>3.9</v>
          </cell>
          <cell r="C19">
            <v>2.62</v>
          </cell>
        </row>
        <row r="20">
          <cell r="B20">
            <v>4</v>
          </cell>
          <cell r="C20">
            <v>2.46</v>
          </cell>
        </row>
        <row r="21">
          <cell r="B21">
            <v>4.0999999999999996</v>
          </cell>
          <cell r="C21">
            <v>2.27</v>
          </cell>
        </row>
        <row r="22">
          <cell r="B22">
            <v>4.1999999999999904</v>
          </cell>
          <cell r="C22">
            <v>2.1800000000000002</v>
          </cell>
        </row>
        <row r="23">
          <cell r="B23">
            <v>4.2999999999999901</v>
          </cell>
          <cell r="C23">
            <v>2.0699999999999998</v>
          </cell>
        </row>
        <row r="24">
          <cell r="B24">
            <v>4.3999999999999897</v>
          </cell>
          <cell r="C24">
            <v>1.97</v>
          </cell>
        </row>
        <row r="25">
          <cell r="B25">
            <v>4.4999999999999902</v>
          </cell>
          <cell r="C25">
            <v>1.87</v>
          </cell>
        </row>
        <row r="26">
          <cell r="B26">
            <v>4.5999999999999899</v>
          </cell>
          <cell r="C26">
            <v>1.79</v>
          </cell>
        </row>
        <row r="27">
          <cell r="B27">
            <v>4.6999999999999904</v>
          </cell>
          <cell r="C27">
            <v>1.72</v>
          </cell>
        </row>
        <row r="28">
          <cell r="B28">
            <v>4.7999999999999901</v>
          </cell>
          <cell r="C28">
            <v>1.64</v>
          </cell>
        </row>
        <row r="29">
          <cell r="B29">
            <v>4.8999999999999897</v>
          </cell>
          <cell r="C29">
            <v>1.57</v>
          </cell>
        </row>
        <row r="30">
          <cell r="B30">
            <v>4.9999999999999902</v>
          </cell>
          <cell r="C30">
            <v>1.52</v>
          </cell>
        </row>
        <row r="31">
          <cell r="B31">
            <v>5.0999999999999899</v>
          </cell>
          <cell r="C31">
            <v>1.46</v>
          </cell>
        </row>
        <row r="32">
          <cell r="B32">
            <v>5.1999999999999904</v>
          </cell>
          <cell r="C32">
            <v>1.39</v>
          </cell>
        </row>
        <row r="33">
          <cell r="B33">
            <v>5.2999999999999901</v>
          </cell>
          <cell r="C33">
            <v>1.36</v>
          </cell>
        </row>
        <row r="34">
          <cell r="B34">
            <v>5.3999999999999897</v>
          </cell>
          <cell r="C34">
            <v>1.32</v>
          </cell>
        </row>
        <row r="35">
          <cell r="B35">
            <v>5.4999999999999902</v>
          </cell>
          <cell r="C35">
            <v>1.28</v>
          </cell>
        </row>
        <row r="36">
          <cell r="B36">
            <v>5.5999999999999899</v>
          </cell>
          <cell r="C36">
            <v>1.23</v>
          </cell>
        </row>
        <row r="37">
          <cell r="B37">
            <v>5.6999999999999904</v>
          </cell>
          <cell r="C37">
            <v>1.19</v>
          </cell>
        </row>
        <row r="38">
          <cell r="B38">
            <v>5.7999999999999901</v>
          </cell>
          <cell r="C38">
            <v>1.1599999999999999</v>
          </cell>
        </row>
        <row r="39">
          <cell r="B39">
            <v>5.8999999999999897</v>
          </cell>
          <cell r="C39">
            <v>1.0900000000000001</v>
          </cell>
        </row>
        <row r="40">
          <cell r="B40">
            <v>5.9999999999999902</v>
          </cell>
          <cell r="C40">
            <v>1.1000000000000001</v>
          </cell>
        </row>
        <row r="41">
          <cell r="B41">
            <v>6.0999999999999899</v>
          </cell>
          <cell r="C41">
            <v>1.07</v>
          </cell>
        </row>
        <row r="42">
          <cell r="B42">
            <v>6.1999999999999904</v>
          </cell>
          <cell r="C42">
            <v>1.04</v>
          </cell>
        </row>
        <row r="43">
          <cell r="B43">
            <v>6.2999999999999901</v>
          </cell>
          <cell r="C43">
            <v>1.01</v>
          </cell>
        </row>
        <row r="44">
          <cell r="B44">
            <v>6.3999999999999897</v>
          </cell>
          <cell r="C44">
            <v>1</v>
          </cell>
        </row>
        <row r="45">
          <cell r="B45">
            <v>6.4999999999999902</v>
          </cell>
          <cell r="C45">
            <v>0.96</v>
          </cell>
        </row>
        <row r="46">
          <cell r="B46">
            <v>6.5999999999999899</v>
          </cell>
          <cell r="C46">
            <v>0.94</v>
          </cell>
        </row>
        <row r="47">
          <cell r="B47">
            <v>6.6999999999999904</v>
          </cell>
          <cell r="C47">
            <v>0.92</v>
          </cell>
        </row>
        <row r="48">
          <cell r="B48">
            <v>6.7999999999999901</v>
          </cell>
          <cell r="C48">
            <v>0.9</v>
          </cell>
        </row>
        <row r="49">
          <cell r="B49">
            <v>6.8999999999999897</v>
          </cell>
          <cell r="C49">
            <v>0.87</v>
          </cell>
        </row>
        <row r="50">
          <cell r="B50">
            <v>6.9999999999999796</v>
          </cell>
          <cell r="C50">
            <v>0.86</v>
          </cell>
        </row>
        <row r="51">
          <cell r="B51">
            <v>7.0999999999999801</v>
          </cell>
          <cell r="C51">
            <v>0.84</v>
          </cell>
        </row>
        <row r="52">
          <cell r="B52">
            <v>7.1999999999999797</v>
          </cell>
          <cell r="C52">
            <v>0.82</v>
          </cell>
        </row>
        <row r="53">
          <cell r="B53">
            <v>7.2999999999999803</v>
          </cell>
          <cell r="C53">
            <v>0.81</v>
          </cell>
        </row>
        <row r="54">
          <cell r="B54">
            <v>7.3999999999999799</v>
          </cell>
          <cell r="C54">
            <v>0.79</v>
          </cell>
        </row>
        <row r="55">
          <cell r="B55">
            <v>7.4999999999999796</v>
          </cell>
          <cell r="C55">
            <v>0.77</v>
          </cell>
        </row>
        <row r="56">
          <cell r="B56">
            <v>7.5999999999999801</v>
          </cell>
          <cell r="C56">
            <v>0.76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ificación"/>
      <sheetName val="Granulometría"/>
      <sheetName val="Limites"/>
      <sheetName val="Limites NP"/>
      <sheetName val="Mat Org-1"/>
      <sheetName val="Proctor"/>
      <sheetName val="C-127 "/>
      <sheetName val="CBR"/>
      <sheetName val="PARA PASAR A PESOS MAYO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ulometría"/>
      <sheetName val="LIMITES"/>
      <sheetName val="Clasificación"/>
      <sheetName val="INFILTRACION SUELO"/>
      <sheetName val="CUADRO RESUMEN DE RESULTADOS"/>
      <sheetName val="INFILTRACION deSUELO barrios"/>
      <sheetName val="INFILTRACION DEL SUELO"/>
      <sheetName val="densidad cono  y arena (6)"/>
      <sheetName val="densidad cono  y arena (7)"/>
      <sheetName val="densidad cono  y arena (8)"/>
      <sheetName val="densidad cono  y arena (9)"/>
      <sheetName val="densidad cono  y arena (10)"/>
      <sheetName val="densidad cono  y arena (11)"/>
      <sheetName val="densidad cono  y arena (12)"/>
      <sheetName val="densidad cono  y arena (13)"/>
      <sheetName val="densidad cono  y arena (14)"/>
      <sheetName val="densidad cono  y arena (15)"/>
      <sheetName val="densidad cono  y arena (16)"/>
      <sheetName val="densidad cono  y arena (17)"/>
      <sheetName val="densidad cono  y arena (18)"/>
      <sheetName val="densidad cono  y arena (19)"/>
      <sheetName val="densidad cono  y arena (20)"/>
      <sheetName val="densidad cono  y arena (21)"/>
      <sheetName val="densidad cono  y arena (22)"/>
      <sheetName val="densidad cono  y arena (23)"/>
      <sheetName val="densidad cono  y arena (24)"/>
      <sheetName val="densidad cono  y arena (25)"/>
      <sheetName val="densidad cono  y arena (26)"/>
      <sheetName val="densidad cono  y arena (27)"/>
      <sheetName val="densidad cono  y arena (28)"/>
      <sheetName val="densidad cono  y arena (29)"/>
    </sheetNames>
    <sheetDataSet>
      <sheetData sheetId="0">
        <row r="6">
          <cell r="M6" t="str">
            <v>INSITU</v>
          </cell>
        </row>
        <row r="8">
          <cell r="V8" t="str">
            <v>ING MICHELLE ZELAYA</v>
          </cell>
        </row>
        <row r="54">
          <cell r="R54" t="str">
            <v>ING FRANCISCO GRANADOS</v>
          </cell>
        </row>
        <row r="55">
          <cell r="A55" t="str">
            <v>Tecnico de laboratorio de suelos y materiales</v>
          </cell>
          <cell r="R55" t="str">
            <v>Jefe técnico de laboratorio de suelos y materiales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DATA"/>
      <sheetName val="LIM"/>
      <sheetName val="GRA"/>
      <sheetName val="RESUMEN"/>
      <sheetName val="GRA (01)"/>
      <sheetName val="LIM (01)"/>
      <sheetName val="CLA (01)"/>
      <sheetName val="CLA (60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6">
          <cell r="AL16">
            <v>0.04</v>
          </cell>
          <cell r="AM16">
            <v>0.04</v>
          </cell>
        </row>
        <row r="17">
          <cell r="AL17">
            <v>0.255</v>
          </cell>
          <cell r="AM17">
            <v>0.04</v>
          </cell>
        </row>
        <row r="18">
          <cell r="AL18">
            <v>0.3</v>
          </cell>
          <cell r="AM18">
            <v>7.2999999999999982E-2</v>
          </cell>
        </row>
        <row r="19">
          <cell r="AL19">
            <v>0.4</v>
          </cell>
          <cell r="AM19">
            <v>0.14599999999999999</v>
          </cell>
        </row>
        <row r="20">
          <cell r="AL20">
            <v>0.5</v>
          </cell>
          <cell r="AM20">
            <v>0.219</v>
          </cell>
        </row>
        <row r="21">
          <cell r="AL21">
            <v>0.6</v>
          </cell>
          <cell r="AM21">
            <v>0.29199999999999998</v>
          </cell>
        </row>
        <row r="22">
          <cell r="AL22">
            <v>0.7</v>
          </cell>
          <cell r="AM22">
            <v>0.36499999999999994</v>
          </cell>
        </row>
        <row r="23">
          <cell r="AL23">
            <v>0.79999999999999993</v>
          </cell>
          <cell r="AM23">
            <v>0.43799999999999989</v>
          </cell>
        </row>
        <row r="24">
          <cell r="AL24">
            <v>0.89999999999999991</v>
          </cell>
          <cell r="AM24">
            <v>0.51100000000000001</v>
          </cell>
        </row>
        <row r="25">
          <cell r="AL25">
            <v>0.99999999999999989</v>
          </cell>
          <cell r="AM25">
            <v>0.58399999999999985</v>
          </cell>
        </row>
        <row r="26">
          <cell r="AL26">
            <v>1.0999999999999999</v>
          </cell>
          <cell r="AM26">
            <v>0.65699999999999992</v>
          </cell>
        </row>
        <row r="28">
          <cell r="AL28">
            <v>0.5</v>
          </cell>
          <cell r="AM28">
            <v>0</v>
          </cell>
        </row>
        <row r="29">
          <cell r="AL29">
            <v>0.5</v>
          </cell>
          <cell r="AM29">
            <v>0.5</v>
          </cell>
        </row>
        <row r="31">
          <cell r="AL31">
            <v>7.0000000000000007E-2</v>
          </cell>
          <cell r="AM31">
            <v>7.0000000000000007E-2</v>
          </cell>
        </row>
        <row r="32">
          <cell r="AL32">
            <v>0.2</v>
          </cell>
          <cell r="AM32">
            <v>7.0000000000000007E-2</v>
          </cell>
        </row>
        <row r="33">
          <cell r="AL33">
            <v>0.29589041095890412</v>
          </cell>
          <cell r="AM33">
            <v>7.0000000000000007E-2</v>
          </cell>
        </row>
        <row r="35">
          <cell r="AL35">
            <v>0</v>
          </cell>
          <cell r="AM35">
            <v>0</v>
          </cell>
        </row>
        <row r="36">
          <cell r="AL36">
            <v>0.6</v>
          </cell>
          <cell r="AM36">
            <v>0.6</v>
          </cell>
        </row>
      </sheetData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ificación"/>
      <sheetName val="Granulometría"/>
      <sheetName val="Limites"/>
      <sheetName val="Proctor"/>
      <sheetName val="C-127 "/>
      <sheetName val="PARA PASAR A PESOS MAYORES"/>
      <sheetName val="Limites (2)"/>
    </sheetNames>
    <sheetDataSet>
      <sheetData sheetId="0" refreshError="1">
        <row r="2">
          <cell r="I2" t="str">
            <v>LABORATORIO DE SUELOS Y MATERIALES "UNIVO"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ulometría"/>
      <sheetName val="LIMITES"/>
      <sheetName val="Clasificación"/>
      <sheetName val="Proctor "/>
      <sheetName val="GRAV ESP RET 3-4&quot; (2)"/>
      <sheetName val="Mat Org-1"/>
      <sheetName val="densidad cono y arena"/>
      <sheetName val="CUADRO RESUMEN DE RESULTADOS"/>
    </sheetNames>
    <sheetDataSet>
      <sheetData sheetId="0" refreshError="1"/>
      <sheetData sheetId="1" refreshError="1"/>
      <sheetData sheetId="2" refreshError="1"/>
      <sheetData sheetId="3">
        <row r="4">
          <cell r="E4">
            <v>0</v>
          </cell>
        </row>
        <row r="5">
          <cell r="E5">
            <v>0</v>
          </cell>
        </row>
        <row r="6">
          <cell r="L6" t="str">
            <v>MATERIAL DE SITU</v>
          </cell>
        </row>
        <row r="8">
          <cell r="V8" t="str">
            <v>Ing Michelle Zelaya</v>
          </cell>
        </row>
      </sheetData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ulometría"/>
      <sheetName val="LIMITES"/>
      <sheetName val="Clasificación"/>
      <sheetName val="Proctor"/>
      <sheetName val="GRAV ESP RET 3-4&quot;"/>
      <sheetName val="CUADRO RESUMEN DE RESULTADOS"/>
      <sheetName val="densidad cono y arena"/>
      <sheetName val="Mat Org-1"/>
      <sheetName val="LIMITES (3)"/>
      <sheetName val="SC"/>
      <sheetName val="LIMITES (CON CEMENTO)"/>
      <sheetName val="introduccion"/>
      <sheetName val="Proctor(CON CEMENTO)"/>
      <sheetName val="LIMITES (2)"/>
      <sheetName val="SC (2)"/>
      <sheetName val="COMP. DE CILINDROS CONCRETO "/>
      <sheetName val="GRAF. CILINDROS DE CONCRETO "/>
      <sheetName val="grafico  RESUMEN DE RESULTADO "/>
      <sheetName val="densidad cono  y arena (2)"/>
      <sheetName val="densidad cono  y arena (3)."/>
      <sheetName val="densidad cono  y arena (4) "/>
      <sheetName val="densidad cono  y arena (5)"/>
      <sheetName val="densidad cono  y arena (6)"/>
      <sheetName val="densidad cono  y arena (7)"/>
      <sheetName val="densidad cono  y arena (8)"/>
      <sheetName val="densidad cono  y arena (9)"/>
      <sheetName val="densidad cono  y arena (10)"/>
      <sheetName val="densidad cono  y arena (11)"/>
      <sheetName val="densidad cono  y arena (12)"/>
      <sheetName val="densidad cono  y arena (13)"/>
      <sheetName val="densidad cono  y arena (14)"/>
      <sheetName val="densidad cono  y arena (15)"/>
      <sheetName val="densidad cono  y arena (16)"/>
      <sheetName val="densidad cono  y arena (17)"/>
      <sheetName val="densidad cono  y arena (18)"/>
      <sheetName val="densidad cono  y arena (19)"/>
      <sheetName val="densidad cono  y arena (20)"/>
      <sheetName val="densidad cono  y arena (21)"/>
      <sheetName val="densidad cono  y arena (22)"/>
      <sheetName val="densidad cono  y arena (23)"/>
      <sheetName val="densidad cono  y arena (24)"/>
      <sheetName val="densidad cono  y arena (25)"/>
      <sheetName val="densidad cono  y arena (26)"/>
      <sheetName val="densidad cono  y arena (27)"/>
      <sheetName val="densidad cono  y arena (28)"/>
      <sheetName val="densidad cono  y arena (29)"/>
    </sheetNames>
    <sheetDataSet>
      <sheetData sheetId="0"/>
      <sheetData sheetId="1"/>
      <sheetData sheetId="2"/>
      <sheetData sheetId="3">
        <row r="54">
          <cell r="R54" t="str">
            <v>Ing Francisco Granados</v>
          </cell>
        </row>
        <row r="55">
          <cell r="R55" t="str">
            <v>Jefe Técnico de Laboratorio de suelos y Materiales</v>
          </cell>
        </row>
      </sheetData>
      <sheetData sheetId="4">
        <row r="31">
          <cell r="H31" t="str">
            <v xml:space="preserve">      gr/cm3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ulometría"/>
      <sheetName val="LIMITES "/>
      <sheetName val="Clasificación"/>
      <sheetName val="Proctor "/>
      <sheetName val="SC"/>
      <sheetName val="LIMITES (3)"/>
      <sheetName val="CUADRO RESUMEN DE RESULTADOS"/>
      <sheetName val="introduccion"/>
      <sheetName val="Proctor(CON CEMENTO)"/>
      <sheetName val="LIMITES (2)"/>
      <sheetName val="SC (2)"/>
      <sheetName val="COMP. DE CILINDROS CONCRETO "/>
      <sheetName val="GRAF. CILINDROS DE CONCRETO "/>
      <sheetName val="densidad cono y arena (1)."/>
      <sheetName val="densidad cono  y arena (2)"/>
      <sheetName val="densidad cono  y arena (3)."/>
      <sheetName val="densidad cono  y arena (4) "/>
      <sheetName val="densidad cono  y arena (5)"/>
      <sheetName val="densidad cono  y arena (6)"/>
      <sheetName val="densidad cono  y arena (7)"/>
      <sheetName val="grafico  RESUMEN DE RESULTADO "/>
      <sheetName val="densidad cono  y arena (8)"/>
      <sheetName val="densidad cono  y arena (9)"/>
      <sheetName val="densidad cono  y arena (10)"/>
      <sheetName val="densidad cono  y arena (11)"/>
      <sheetName val="densidad cono  y arena (12)"/>
      <sheetName val="densidad cono  y arena (13)"/>
      <sheetName val="densidad cono  y arena (14)"/>
      <sheetName val="densidad cono  y arena (15)"/>
      <sheetName val="densidad cono  y arena (16)"/>
      <sheetName val="densidad cono  y arena (17)"/>
      <sheetName val="densidad cono  y arena (18)"/>
      <sheetName val="densidad cono  y arena (19)"/>
      <sheetName val="densidad cono  y arena (20)"/>
      <sheetName val="densidad cono  y arena (21)"/>
      <sheetName val="densidad cono  y arena (22)"/>
      <sheetName val="densidad cono  y arena (23)"/>
      <sheetName val="densidad cono  y arena (24)"/>
      <sheetName val="densidad cono  y arena (25)"/>
      <sheetName val="densidad cono  y arena (26)"/>
      <sheetName val="densidad cono  y arena (27)"/>
      <sheetName val="densidad cono  y arena (28)"/>
      <sheetName val="densidad cono  y arena (29)"/>
    </sheetNames>
    <sheetDataSet>
      <sheetData sheetId="0">
        <row r="4">
          <cell r="E4" t="str">
            <v xml:space="preserve">“OBRAS DE MEJORAMIENTO A LA INFRAESTRUCTURA EXISTENTE DEL PARQUE ARQUEOLÓGICO TAZUMAL Y ACCIONES DE CONSERVACIÓN EN ESTRUCTURAS PREHISPÁNICAS-PROYECTO DE INVERSIÓN 8094”  </v>
          </cell>
        </row>
        <row r="55">
          <cell r="A55" t="str">
            <v xml:space="preserve">Tecnico de Laboratorio de suelos y Materiales. </v>
          </cell>
        </row>
      </sheetData>
      <sheetData sheetId="1"/>
      <sheetData sheetId="2">
        <row r="31">
          <cell r="B31">
            <v>0.35435395516100027</v>
          </cell>
        </row>
      </sheetData>
      <sheetData sheetId="3">
        <row r="29">
          <cell r="X29">
            <v>0.216</v>
          </cell>
        </row>
      </sheetData>
      <sheetData sheetId="4">
        <row r="3">
          <cell r="D3" t="str">
            <v>C O N T R O L, M U E S T R E O  Y RESISTENCIA DE  B R I Q U E T A S  DE SUELO CEMENTO [ASTM-D1632 / ASTM-D1633]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1">
          <cell r="H11" t="str">
            <v>COMPACTACION DE RELLENO PARA LA CONSTRUCCION DE SOLERA DE PLATAFORMA PARA ESCANER PROVISIONAL; MATERIAL DE BANCO ALGODÓN; CANTON EL ALGODÓN, CARRETERA RUTA MILITAR DEPTO. DE  LA UNION</v>
          </cell>
        </row>
        <row r="30">
          <cell r="O30">
            <v>1508.7748686440611</v>
          </cell>
        </row>
        <row r="41">
          <cell r="O41">
            <v>0.20422535211267606</v>
          </cell>
        </row>
      </sheetData>
      <sheetData sheetId="14">
        <row r="11">
          <cell r="H11" t="str">
            <v>COMPACTACION DE RELLENO PARA LA CONSTRUCCION DE SOLERA DE PLATAFORMA PARA ESCANER PROVISIONAL; MATERIAL DE BANCO ALGODÓN; CANTON EL ALGODÓN, CARRETERA RUTA MILITAR DEPTO. DE  LA UNION</v>
          </cell>
        </row>
        <row r="30">
          <cell r="O30">
            <v>1491.1027980312379</v>
          </cell>
        </row>
        <row r="41">
          <cell r="O41">
            <v>0.20814479638009051</v>
          </cell>
        </row>
      </sheetData>
      <sheetData sheetId="15">
        <row r="11">
          <cell r="H11" t="str">
            <v>COMPACTACION DE RELLENO PARA LA CONSTRUCCION DE SOLERA DE PLATAFORMA PARA ESCANER PROVISIONAL; MATERIAL DE BANCO ALGODÓN; CANTON EL ALGODÓN, CARRETERA RUTA MILITAR DEPTO. DE  LA UNION</v>
          </cell>
        </row>
        <row r="30">
          <cell r="O30">
            <v>1499.471323297068</v>
          </cell>
        </row>
        <row r="41">
          <cell r="O41">
            <v>0.2</v>
          </cell>
        </row>
      </sheetData>
      <sheetData sheetId="16">
        <row r="11">
          <cell r="H11" t="str">
            <v>COMPACTACION DE RELLENO PARA LA CONSTRUCCION DE SOLERA DE PLATAFORMA PARA ESCANER PROVISIONAL; MATERIAL DE BANCO ALGODÓN; CANTON EL ALGODÓN, CARRETERA RUTA MILITAR DEPTO. DE  LA UNION</v>
          </cell>
        </row>
        <row r="30">
          <cell r="O30">
            <v>1498.0816898177814</v>
          </cell>
        </row>
        <row r="41">
          <cell r="O41">
            <v>0.21301775147928995</v>
          </cell>
        </row>
      </sheetData>
      <sheetData sheetId="17">
        <row r="11">
          <cell r="H11" t="str">
            <v>COMPACTACION DE RELLENO PARA LA CONSTRUCCION DE SOLERA DE PLATAFORMA PARA ESCANER PROVISIONAL; MATERIAL DE BANCO ALGODÓN, COMPACTADO  CON EL 5% DE CEMENTO REGIONAL TIPO GU ASTM C-1157; BANCO PROCEDENTE DE CANTON EL ALGODÓN, CARRETERA RUTA MILITAR DEPTO. DE  LA UNION.</v>
          </cell>
        </row>
        <row r="30">
          <cell r="O30">
            <v>1488.9435221849667</v>
          </cell>
        </row>
        <row r="41">
          <cell r="O41">
            <v>0.19270833333333334</v>
          </cell>
        </row>
      </sheetData>
      <sheetData sheetId="18">
        <row r="11">
          <cell r="H11" t="str">
            <v>COMPACTACION DE RELLENO PARA LA CONSTRUCCION DE SOLERA DE PLATAFORMA PARA ESCANER PROVISIONAL; MATERIAL DE BANCO ALGODÓN, COMPACTADO  CON EL 5% DE CEMENTO REGIONAL TIPO GU ASTM C-1157; BANCO PROCEDENTE DE CANTON EL ALGODÓN, CARRETERA RUTA MILITAR DEPTO. DE  LA UNION.</v>
          </cell>
        </row>
        <row r="30">
          <cell r="O30">
            <v>1502.7145424281366</v>
          </cell>
        </row>
        <row r="41">
          <cell r="O41">
            <v>0.17419354838709677</v>
          </cell>
        </row>
      </sheetData>
      <sheetData sheetId="19">
        <row r="11">
          <cell r="H11" t="str">
            <v>COMPACTACION DE RELLENO PARA LA CONSTRUCCION DE SOLERA DE PLATAFORMA PARA ESCANER PROVISIONAL; MATERIAL DE BANCO ALGODÓN, COMPACTADO  CON EL 5% DE CEMENTO REGIONAL TIPO GU ASTM C-1157; BANCO PROCEDENTE DE CANTON EL ALGODÓN, CARRETERA RUTA MILITAR DEPTO. DE  LA UNION.</v>
          </cell>
        </row>
        <row r="30">
          <cell r="O30">
            <v>1489.088267903672</v>
          </cell>
        </row>
        <row r="41">
          <cell r="O41">
            <v>0.1702127659574468</v>
          </cell>
        </row>
      </sheetData>
      <sheetData sheetId="20"/>
      <sheetData sheetId="21">
        <row r="11">
          <cell r="H11" t="str">
            <v>COMPACTACION DE RELLENO PARA LA CONSTRUCCION DE SOLERA DE PLATAFORMA PARA ESCANER PROVISIONAL; MATERIAL DE BANCO ALGODÓN, COMPACTADO  CON EL 5% DE CEMENTO REGIONAL TIPO GU ASTM C-1157; BANCO PROCEDENTE DE CANTON EL ALGODÓN, CARRETERA RUTA MILITAR DEPTO. DE  LA UNION.</v>
          </cell>
        </row>
        <row r="30">
          <cell r="O30">
            <v>1396.3239284747692</v>
          </cell>
        </row>
        <row r="41">
          <cell r="O41">
            <v>0.19512195121951217</v>
          </cell>
        </row>
      </sheetData>
      <sheetData sheetId="22">
        <row r="11">
          <cell r="H11" t="str">
            <v>COMPACTACION DE RELLENO PARA PISO</v>
          </cell>
        </row>
        <row r="30">
          <cell r="O30">
            <v>1551.2137104356866</v>
          </cell>
        </row>
        <row r="41">
          <cell r="O41">
            <v>0.13492063492063486</v>
          </cell>
        </row>
      </sheetData>
      <sheetData sheetId="23">
        <row r="11">
          <cell r="H11" t="str">
            <v>COMPACTACION DE RELLENO PARA PISO</v>
          </cell>
        </row>
        <row r="30">
          <cell r="O30">
            <v>1513.4409459559754</v>
          </cell>
        </row>
        <row r="41">
          <cell r="O41">
            <v>0.10447761194029895</v>
          </cell>
        </row>
      </sheetData>
      <sheetData sheetId="24">
        <row r="11">
          <cell r="H11" t="str">
            <v>COMPACTACION DE RELLENO PARA PISO</v>
          </cell>
        </row>
        <row r="30">
          <cell r="O30">
            <v>1494.0365861669666</v>
          </cell>
        </row>
        <row r="41">
          <cell r="O41">
            <v>0.17171717171717163</v>
          </cell>
        </row>
      </sheetData>
      <sheetData sheetId="25">
        <row r="11">
          <cell r="H11" t="str">
            <v>COMPACTACION DE RELLENO PARA PISO</v>
          </cell>
        </row>
        <row r="30">
          <cell r="O30">
            <v>1474.7669759204059</v>
          </cell>
        </row>
        <row r="41">
          <cell r="O41">
            <v>0.10377358490566052</v>
          </cell>
        </row>
      </sheetData>
      <sheetData sheetId="26">
        <row r="11">
          <cell r="H11" t="str">
            <v>COMPACTACION DE RELLENO PARA PISO</v>
          </cell>
        </row>
        <row r="30">
          <cell r="O30">
            <v>1517.9740609851954</v>
          </cell>
        </row>
        <row r="41">
          <cell r="O41">
            <v>9.5238095238094872E-2</v>
          </cell>
        </row>
      </sheetData>
      <sheetData sheetId="27">
        <row r="11">
          <cell r="H11" t="str">
            <v>COMPACTACION DE RELLENO PARA DE TERRAZA 2° CAPA</v>
          </cell>
        </row>
        <row r="30">
          <cell r="O30">
            <v>1469.1746251188995</v>
          </cell>
        </row>
        <row r="41">
          <cell r="O41">
            <v>0.1862745098039218</v>
          </cell>
        </row>
      </sheetData>
      <sheetData sheetId="28">
        <row r="11">
          <cell r="H11" t="str">
            <v>COMPACTACION DE RELLENO PARA DE TERRAZA 2° CAPA</v>
          </cell>
        </row>
        <row r="30">
          <cell r="O30">
            <v>1424.9345736943646</v>
          </cell>
        </row>
        <row r="41">
          <cell r="O41">
            <v>0.15322580645161279</v>
          </cell>
        </row>
      </sheetData>
      <sheetData sheetId="29">
        <row r="11">
          <cell r="H11" t="str">
            <v>COMPACTACION DE RELLENO PARA SOLERA DE FUNDACION</v>
          </cell>
        </row>
        <row r="30">
          <cell r="O30">
            <v>1563.4821601975418</v>
          </cell>
        </row>
        <row r="41">
          <cell r="O41">
            <v>0.21739130434782605</v>
          </cell>
        </row>
      </sheetData>
      <sheetData sheetId="30">
        <row r="11">
          <cell r="H11" t="str">
            <v>COMPACTACION DE RELLENO PARA SOLERA DE FUNDACION</v>
          </cell>
        </row>
        <row r="30">
          <cell r="O30">
            <v>1406.197953794343</v>
          </cell>
        </row>
        <row r="41">
          <cell r="O41">
            <v>0.21666666666666679</v>
          </cell>
        </row>
      </sheetData>
      <sheetData sheetId="31">
        <row r="11">
          <cell r="H11" t="str">
            <v>COMPACTACION DE RELLENO PARA SOLERA DE FUNDACION</v>
          </cell>
        </row>
        <row r="30">
          <cell r="O30">
            <v>1491.7750843772069</v>
          </cell>
        </row>
        <row r="41">
          <cell r="O41">
            <v>0.23437500000000006</v>
          </cell>
        </row>
      </sheetData>
      <sheetData sheetId="32">
        <row r="11">
          <cell r="H11" t="str">
            <v>COMPACTACION DE RELLENO PARA SOLERA DE FUNDACION</v>
          </cell>
        </row>
        <row r="30">
          <cell r="O30">
            <v>1456.9412635419037</v>
          </cell>
        </row>
        <row r="41">
          <cell r="O41">
            <v>0.20547945205479454</v>
          </cell>
        </row>
      </sheetData>
      <sheetData sheetId="33">
        <row r="11">
          <cell r="H11" t="str">
            <v>COMPACTACION DE RELLENO PARA SOLERA DE FUNDACION</v>
          </cell>
        </row>
        <row r="30">
          <cell r="O30">
            <v>1544.0893150993975</v>
          </cell>
        </row>
        <row r="41">
          <cell r="O41">
            <v>0.24590163934426232</v>
          </cell>
        </row>
      </sheetData>
      <sheetData sheetId="34">
        <row r="11">
          <cell r="H11" t="str">
            <v>COMPACTACION DE RELLENO PARA SOLERA DE FUNDACION</v>
          </cell>
        </row>
        <row r="30">
          <cell r="O30">
            <v>1528.8591480513473</v>
          </cell>
        </row>
        <row r="41">
          <cell r="O41">
            <v>0.14285714285714271</v>
          </cell>
        </row>
      </sheetData>
      <sheetData sheetId="35">
        <row r="11">
          <cell r="H11" t="str">
            <v>COMPACTACION DE RELLENO PARA SOLERA DE FUNDACION</v>
          </cell>
        </row>
        <row r="30">
          <cell r="O30">
            <v>1408.6479766049531</v>
          </cell>
        </row>
        <row r="41">
          <cell r="O41">
            <v>0.17391304347826075</v>
          </cell>
        </row>
      </sheetData>
      <sheetData sheetId="36">
        <row r="11">
          <cell r="H11" t="str">
            <v>COMPACTACION DE RELLENO PARA SOLERA DE FUNDACION</v>
          </cell>
        </row>
        <row r="30">
          <cell r="O30">
            <v>1504.7812182493192</v>
          </cell>
        </row>
        <row r="41">
          <cell r="O41">
            <v>0.15853658536585372</v>
          </cell>
        </row>
      </sheetData>
      <sheetData sheetId="37">
        <row r="11">
          <cell r="H11" t="str">
            <v>COMPACTACION DE RELLENO PARA SOLERA DE FUNDACION</v>
          </cell>
        </row>
        <row r="30">
          <cell r="O30">
            <v>1511.6341028828226</v>
          </cell>
        </row>
        <row r="41">
          <cell r="O41">
            <v>0.12765957446808501</v>
          </cell>
        </row>
      </sheetData>
      <sheetData sheetId="38">
        <row r="11">
          <cell r="H11" t="str">
            <v>COMPACTACION DE RELLENO PARA SOLERA DE FUNDACION</v>
          </cell>
        </row>
        <row r="30">
          <cell r="O30">
            <v>1469.6670313680363</v>
          </cell>
        </row>
        <row r="41">
          <cell r="O41">
            <v>0.10958904109589053</v>
          </cell>
        </row>
      </sheetData>
      <sheetData sheetId="39">
        <row r="11">
          <cell r="H11" t="str">
            <v>COMPACTACION DE RELLENO PARA SOLERA DE FUNDACION</v>
          </cell>
        </row>
        <row r="30">
          <cell r="O30">
            <v>1539.2784572959142</v>
          </cell>
        </row>
        <row r="41">
          <cell r="O41">
            <v>0.15294117647058786</v>
          </cell>
        </row>
      </sheetData>
      <sheetData sheetId="40">
        <row r="11">
          <cell r="H11" t="str">
            <v>COMPACTACION DE RELLENO PARA SOLERA DE FUNDACION</v>
          </cell>
        </row>
        <row r="30">
          <cell r="O30">
            <v>1451.5325966074088</v>
          </cell>
        </row>
        <row r="41">
          <cell r="O41">
            <v>0.20270270270270263</v>
          </cell>
        </row>
      </sheetData>
      <sheetData sheetId="41">
        <row r="11">
          <cell r="H11" t="str">
            <v>COMPACTACION DE RELLENO PARA PISO</v>
          </cell>
        </row>
        <row r="30">
          <cell r="O30">
            <v>1563.3886735836506</v>
          </cell>
        </row>
        <row r="41">
          <cell r="O41">
            <v>0.16438356164383602</v>
          </cell>
        </row>
      </sheetData>
      <sheetData sheetId="42">
        <row r="11">
          <cell r="H11" t="str">
            <v>COMPACTACION DE RELLENO PARA PISO</v>
          </cell>
        </row>
        <row r="30">
          <cell r="O30">
            <v>1489.4094870405495</v>
          </cell>
        </row>
        <row r="41">
          <cell r="O41">
            <v>0.17647058823529399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C025D-CDCC-4FD2-AD8C-8461DDFFF3E9}">
  <sheetPr codeName="Hoja29">
    <tabColor rgb="FFFFFF00"/>
  </sheetPr>
  <dimension ref="A1:BN70"/>
  <sheetViews>
    <sheetView showGridLines="0" view="pageBreakPreview" zoomScaleNormal="100" zoomScaleSheetLayoutView="100" workbookViewId="0"/>
  </sheetViews>
  <sheetFormatPr baseColWidth="10" defaultColWidth="2.7109375" defaultRowHeight="14.25" customHeight="1" x14ac:dyDescent="0.2"/>
  <cols>
    <col min="1" max="4" width="3.28515625" style="53" customWidth="1"/>
    <col min="5" max="8" width="2.7109375" style="53"/>
    <col min="9" max="9" width="4.28515625" style="53" customWidth="1"/>
    <col min="10" max="10" width="3.42578125" style="53" customWidth="1"/>
    <col min="11" max="11" width="2.7109375" style="53"/>
    <col min="12" max="12" width="3.28515625" style="53" customWidth="1"/>
    <col min="13" max="13" width="4" style="53" customWidth="1"/>
    <col min="14" max="14" width="2.7109375" style="53"/>
    <col min="15" max="15" width="3.5703125" style="53" customWidth="1"/>
    <col min="16" max="16" width="2.7109375" style="53"/>
    <col min="17" max="17" width="4.42578125" style="53" customWidth="1"/>
    <col min="18" max="18" width="3.85546875" style="53" customWidth="1"/>
    <col min="19" max="19" width="3.42578125" style="53" customWidth="1"/>
    <col min="20" max="20" width="3.7109375" style="53" customWidth="1"/>
    <col min="21" max="24" width="2.7109375" style="53"/>
    <col min="25" max="25" width="5" style="53" customWidth="1"/>
    <col min="26" max="27" width="2.7109375" style="53"/>
    <col min="28" max="28" width="4" style="53" customWidth="1"/>
    <col min="29" max="29" width="2.7109375" style="53"/>
    <col min="30" max="30" width="3.85546875" style="53" customWidth="1"/>
    <col min="31" max="32" width="2.7109375" style="53"/>
    <col min="33" max="33" width="1" style="53" customWidth="1"/>
    <col min="34" max="35" width="11.5703125" style="54" bestFit="1" customWidth="1"/>
    <col min="36" max="36" width="11.5703125" style="55" bestFit="1" customWidth="1"/>
    <col min="37" max="37" width="5.5703125" style="53" customWidth="1"/>
    <col min="38" max="38" width="13" style="53" customWidth="1"/>
    <col min="39" max="39" width="5.5703125" style="53" customWidth="1"/>
    <col min="40" max="51" width="2.7109375" style="53"/>
    <col min="52" max="58" width="7.7109375" style="53" customWidth="1"/>
    <col min="59" max="256" width="2.7109375" style="53"/>
    <col min="257" max="260" width="3.28515625" style="53" customWidth="1"/>
    <col min="261" max="264" width="2.7109375" style="53"/>
    <col min="265" max="265" width="4.28515625" style="53" customWidth="1"/>
    <col min="266" max="266" width="3.42578125" style="53" customWidth="1"/>
    <col min="267" max="267" width="2.7109375" style="53"/>
    <col min="268" max="268" width="3.28515625" style="53" customWidth="1"/>
    <col min="269" max="269" width="4" style="53" customWidth="1"/>
    <col min="270" max="270" width="2.7109375" style="53"/>
    <col min="271" max="271" width="3.5703125" style="53" customWidth="1"/>
    <col min="272" max="272" width="2.7109375" style="53"/>
    <col min="273" max="273" width="4.42578125" style="53" customWidth="1"/>
    <col min="274" max="274" width="3.85546875" style="53" customWidth="1"/>
    <col min="275" max="275" width="3.42578125" style="53" customWidth="1"/>
    <col min="276" max="276" width="3.7109375" style="53" customWidth="1"/>
    <col min="277" max="280" width="2.7109375" style="53"/>
    <col min="281" max="281" width="5" style="53" customWidth="1"/>
    <col min="282" max="283" width="2.7109375" style="53"/>
    <col min="284" max="284" width="4" style="53" customWidth="1"/>
    <col min="285" max="285" width="2.7109375" style="53"/>
    <col min="286" max="286" width="3.85546875" style="53" customWidth="1"/>
    <col min="287" max="288" width="2.7109375" style="53"/>
    <col min="289" max="289" width="1" style="53" customWidth="1"/>
    <col min="290" max="292" width="11.5703125" style="53" bestFit="1" customWidth="1"/>
    <col min="293" max="293" width="5.5703125" style="53" customWidth="1"/>
    <col min="294" max="294" width="13" style="53" customWidth="1"/>
    <col min="295" max="295" width="5.5703125" style="53" customWidth="1"/>
    <col min="296" max="512" width="2.7109375" style="53"/>
    <col min="513" max="516" width="3.28515625" style="53" customWidth="1"/>
    <col min="517" max="520" width="2.7109375" style="53"/>
    <col min="521" max="521" width="4.28515625" style="53" customWidth="1"/>
    <col min="522" max="522" width="3.42578125" style="53" customWidth="1"/>
    <col min="523" max="523" width="2.7109375" style="53"/>
    <col min="524" max="524" width="3.28515625" style="53" customWidth="1"/>
    <col min="525" max="525" width="4" style="53" customWidth="1"/>
    <col min="526" max="526" width="2.7109375" style="53"/>
    <col min="527" max="527" width="3.5703125" style="53" customWidth="1"/>
    <col min="528" max="528" width="2.7109375" style="53"/>
    <col min="529" max="529" width="4.42578125" style="53" customWidth="1"/>
    <col min="530" max="530" width="3.85546875" style="53" customWidth="1"/>
    <col min="531" max="531" width="3.42578125" style="53" customWidth="1"/>
    <col min="532" max="532" width="3.7109375" style="53" customWidth="1"/>
    <col min="533" max="536" width="2.7109375" style="53"/>
    <col min="537" max="537" width="5" style="53" customWidth="1"/>
    <col min="538" max="539" width="2.7109375" style="53"/>
    <col min="540" max="540" width="4" style="53" customWidth="1"/>
    <col min="541" max="541" width="2.7109375" style="53"/>
    <col min="542" max="542" width="3.85546875" style="53" customWidth="1"/>
    <col min="543" max="544" width="2.7109375" style="53"/>
    <col min="545" max="545" width="1" style="53" customWidth="1"/>
    <col min="546" max="548" width="11.5703125" style="53" bestFit="1" customWidth="1"/>
    <col min="549" max="549" width="5.5703125" style="53" customWidth="1"/>
    <col min="550" max="550" width="13" style="53" customWidth="1"/>
    <col min="551" max="551" width="5.5703125" style="53" customWidth="1"/>
    <col min="552" max="768" width="2.7109375" style="53"/>
    <col min="769" max="772" width="3.28515625" style="53" customWidth="1"/>
    <col min="773" max="776" width="2.7109375" style="53"/>
    <col min="777" max="777" width="4.28515625" style="53" customWidth="1"/>
    <col min="778" max="778" width="3.42578125" style="53" customWidth="1"/>
    <col min="779" max="779" width="2.7109375" style="53"/>
    <col min="780" max="780" width="3.28515625" style="53" customWidth="1"/>
    <col min="781" max="781" width="4" style="53" customWidth="1"/>
    <col min="782" max="782" width="2.7109375" style="53"/>
    <col min="783" max="783" width="3.5703125" style="53" customWidth="1"/>
    <col min="784" max="784" width="2.7109375" style="53"/>
    <col min="785" max="785" width="4.42578125" style="53" customWidth="1"/>
    <col min="786" max="786" width="3.85546875" style="53" customWidth="1"/>
    <col min="787" max="787" width="3.42578125" style="53" customWidth="1"/>
    <col min="788" max="788" width="3.7109375" style="53" customWidth="1"/>
    <col min="789" max="792" width="2.7109375" style="53"/>
    <col min="793" max="793" width="5" style="53" customWidth="1"/>
    <col min="794" max="795" width="2.7109375" style="53"/>
    <col min="796" max="796" width="4" style="53" customWidth="1"/>
    <col min="797" max="797" width="2.7109375" style="53"/>
    <col min="798" max="798" width="3.85546875" style="53" customWidth="1"/>
    <col min="799" max="800" width="2.7109375" style="53"/>
    <col min="801" max="801" width="1" style="53" customWidth="1"/>
    <col min="802" max="804" width="11.5703125" style="53" bestFit="1" customWidth="1"/>
    <col min="805" max="805" width="5.5703125" style="53" customWidth="1"/>
    <col min="806" max="806" width="13" style="53" customWidth="1"/>
    <col min="807" max="807" width="5.5703125" style="53" customWidth="1"/>
    <col min="808" max="1024" width="2.7109375" style="53"/>
    <col min="1025" max="1028" width="3.28515625" style="53" customWidth="1"/>
    <col min="1029" max="1032" width="2.7109375" style="53"/>
    <col min="1033" max="1033" width="4.28515625" style="53" customWidth="1"/>
    <col min="1034" max="1034" width="3.42578125" style="53" customWidth="1"/>
    <col min="1035" max="1035" width="2.7109375" style="53"/>
    <col min="1036" max="1036" width="3.28515625" style="53" customWidth="1"/>
    <col min="1037" max="1037" width="4" style="53" customWidth="1"/>
    <col min="1038" max="1038" width="2.7109375" style="53"/>
    <col min="1039" max="1039" width="3.5703125" style="53" customWidth="1"/>
    <col min="1040" max="1040" width="2.7109375" style="53"/>
    <col min="1041" max="1041" width="4.42578125" style="53" customWidth="1"/>
    <col min="1042" max="1042" width="3.85546875" style="53" customWidth="1"/>
    <col min="1043" max="1043" width="3.42578125" style="53" customWidth="1"/>
    <col min="1044" max="1044" width="3.7109375" style="53" customWidth="1"/>
    <col min="1045" max="1048" width="2.7109375" style="53"/>
    <col min="1049" max="1049" width="5" style="53" customWidth="1"/>
    <col min="1050" max="1051" width="2.7109375" style="53"/>
    <col min="1052" max="1052" width="4" style="53" customWidth="1"/>
    <col min="1053" max="1053" width="2.7109375" style="53"/>
    <col min="1054" max="1054" width="3.85546875" style="53" customWidth="1"/>
    <col min="1055" max="1056" width="2.7109375" style="53"/>
    <col min="1057" max="1057" width="1" style="53" customWidth="1"/>
    <col min="1058" max="1060" width="11.5703125" style="53" bestFit="1" customWidth="1"/>
    <col min="1061" max="1061" width="5.5703125" style="53" customWidth="1"/>
    <col min="1062" max="1062" width="13" style="53" customWidth="1"/>
    <col min="1063" max="1063" width="5.5703125" style="53" customWidth="1"/>
    <col min="1064" max="1280" width="2.7109375" style="53"/>
    <col min="1281" max="1284" width="3.28515625" style="53" customWidth="1"/>
    <col min="1285" max="1288" width="2.7109375" style="53"/>
    <col min="1289" max="1289" width="4.28515625" style="53" customWidth="1"/>
    <col min="1290" max="1290" width="3.42578125" style="53" customWidth="1"/>
    <col min="1291" max="1291" width="2.7109375" style="53"/>
    <col min="1292" max="1292" width="3.28515625" style="53" customWidth="1"/>
    <col min="1293" max="1293" width="4" style="53" customWidth="1"/>
    <col min="1294" max="1294" width="2.7109375" style="53"/>
    <col min="1295" max="1295" width="3.5703125" style="53" customWidth="1"/>
    <col min="1296" max="1296" width="2.7109375" style="53"/>
    <col min="1297" max="1297" width="4.42578125" style="53" customWidth="1"/>
    <col min="1298" max="1298" width="3.85546875" style="53" customWidth="1"/>
    <col min="1299" max="1299" width="3.42578125" style="53" customWidth="1"/>
    <col min="1300" max="1300" width="3.7109375" style="53" customWidth="1"/>
    <col min="1301" max="1304" width="2.7109375" style="53"/>
    <col min="1305" max="1305" width="5" style="53" customWidth="1"/>
    <col min="1306" max="1307" width="2.7109375" style="53"/>
    <col min="1308" max="1308" width="4" style="53" customWidth="1"/>
    <col min="1309" max="1309" width="2.7109375" style="53"/>
    <col min="1310" max="1310" width="3.85546875" style="53" customWidth="1"/>
    <col min="1311" max="1312" width="2.7109375" style="53"/>
    <col min="1313" max="1313" width="1" style="53" customWidth="1"/>
    <col min="1314" max="1316" width="11.5703125" style="53" bestFit="1" customWidth="1"/>
    <col min="1317" max="1317" width="5.5703125" style="53" customWidth="1"/>
    <col min="1318" max="1318" width="13" style="53" customWidth="1"/>
    <col min="1319" max="1319" width="5.5703125" style="53" customWidth="1"/>
    <col min="1320" max="1536" width="2.7109375" style="53"/>
    <col min="1537" max="1540" width="3.28515625" style="53" customWidth="1"/>
    <col min="1541" max="1544" width="2.7109375" style="53"/>
    <col min="1545" max="1545" width="4.28515625" style="53" customWidth="1"/>
    <col min="1546" max="1546" width="3.42578125" style="53" customWidth="1"/>
    <col min="1547" max="1547" width="2.7109375" style="53"/>
    <col min="1548" max="1548" width="3.28515625" style="53" customWidth="1"/>
    <col min="1549" max="1549" width="4" style="53" customWidth="1"/>
    <col min="1550" max="1550" width="2.7109375" style="53"/>
    <col min="1551" max="1551" width="3.5703125" style="53" customWidth="1"/>
    <col min="1552" max="1552" width="2.7109375" style="53"/>
    <col min="1553" max="1553" width="4.42578125" style="53" customWidth="1"/>
    <col min="1554" max="1554" width="3.85546875" style="53" customWidth="1"/>
    <col min="1555" max="1555" width="3.42578125" style="53" customWidth="1"/>
    <col min="1556" max="1556" width="3.7109375" style="53" customWidth="1"/>
    <col min="1557" max="1560" width="2.7109375" style="53"/>
    <col min="1561" max="1561" width="5" style="53" customWidth="1"/>
    <col min="1562" max="1563" width="2.7109375" style="53"/>
    <col min="1564" max="1564" width="4" style="53" customWidth="1"/>
    <col min="1565" max="1565" width="2.7109375" style="53"/>
    <col min="1566" max="1566" width="3.85546875" style="53" customWidth="1"/>
    <col min="1567" max="1568" width="2.7109375" style="53"/>
    <col min="1569" max="1569" width="1" style="53" customWidth="1"/>
    <col min="1570" max="1572" width="11.5703125" style="53" bestFit="1" customWidth="1"/>
    <col min="1573" max="1573" width="5.5703125" style="53" customWidth="1"/>
    <col min="1574" max="1574" width="13" style="53" customWidth="1"/>
    <col min="1575" max="1575" width="5.5703125" style="53" customWidth="1"/>
    <col min="1576" max="1792" width="2.7109375" style="53"/>
    <col min="1793" max="1796" width="3.28515625" style="53" customWidth="1"/>
    <col min="1797" max="1800" width="2.7109375" style="53"/>
    <col min="1801" max="1801" width="4.28515625" style="53" customWidth="1"/>
    <col min="1802" max="1802" width="3.42578125" style="53" customWidth="1"/>
    <col min="1803" max="1803" width="2.7109375" style="53"/>
    <col min="1804" max="1804" width="3.28515625" style="53" customWidth="1"/>
    <col min="1805" max="1805" width="4" style="53" customWidth="1"/>
    <col min="1806" max="1806" width="2.7109375" style="53"/>
    <col min="1807" max="1807" width="3.5703125" style="53" customWidth="1"/>
    <col min="1808" max="1808" width="2.7109375" style="53"/>
    <col min="1809" max="1809" width="4.42578125" style="53" customWidth="1"/>
    <col min="1810" max="1810" width="3.85546875" style="53" customWidth="1"/>
    <col min="1811" max="1811" width="3.42578125" style="53" customWidth="1"/>
    <col min="1812" max="1812" width="3.7109375" style="53" customWidth="1"/>
    <col min="1813" max="1816" width="2.7109375" style="53"/>
    <col min="1817" max="1817" width="5" style="53" customWidth="1"/>
    <col min="1818" max="1819" width="2.7109375" style="53"/>
    <col min="1820" max="1820" width="4" style="53" customWidth="1"/>
    <col min="1821" max="1821" width="2.7109375" style="53"/>
    <col min="1822" max="1822" width="3.85546875" style="53" customWidth="1"/>
    <col min="1823" max="1824" width="2.7109375" style="53"/>
    <col min="1825" max="1825" width="1" style="53" customWidth="1"/>
    <col min="1826" max="1828" width="11.5703125" style="53" bestFit="1" customWidth="1"/>
    <col min="1829" max="1829" width="5.5703125" style="53" customWidth="1"/>
    <col min="1830" max="1830" width="13" style="53" customWidth="1"/>
    <col min="1831" max="1831" width="5.5703125" style="53" customWidth="1"/>
    <col min="1832" max="2048" width="2.7109375" style="53"/>
    <col min="2049" max="2052" width="3.28515625" style="53" customWidth="1"/>
    <col min="2053" max="2056" width="2.7109375" style="53"/>
    <col min="2057" max="2057" width="4.28515625" style="53" customWidth="1"/>
    <col min="2058" max="2058" width="3.42578125" style="53" customWidth="1"/>
    <col min="2059" max="2059" width="2.7109375" style="53"/>
    <col min="2060" max="2060" width="3.28515625" style="53" customWidth="1"/>
    <col min="2061" max="2061" width="4" style="53" customWidth="1"/>
    <col min="2062" max="2062" width="2.7109375" style="53"/>
    <col min="2063" max="2063" width="3.5703125" style="53" customWidth="1"/>
    <col min="2064" max="2064" width="2.7109375" style="53"/>
    <col min="2065" max="2065" width="4.42578125" style="53" customWidth="1"/>
    <col min="2066" max="2066" width="3.85546875" style="53" customWidth="1"/>
    <col min="2067" max="2067" width="3.42578125" style="53" customWidth="1"/>
    <col min="2068" max="2068" width="3.7109375" style="53" customWidth="1"/>
    <col min="2069" max="2072" width="2.7109375" style="53"/>
    <col min="2073" max="2073" width="5" style="53" customWidth="1"/>
    <col min="2074" max="2075" width="2.7109375" style="53"/>
    <col min="2076" max="2076" width="4" style="53" customWidth="1"/>
    <col min="2077" max="2077" width="2.7109375" style="53"/>
    <col min="2078" max="2078" width="3.85546875" style="53" customWidth="1"/>
    <col min="2079" max="2080" width="2.7109375" style="53"/>
    <col min="2081" max="2081" width="1" style="53" customWidth="1"/>
    <col min="2082" max="2084" width="11.5703125" style="53" bestFit="1" customWidth="1"/>
    <col min="2085" max="2085" width="5.5703125" style="53" customWidth="1"/>
    <col min="2086" max="2086" width="13" style="53" customWidth="1"/>
    <col min="2087" max="2087" width="5.5703125" style="53" customWidth="1"/>
    <col min="2088" max="2304" width="2.7109375" style="53"/>
    <col min="2305" max="2308" width="3.28515625" style="53" customWidth="1"/>
    <col min="2309" max="2312" width="2.7109375" style="53"/>
    <col min="2313" max="2313" width="4.28515625" style="53" customWidth="1"/>
    <col min="2314" max="2314" width="3.42578125" style="53" customWidth="1"/>
    <col min="2315" max="2315" width="2.7109375" style="53"/>
    <col min="2316" max="2316" width="3.28515625" style="53" customWidth="1"/>
    <col min="2317" max="2317" width="4" style="53" customWidth="1"/>
    <col min="2318" max="2318" width="2.7109375" style="53"/>
    <col min="2319" max="2319" width="3.5703125" style="53" customWidth="1"/>
    <col min="2320" max="2320" width="2.7109375" style="53"/>
    <col min="2321" max="2321" width="4.42578125" style="53" customWidth="1"/>
    <col min="2322" max="2322" width="3.85546875" style="53" customWidth="1"/>
    <col min="2323" max="2323" width="3.42578125" style="53" customWidth="1"/>
    <col min="2324" max="2324" width="3.7109375" style="53" customWidth="1"/>
    <col min="2325" max="2328" width="2.7109375" style="53"/>
    <col min="2329" max="2329" width="5" style="53" customWidth="1"/>
    <col min="2330" max="2331" width="2.7109375" style="53"/>
    <col min="2332" max="2332" width="4" style="53" customWidth="1"/>
    <col min="2333" max="2333" width="2.7109375" style="53"/>
    <col min="2334" max="2334" width="3.85546875" style="53" customWidth="1"/>
    <col min="2335" max="2336" width="2.7109375" style="53"/>
    <col min="2337" max="2337" width="1" style="53" customWidth="1"/>
    <col min="2338" max="2340" width="11.5703125" style="53" bestFit="1" customWidth="1"/>
    <col min="2341" max="2341" width="5.5703125" style="53" customWidth="1"/>
    <col min="2342" max="2342" width="13" style="53" customWidth="1"/>
    <col min="2343" max="2343" width="5.5703125" style="53" customWidth="1"/>
    <col min="2344" max="2560" width="2.7109375" style="53"/>
    <col min="2561" max="2564" width="3.28515625" style="53" customWidth="1"/>
    <col min="2565" max="2568" width="2.7109375" style="53"/>
    <col min="2569" max="2569" width="4.28515625" style="53" customWidth="1"/>
    <col min="2570" max="2570" width="3.42578125" style="53" customWidth="1"/>
    <col min="2571" max="2571" width="2.7109375" style="53"/>
    <col min="2572" max="2572" width="3.28515625" style="53" customWidth="1"/>
    <col min="2573" max="2573" width="4" style="53" customWidth="1"/>
    <col min="2574" max="2574" width="2.7109375" style="53"/>
    <col min="2575" max="2575" width="3.5703125" style="53" customWidth="1"/>
    <col min="2576" max="2576" width="2.7109375" style="53"/>
    <col min="2577" max="2577" width="4.42578125" style="53" customWidth="1"/>
    <col min="2578" max="2578" width="3.85546875" style="53" customWidth="1"/>
    <col min="2579" max="2579" width="3.42578125" style="53" customWidth="1"/>
    <col min="2580" max="2580" width="3.7109375" style="53" customWidth="1"/>
    <col min="2581" max="2584" width="2.7109375" style="53"/>
    <col min="2585" max="2585" width="5" style="53" customWidth="1"/>
    <col min="2586" max="2587" width="2.7109375" style="53"/>
    <col min="2588" max="2588" width="4" style="53" customWidth="1"/>
    <col min="2589" max="2589" width="2.7109375" style="53"/>
    <col min="2590" max="2590" width="3.85546875" style="53" customWidth="1"/>
    <col min="2591" max="2592" width="2.7109375" style="53"/>
    <col min="2593" max="2593" width="1" style="53" customWidth="1"/>
    <col min="2594" max="2596" width="11.5703125" style="53" bestFit="1" customWidth="1"/>
    <col min="2597" max="2597" width="5.5703125" style="53" customWidth="1"/>
    <col min="2598" max="2598" width="13" style="53" customWidth="1"/>
    <col min="2599" max="2599" width="5.5703125" style="53" customWidth="1"/>
    <col min="2600" max="2816" width="2.7109375" style="53"/>
    <col min="2817" max="2820" width="3.28515625" style="53" customWidth="1"/>
    <col min="2821" max="2824" width="2.7109375" style="53"/>
    <col min="2825" max="2825" width="4.28515625" style="53" customWidth="1"/>
    <col min="2826" max="2826" width="3.42578125" style="53" customWidth="1"/>
    <col min="2827" max="2827" width="2.7109375" style="53"/>
    <col min="2828" max="2828" width="3.28515625" style="53" customWidth="1"/>
    <col min="2829" max="2829" width="4" style="53" customWidth="1"/>
    <col min="2830" max="2830" width="2.7109375" style="53"/>
    <col min="2831" max="2831" width="3.5703125" style="53" customWidth="1"/>
    <col min="2832" max="2832" width="2.7109375" style="53"/>
    <col min="2833" max="2833" width="4.42578125" style="53" customWidth="1"/>
    <col min="2834" max="2834" width="3.85546875" style="53" customWidth="1"/>
    <col min="2835" max="2835" width="3.42578125" style="53" customWidth="1"/>
    <col min="2836" max="2836" width="3.7109375" style="53" customWidth="1"/>
    <col min="2837" max="2840" width="2.7109375" style="53"/>
    <col min="2841" max="2841" width="5" style="53" customWidth="1"/>
    <col min="2842" max="2843" width="2.7109375" style="53"/>
    <col min="2844" max="2844" width="4" style="53" customWidth="1"/>
    <col min="2845" max="2845" width="2.7109375" style="53"/>
    <col min="2846" max="2846" width="3.85546875" style="53" customWidth="1"/>
    <col min="2847" max="2848" width="2.7109375" style="53"/>
    <col min="2849" max="2849" width="1" style="53" customWidth="1"/>
    <col min="2850" max="2852" width="11.5703125" style="53" bestFit="1" customWidth="1"/>
    <col min="2853" max="2853" width="5.5703125" style="53" customWidth="1"/>
    <col min="2854" max="2854" width="13" style="53" customWidth="1"/>
    <col min="2855" max="2855" width="5.5703125" style="53" customWidth="1"/>
    <col min="2856" max="3072" width="2.7109375" style="53"/>
    <col min="3073" max="3076" width="3.28515625" style="53" customWidth="1"/>
    <col min="3077" max="3080" width="2.7109375" style="53"/>
    <col min="3081" max="3081" width="4.28515625" style="53" customWidth="1"/>
    <col min="3082" max="3082" width="3.42578125" style="53" customWidth="1"/>
    <col min="3083" max="3083" width="2.7109375" style="53"/>
    <col min="3084" max="3084" width="3.28515625" style="53" customWidth="1"/>
    <col min="3085" max="3085" width="4" style="53" customWidth="1"/>
    <col min="3086" max="3086" width="2.7109375" style="53"/>
    <col min="3087" max="3087" width="3.5703125" style="53" customWidth="1"/>
    <col min="3088" max="3088" width="2.7109375" style="53"/>
    <col min="3089" max="3089" width="4.42578125" style="53" customWidth="1"/>
    <col min="3090" max="3090" width="3.85546875" style="53" customWidth="1"/>
    <col min="3091" max="3091" width="3.42578125" style="53" customWidth="1"/>
    <col min="3092" max="3092" width="3.7109375" style="53" customWidth="1"/>
    <col min="3093" max="3096" width="2.7109375" style="53"/>
    <col min="3097" max="3097" width="5" style="53" customWidth="1"/>
    <col min="3098" max="3099" width="2.7109375" style="53"/>
    <col min="3100" max="3100" width="4" style="53" customWidth="1"/>
    <col min="3101" max="3101" width="2.7109375" style="53"/>
    <col min="3102" max="3102" width="3.85546875" style="53" customWidth="1"/>
    <col min="3103" max="3104" width="2.7109375" style="53"/>
    <col min="3105" max="3105" width="1" style="53" customWidth="1"/>
    <col min="3106" max="3108" width="11.5703125" style="53" bestFit="1" customWidth="1"/>
    <col min="3109" max="3109" width="5.5703125" style="53" customWidth="1"/>
    <col min="3110" max="3110" width="13" style="53" customWidth="1"/>
    <col min="3111" max="3111" width="5.5703125" style="53" customWidth="1"/>
    <col min="3112" max="3328" width="2.7109375" style="53"/>
    <col min="3329" max="3332" width="3.28515625" style="53" customWidth="1"/>
    <col min="3333" max="3336" width="2.7109375" style="53"/>
    <col min="3337" max="3337" width="4.28515625" style="53" customWidth="1"/>
    <col min="3338" max="3338" width="3.42578125" style="53" customWidth="1"/>
    <col min="3339" max="3339" width="2.7109375" style="53"/>
    <col min="3340" max="3340" width="3.28515625" style="53" customWidth="1"/>
    <col min="3341" max="3341" width="4" style="53" customWidth="1"/>
    <col min="3342" max="3342" width="2.7109375" style="53"/>
    <col min="3343" max="3343" width="3.5703125" style="53" customWidth="1"/>
    <col min="3344" max="3344" width="2.7109375" style="53"/>
    <col min="3345" max="3345" width="4.42578125" style="53" customWidth="1"/>
    <col min="3346" max="3346" width="3.85546875" style="53" customWidth="1"/>
    <col min="3347" max="3347" width="3.42578125" style="53" customWidth="1"/>
    <col min="3348" max="3348" width="3.7109375" style="53" customWidth="1"/>
    <col min="3349" max="3352" width="2.7109375" style="53"/>
    <col min="3353" max="3353" width="5" style="53" customWidth="1"/>
    <col min="3354" max="3355" width="2.7109375" style="53"/>
    <col min="3356" max="3356" width="4" style="53" customWidth="1"/>
    <col min="3357" max="3357" width="2.7109375" style="53"/>
    <col min="3358" max="3358" width="3.85546875" style="53" customWidth="1"/>
    <col min="3359" max="3360" width="2.7109375" style="53"/>
    <col min="3361" max="3361" width="1" style="53" customWidth="1"/>
    <col min="3362" max="3364" width="11.5703125" style="53" bestFit="1" customWidth="1"/>
    <col min="3365" max="3365" width="5.5703125" style="53" customWidth="1"/>
    <col min="3366" max="3366" width="13" style="53" customWidth="1"/>
    <col min="3367" max="3367" width="5.5703125" style="53" customWidth="1"/>
    <col min="3368" max="3584" width="2.7109375" style="53"/>
    <col min="3585" max="3588" width="3.28515625" style="53" customWidth="1"/>
    <col min="3589" max="3592" width="2.7109375" style="53"/>
    <col min="3593" max="3593" width="4.28515625" style="53" customWidth="1"/>
    <col min="3594" max="3594" width="3.42578125" style="53" customWidth="1"/>
    <col min="3595" max="3595" width="2.7109375" style="53"/>
    <col min="3596" max="3596" width="3.28515625" style="53" customWidth="1"/>
    <col min="3597" max="3597" width="4" style="53" customWidth="1"/>
    <col min="3598" max="3598" width="2.7109375" style="53"/>
    <col min="3599" max="3599" width="3.5703125" style="53" customWidth="1"/>
    <col min="3600" max="3600" width="2.7109375" style="53"/>
    <col min="3601" max="3601" width="4.42578125" style="53" customWidth="1"/>
    <col min="3602" max="3602" width="3.85546875" style="53" customWidth="1"/>
    <col min="3603" max="3603" width="3.42578125" style="53" customWidth="1"/>
    <col min="3604" max="3604" width="3.7109375" style="53" customWidth="1"/>
    <col min="3605" max="3608" width="2.7109375" style="53"/>
    <col min="3609" max="3609" width="5" style="53" customWidth="1"/>
    <col min="3610" max="3611" width="2.7109375" style="53"/>
    <col min="3612" max="3612" width="4" style="53" customWidth="1"/>
    <col min="3613" max="3613" width="2.7109375" style="53"/>
    <col min="3614" max="3614" width="3.85546875" style="53" customWidth="1"/>
    <col min="3615" max="3616" width="2.7109375" style="53"/>
    <col min="3617" max="3617" width="1" style="53" customWidth="1"/>
    <col min="3618" max="3620" width="11.5703125" style="53" bestFit="1" customWidth="1"/>
    <col min="3621" max="3621" width="5.5703125" style="53" customWidth="1"/>
    <col min="3622" max="3622" width="13" style="53" customWidth="1"/>
    <col min="3623" max="3623" width="5.5703125" style="53" customWidth="1"/>
    <col min="3624" max="3840" width="2.7109375" style="53"/>
    <col min="3841" max="3844" width="3.28515625" style="53" customWidth="1"/>
    <col min="3845" max="3848" width="2.7109375" style="53"/>
    <col min="3849" max="3849" width="4.28515625" style="53" customWidth="1"/>
    <col min="3850" max="3850" width="3.42578125" style="53" customWidth="1"/>
    <col min="3851" max="3851" width="2.7109375" style="53"/>
    <col min="3852" max="3852" width="3.28515625" style="53" customWidth="1"/>
    <col min="3853" max="3853" width="4" style="53" customWidth="1"/>
    <col min="3854" max="3854" width="2.7109375" style="53"/>
    <col min="3855" max="3855" width="3.5703125" style="53" customWidth="1"/>
    <col min="3856" max="3856" width="2.7109375" style="53"/>
    <col min="3857" max="3857" width="4.42578125" style="53" customWidth="1"/>
    <col min="3858" max="3858" width="3.85546875" style="53" customWidth="1"/>
    <col min="3859" max="3859" width="3.42578125" style="53" customWidth="1"/>
    <col min="3860" max="3860" width="3.7109375" style="53" customWidth="1"/>
    <col min="3861" max="3864" width="2.7109375" style="53"/>
    <col min="3865" max="3865" width="5" style="53" customWidth="1"/>
    <col min="3866" max="3867" width="2.7109375" style="53"/>
    <col min="3868" max="3868" width="4" style="53" customWidth="1"/>
    <col min="3869" max="3869" width="2.7109375" style="53"/>
    <col min="3870" max="3870" width="3.85546875" style="53" customWidth="1"/>
    <col min="3871" max="3872" width="2.7109375" style="53"/>
    <col min="3873" max="3873" width="1" style="53" customWidth="1"/>
    <col min="3874" max="3876" width="11.5703125" style="53" bestFit="1" customWidth="1"/>
    <col min="3877" max="3877" width="5.5703125" style="53" customWidth="1"/>
    <col min="3878" max="3878" width="13" style="53" customWidth="1"/>
    <col min="3879" max="3879" width="5.5703125" style="53" customWidth="1"/>
    <col min="3880" max="4096" width="2.7109375" style="53"/>
    <col min="4097" max="4100" width="3.28515625" style="53" customWidth="1"/>
    <col min="4101" max="4104" width="2.7109375" style="53"/>
    <col min="4105" max="4105" width="4.28515625" style="53" customWidth="1"/>
    <col min="4106" max="4106" width="3.42578125" style="53" customWidth="1"/>
    <col min="4107" max="4107" width="2.7109375" style="53"/>
    <col min="4108" max="4108" width="3.28515625" style="53" customWidth="1"/>
    <col min="4109" max="4109" width="4" style="53" customWidth="1"/>
    <col min="4110" max="4110" width="2.7109375" style="53"/>
    <col min="4111" max="4111" width="3.5703125" style="53" customWidth="1"/>
    <col min="4112" max="4112" width="2.7109375" style="53"/>
    <col min="4113" max="4113" width="4.42578125" style="53" customWidth="1"/>
    <col min="4114" max="4114" width="3.85546875" style="53" customWidth="1"/>
    <col min="4115" max="4115" width="3.42578125" style="53" customWidth="1"/>
    <col min="4116" max="4116" width="3.7109375" style="53" customWidth="1"/>
    <col min="4117" max="4120" width="2.7109375" style="53"/>
    <col min="4121" max="4121" width="5" style="53" customWidth="1"/>
    <col min="4122" max="4123" width="2.7109375" style="53"/>
    <col min="4124" max="4124" width="4" style="53" customWidth="1"/>
    <col min="4125" max="4125" width="2.7109375" style="53"/>
    <col min="4126" max="4126" width="3.85546875" style="53" customWidth="1"/>
    <col min="4127" max="4128" width="2.7109375" style="53"/>
    <col min="4129" max="4129" width="1" style="53" customWidth="1"/>
    <col min="4130" max="4132" width="11.5703125" style="53" bestFit="1" customWidth="1"/>
    <col min="4133" max="4133" width="5.5703125" style="53" customWidth="1"/>
    <col min="4134" max="4134" width="13" style="53" customWidth="1"/>
    <col min="4135" max="4135" width="5.5703125" style="53" customWidth="1"/>
    <col min="4136" max="4352" width="2.7109375" style="53"/>
    <col min="4353" max="4356" width="3.28515625" style="53" customWidth="1"/>
    <col min="4357" max="4360" width="2.7109375" style="53"/>
    <col min="4361" max="4361" width="4.28515625" style="53" customWidth="1"/>
    <col min="4362" max="4362" width="3.42578125" style="53" customWidth="1"/>
    <col min="4363" max="4363" width="2.7109375" style="53"/>
    <col min="4364" max="4364" width="3.28515625" style="53" customWidth="1"/>
    <col min="4365" max="4365" width="4" style="53" customWidth="1"/>
    <col min="4366" max="4366" width="2.7109375" style="53"/>
    <col min="4367" max="4367" width="3.5703125" style="53" customWidth="1"/>
    <col min="4368" max="4368" width="2.7109375" style="53"/>
    <col min="4369" max="4369" width="4.42578125" style="53" customWidth="1"/>
    <col min="4370" max="4370" width="3.85546875" style="53" customWidth="1"/>
    <col min="4371" max="4371" width="3.42578125" style="53" customWidth="1"/>
    <col min="4372" max="4372" width="3.7109375" style="53" customWidth="1"/>
    <col min="4373" max="4376" width="2.7109375" style="53"/>
    <col min="4377" max="4377" width="5" style="53" customWidth="1"/>
    <col min="4378" max="4379" width="2.7109375" style="53"/>
    <col min="4380" max="4380" width="4" style="53" customWidth="1"/>
    <col min="4381" max="4381" width="2.7109375" style="53"/>
    <col min="4382" max="4382" width="3.85546875" style="53" customWidth="1"/>
    <col min="4383" max="4384" width="2.7109375" style="53"/>
    <col min="4385" max="4385" width="1" style="53" customWidth="1"/>
    <col min="4386" max="4388" width="11.5703125" style="53" bestFit="1" customWidth="1"/>
    <col min="4389" max="4389" width="5.5703125" style="53" customWidth="1"/>
    <col min="4390" max="4390" width="13" style="53" customWidth="1"/>
    <col min="4391" max="4391" width="5.5703125" style="53" customWidth="1"/>
    <col min="4392" max="4608" width="2.7109375" style="53"/>
    <col min="4609" max="4612" width="3.28515625" style="53" customWidth="1"/>
    <col min="4613" max="4616" width="2.7109375" style="53"/>
    <col min="4617" max="4617" width="4.28515625" style="53" customWidth="1"/>
    <col min="4618" max="4618" width="3.42578125" style="53" customWidth="1"/>
    <col min="4619" max="4619" width="2.7109375" style="53"/>
    <col min="4620" max="4620" width="3.28515625" style="53" customWidth="1"/>
    <col min="4621" max="4621" width="4" style="53" customWidth="1"/>
    <col min="4622" max="4622" width="2.7109375" style="53"/>
    <col min="4623" max="4623" width="3.5703125" style="53" customWidth="1"/>
    <col min="4624" max="4624" width="2.7109375" style="53"/>
    <col min="4625" max="4625" width="4.42578125" style="53" customWidth="1"/>
    <col min="4626" max="4626" width="3.85546875" style="53" customWidth="1"/>
    <col min="4627" max="4627" width="3.42578125" style="53" customWidth="1"/>
    <col min="4628" max="4628" width="3.7109375" style="53" customWidth="1"/>
    <col min="4629" max="4632" width="2.7109375" style="53"/>
    <col min="4633" max="4633" width="5" style="53" customWidth="1"/>
    <col min="4634" max="4635" width="2.7109375" style="53"/>
    <col min="4636" max="4636" width="4" style="53" customWidth="1"/>
    <col min="4637" max="4637" width="2.7109375" style="53"/>
    <col min="4638" max="4638" width="3.85546875" style="53" customWidth="1"/>
    <col min="4639" max="4640" width="2.7109375" style="53"/>
    <col min="4641" max="4641" width="1" style="53" customWidth="1"/>
    <col min="4642" max="4644" width="11.5703125" style="53" bestFit="1" customWidth="1"/>
    <col min="4645" max="4645" width="5.5703125" style="53" customWidth="1"/>
    <col min="4646" max="4646" width="13" style="53" customWidth="1"/>
    <col min="4647" max="4647" width="5.5703125" style="53" customWidth="1"/>
    <col min="4648" max="4864" width="2.7109375" style="53"/>
    <col min="4865" max="4868" width="3.28515625" style="53" customWidth="1"/>
    <col min="4869" max="4872" width="2.7109375" style="53"/>
    <col min="4873" max="4873" width="4.28515625" style="53" customWidth="1"/>
    <col min="4874" max="4874" width="3.42578125" style="53" customWidth="1"/>
    <col min="4875" max="4875" width="2.7109375" style="53"/>
    <col min="4876" max="4876" width="3.28515625" style="53" customWidth="1"/>
    <col min="4877" max="4877" width="4" style="53" customWidth="1"/>
    <col min="4878" max="4878" width="2.7109375" style="53"/>
    <col min="4879" max="4879" width="3.5703125" style="53" customWidth="1"/>
    <col min="4880" max="4880" width="2.7109375" style="53"/>
    <col min="4881" max="4881" width="4.42578125" style="53" customWidth="1"/>
    <col min="4882" max="4882" width="3.85546875" style="53" customWidth="1"/>
    <col min="4883" max="4883" width="3.42578125" style="53" customWidth="1"/>
    <col min="4884" max="4884" width="3.7109375" style="53" customWidth="1"/>
    <col min="4885" max="4888" width="2.7109375" style="53"/>
    <col min="4889" max="4889" width="5" style="53" customWidth="1"/>
    <col min="4890" max="4891" width="2.7109375" style="53"/>
    <col min="4892" max="4892" width="4" style="53" customWidth="1"/>
    <col min="4893" max="4893" width="2.7109375" style="53"/>
    <col min="4894" max="4894" width="3.85546875" style="53" customWidth="1"/>
    <col min="4895" max="4896" width="2.7109375" style="53"/>
    <col min="4897" max="4897" width="1" style="53" customWidth="1"/>
    <col min="4898" max="4900" width="11.5703125" style="53" bestFit="1" customWidth="1"/>
    <col min="4901" max="4901" width="5.5703125" style="53" customWidth="1"/>
    <col min="4902" max="4902" width="13" style="53" customWidth="1"/>
    <col min="4903" max="4903" width="5.5703125" style="53" customWidth="1"/>
    <col min="4904" max="5120" width="2.7109375" style="53"/>
    <col min="5121" max="5124" width="3.28515625" style="53" customWidth="1"/>
    <col min="5125" max="5128" width="2.7109375" style="53"/>
    <col min="5129" max="5129" width="4.28515625" style="53" customWidth="1"/>
    <col min="5130" max="5130" width="3.42578125" style="53" customWidth="1"/>
    <col min="5131" max="5131" width="2.7109375" style="53"/>
    <col min="5132" max="5132" width="3.28515625" style="53" customWidth="1"/>
    <col min="5133" max="5133" width="4" style="53" customWidth="1"/>
    <col min="5134" max="5134" width="2.7109375" style="53"/>
    <col min="5135" max="5135" width="3.5703125" style="53" customWidth="1"/>
    <col min="5136" max="5136" width="2.7109375" style="53"/>
    <col min="5137" max="5137" width="4.42578125" style="53" customWidth="1"/>
    <col min="5138" max="5138" width="3.85546875" style="53" customWidth="1"/>
    <col min="5139" max="5139" width="3.42578125" style="53" customWidth="1"/>
    <col min="5140" max="5140" width="3.7109375" style="53" customWidth="1"/>
    <col min="5141" max="5144" width="2.7109375" style="53"/>
    <col min="5145" max="5145" width="5" style="53" customWidth="1"/>
    <col min="5146" max="5147" width="2.7109375" style="53"/>
    <col min="5148" max="5148" width="4" style="53" customWidth="1"/>
    <col min="5149" max="5149" width="2.7109375" style="53"/>
    <col min="5150" max="5150" width="3.85546875" style="53" customWidth="1"/>
    <col min="5151" max="5152" width="2.7109375" style="53"/>
    <col min="5153" max="5153" width="1" style="53" customWidth="1"/>
    <col min="5154" max="5156" width="11.5703125" style="53" bestFit="1" customWidth="1"/>
    <col min="5157" max="5157" width="5.5703125" style="53" customWidth="1"/>
    <col min="5158" max="5158" width="13" style="53" customWidth="1"/>
    <col min="5159" max="5159" width="5.5703125" style="53" customWidth="1"/>
    <col min="5160" max="5376" width="2.7109375" style="53"/>
    <col min="5377" max="5380" width="3.28515625" style="53" customWidth="1"/>
    <col min="5381" max="5384" width="2.7109375" style="53"/>
    <col min="5385" max="5385" width="4.28515625" style="53" customWidth="1"/>
    <col min="5386" max="5386" width="3.42578125" style="53" customWidth="1"/>
    <col min="5387" max="5387" width="2.7109375" style="53"/>
    <col min="5388" max="5388" width="3.28515625" style="53" customWidth="1"/>
    <col min="5389" max="5389" width="4" style="53" customWidth="1"/>
    <col min="5390" max="5390" width="2.7109375" style="53"/>
    <col min="5391" max="5391" width="3.5703125" style="53" customWidth="1"/>
    <col min="5392" max="5392" width="2.7109375" style="53"/>
    <col min="5393" max="5393" width="4.42578125" style="53" customWidth="1"/>
    <col min="5394" max="5394" width="3.85546875" style="53" customWidth="1"/>
    <col min="5395" max="5395" width="3.42578125" style="53" customWidth="1"/>
    <col min="5396" max="5396" width="3.7109375" style="53" customWidth="1"/>
    <col min="5397" max="5400" width="2.7109375" style="53"/>
    <col min="5401" max="5401" width="5" style="53" customWidth="1"/>
    <col min="5402" max="5403" width="2.7109375" style="53"/>
    <col min="5404" max="5404" width="4" style="53" customWidth="1"/>
    <col min="5405" max="5405" width="2.7109375" style="53"/>
    <col min="5406" max="5406" width="3.85546875" style="53" customWidth="1"/>
    <col min="5407" max="5408" width="2.7109375" style="53"/>
    <col min="5409" max="5409" width="1" style="53" customWidth="1"/>
    <col min="5410" max="5412" width="11.5703125" style="53" bestFit="1" customWidth="1"/>
    <col min="5413" max="5413" width="5.5703125" style="53" customWidth="1"/>
    <col min="5414" max="5414" width="13" style="53" customWidth="1"/>
    <col min="5415" max="5415" width="5.5703125" style="53" customWidth="1"/>
    <col min="5416" max="5632" width="2.7109375" style="53"/>
    <col min="5633" max="5636" width="3.28515625" style="53" customWidth="1"/>
    <col min="5637" max="5640" width="2.7109375" style="53"/>
    <col min="5641" max="5641" width="4.28515625" style="53" customWidth="1"/>
    <col min="5642" max="5642" width="3.42578125" style="53" customWidth="1"/>
    <col min="5643" max="5643" width="2.7109375" style="53"/>
    <col min="5644" max="5644" width="3.28515625" style="53" customWidth="1"/>
    <col min="5645" max="5645" width="4" style="53" customWidth="1"/>
    <col min="5646" max="5646" width="2.7109375" style="53"/>
    <col min="5647" max="5647" width="3.5703125" style="53" customWidth="1"/>
    <col min="5648" max="5648" width="2.7109375" style="53"/>
    <col min="5649" max="5649" width="4.42578125" style="53" customWidth="1"/>
    <col min="5650" max="5650" width="3.85546875" style="53" customWidth="1"/>
    <col min="5651" max="5651" width="3.42578125" style="53" customWidth="1"/>
    <col min="5652" max="5652" width="3.7109375" style="53" customWidth="1"/>
    <col min="5653" max="5656" width="2.7109375" style="53"/>
    <col min="5657" max="5657" width="5" style="53" customWidth="1"/>
    <col min="5658" max="5659" width="2.7109375" style="53"/>
    <col min="5660" max="5660" width="4" style="53" customWidth="1"/>
    <col min="5661" max="5661" width="2.7109375" style="53"/>
    <col min="5662" max="5662" width="3.85546875" style="53" customWidth="1"/>
    <col min="5663" max="5664" width="2.7109375" style="53"/>
    <col min="5665" max="5665" width="1" style="53" customWidth="1"/>
    <col min="5666" max="5668" width="11.5703125" style="53" bestFit="1" customWidth="1"/>
    <col min="5669" max="5669" width="5.5703125" style="53" customWidth="1"/>
    <col min="5670" max="5670" width="13" style="53" customWidth="1"/>
    <col min="5671" max="5671" width="5.5703125" style="53" customWidth="1"/>
    <col min="5672" max="5888" width="2.7109375" style="53"/>
    <col min="5889" max="5892" width="3.28515625" style="53" customWidth="1"/>
    <col min="5893" max="5896" width="2.7109375" style="53"/>
    <col min="5897" max="5897" width="4.28515625" style="53" customWidth="1"/>
    <col min="5898" max="5898" width="3.42578125" style="53" customWidth="1"/>
    <col min="5899" max="5899" width="2.7109375" style="53"/>
    <col min="5900" max="5900" width="3.28515625" style="53" customWidth="1"/>
    <col min="5901" max="5901" width="4" style="53" customWidth="1"/>
    <col min="5902" max="5902" width="2.7109375" style="53"/>
    <col min="5903" max="5903" width="3.5703125" style="53" customWidth="1"/>
    <col min="5904" max="5904" width="2.7109375" style="53"/>
    <col min="5905" max="5905" width="4.42578125" style="53" customWidth="1"/>
    <col min="5906" max="5906" width="3.85546875" style="53" customWidth="1"/>
    <col min="5907" max="5907" width="3.42578125" style="53" customWidth="1"/>
    <col min="5908" max="5908" width="3.7109375" style="53" customWidth="1"/>
    <col min="5909" max="5912" width="2.7109375" style="53"/>
    <col min="5913" max="5913" width="5" style="53" customWidth="1"/>
    <col min="5914" max="5915" width="2.7109375" style="53"/>
    <col min="5916" max="5916" width="4" style="53" customWidth="1"/>
    <col min="5917" max="5917" width="2.7109375" style="53"/>
    <col min="5918" max="5918" width="3.85546875" style="53" customWidth="1"/>
    <col min="5919" max="5920" width="2.7109375" style="53"/>
    <col min="5921" max="5921" width="1" style="53" customWidth="1"/>
    <col min="5922" max="5924" width="11.5703125" style="53" bestFit="1" customWidth="1"/>
    <col min="5925" max="5925" width="5.5703125" style="53" customWidth="1"/>
    <col min="5926" max="5926" width="13" style="53" customWidth="1"/>
    <col min="5927" max="5927" width="5.5703125" style="53" customWidth="1"/>
    <col min="5928" max="6144" width="2.7109375" style="53"/>
    <col min="6145" max="6148" width="3.28515625" style="53" customWidth="1"/>
    <col min="6149" max="6152" width="2.7109375" style="53"/>
    <col min="6153" max="6153" width="4.28515625" style="53" customWidth="1"/>
    <col min="6154" max="6154" width="3.42578125" style="53" customWidth="1"/>
    <col min="6155" max="6155" width="2.7109375" style="53"/>
    <col min="6156" max="6156" width="3.28515625" style="53" customWidth="1"/>
    <col min="6157" max="6157" width="4" style="53" customWidth="1"/>
    <col min="6158" max="6158" width="2.7109375" style="53"/>
    <col min="6159" max="6159" width="3.5703125" style="53" customWidth="1"/>
    <col min="6160" max="6160" width="2.7109375" style="53"/>
    <col min="6161" max="6161" width="4.42578125" style="53" customWidth="1"/>
    <col min="6162" max="6162" width="3.85546875" style="53" customWidth="1"/>
    <col min="6163" max="6163" width="3.42578125" style="53" customWidth="1"/>
    <col min="6164" max="6164" width="3.7109375" style="53" customWidth="1"/>
    <col min="6165" max="6168" width="2.7109375" style="53"/>
    <col min="6169" max="6169" width="5" style="53" customWidth="1"/>
    <col min="6170" max="6171" width="2.7109375" style="53"/>
    <col min="6172" max="6172" width="4" style="53" customWidth="1"/>
    <col min="6173" max="6173" width="2.7109375" style="53"/>
    <col min="6174" max="6174" width="3.85546875" style="53" customWidth="1"/>
    <col min="6175" max="6176" width="2.7109375" style="53"/>
    <col min="6177" max="6177" width="1" style="53" customWidth="1"/>
    <col min="6178" max="6180" width="11.5703125" style="53" bestFit="1" customWidth="1"/>
    <col min="6181" max="6181" width="5.5703125" style="53" customWidth="1"/>
    <col min="6182" max="6182" width="13" style="53" customWidth="1"/>
    <col min="6183" max="6183" width="5.5703125" style="53" customWidth="1"/>
    <col min="6184" max="6400" width="2.7109375" style="53"/>
    <col min="6401" max="6404" width="3.28515625" style="53" customWidth="1"/>
    <col min="6405" max="6408" width="2.7109375" style="53"/>
    <col min="6409" max="6409" width="4.28515625" style="53" customWidth="1"/>
    <col min="6410" max="6410" width="3.42578125" style="53" customWidth="1"/>
    <col min="6411" max="6411" width="2.7109375" style="53"/>
    <col min="6412" max="6412" width="3.28515625" style="53" customWidth="1"/>
    <col min="6413" max="6413" width="4" style="53" customWidth="1"/>
    <col min="6414" max="6414" width="2.7109375" style="53"/>
    <col min="6415" max="6415" width="3.5703125" style="53" customWidth="1"/>
    <col min="6416" max="6416" width="2.7109375" style="53"/>
    <col min="6417" max="6417" width="4.42578125" style="53" customWidth="1"/>
    <col min="6418" max="6418" width="3.85546875" style="53" customWidth="1"/>
    <col min="6419" max="6419" width="3.42578125" style="53" customWidth="1"/>
    <col min="6420" max="6420" width="3.7109375" style="53" customWidth="1"/>
    <col min="6421" max="6424" width="2.7109375" style="53"/>
    <col min="6425" max="6425" width="5" style="53" customWidth="1"/>
    <col min="6426" max="6427" width="2.7109375" style="53"/>
    <col min="6428" max="6428" width="4" style="53" customWidth="1"/>
    <col min="6429" max="6429" width="2.7109375" style="53"/>
    <col min="6430" max="6430" width="3.85546875" style="53" customWidth="1"/>
    <col min="6431" max="6432" width="2.7109375" style="53"/>
    <col min="6433" max="6433" width="1" style="53" customWidth="1"/>
    <col min="6434" max="6436" width="11.5703125" style="53" bestFit="1" customWidth="1"/>
    <col min="6437" max="6437" width="5.5703125" style="53" customWidth="1"/>
    <col min="6438" max="6438" width="13" style="53" customWidth="1"/>
    <col min="6439" max="6439" width="5.5703125" style="53" customWidth="1"/>
    <col min="6440" max="6656" width="2.7109375" style="53"/>
    <col min="6657" max="6660" width="3.28515625" style="53" customWidth="1"/>
    <col min="6661" max="6664" width="2.7109375" style="53"/>
    <col min="6665" max="6665" width="4.28515625" style="53" customWidth="1"/>
    <col min="6666" max="6666" width="3.42578125" style="53" customWidth="1"/>
    <col min="6667" max="6667" width="2.7109375" style="53"/>
    <col min="6668" max="6668" width="3.28515625" style="53" customWidth="1"/>
    <col min="6669" max="6669" width="4" style="53" customWidth="1"/>
    <col min="6670" max="6670" width="2.7109375" style="53"/>
    <col min="6671" max="6671" width="3.5703125" style="53" customWidth="1"/>
    <col min="6672" max="6672" width="2.7109375" style="53"/>
    <col min="6673" max="6673" width="4.42578125" style="53" customWidth="1"/>
    <col min="6674" max="6674" width="3.85546875" style="53" customWidth="1"/>
    <col min="6675" max="6675" width="3.42578125" style="53" customWidth="1"/>
    <col min="6676" max="6676" width="3.7109375" style="53" customWidth="1"/>
    <col min="6677" max="6680" width="2.7109375" style="53"/>
    <col min="6681" max="6681" width="5" style="53" customWidth="1"/>
    <col min="6682" max="6683" width="2.7109375" style="53"/>
    <col min="6684" max="6684" width="4" style="53" customWidth="1"/>
    <col min="6685" max="6685" width="2.7109375" style="53"/>
    <col min="6686" max="6686" width="3.85546875" style="53" customWidth="1"/>
    <col min="6687" max="6688" width="2.7109375" style="53"/>
    <col min="6689" max="6689" width="1" style="53" customWidth="1"/>
    <col min="6690" max="6692" width="11.5703125" style="53" bestFit="1" customWidth="1"/>
    <col min="6693" max="6693" width="5.5703125" style="53" customWidth="1"/>
    <col min="6694" max="6694" width="13" style="53" customWidth="1"/>
    <col min="6695" max="6695" width="5.5703125" style="53" customWidth="1"/>
    <col min="6696" max="6912" width="2.7109375" style="53"/>
    <col min="6913" max="6916" width="3.28515625" style="53" customWidth="1"/>
    <col min="6917" max="6920" width="2.7109375" style="53"/>
    <col min="6921" max="6921" width="4.28515625" style="53" customWidth="1"/>
    <col min="6922" max="6922" width="3.42578125" style="53" customWidth="1"/>
    <col min="6923" max="6923" width="2.7109375" style="53"/>
    <col min="6924" max="6924" width="3.28515625" style="53" customWidth="1"/>
    <col min="6925" max="6925" width="4" style="53" customWidth="1"/>
    <col min="6926" max="6926" width="2.7109375" style="53"/>
    <col min="6927" max="6927" width="3.5703125" style="53" customWidth="1"/>
    <col min="6928" max="6928" width="2.7109375" style="53"/>
    <col min="6929" max="6929" width="4.42578125" style="53" customWidth="1"/>
    <col min="6930" max="6930" width="3.85546875" style="53" customWidth="1"/>
    <col min="6931" max="6931" width="3.42578125" style="53" customWidth="1"/>
    <col min="6932" max="6932" width="3.7109375" style="53" customWidth="1"/>
    <col min="6933" max="6936" width="2.7109375" style="53"/>
    <col min="6937" max="6937" width="5" style="53" customWidth="1"/>
    <col min="6938" max="6939" width="2.7109375" style="53"/>
    <col min="6940" max="6940" width="4" style="53" customWidth="1"/>
    <col min="6941" max="6941" width="2.7109375" style="53"/>
    <col min="6942" max="6942" width="3.85546875" style="53" customWidth="1"/>
    <col min="6943" max="6944" width="2.7109375" style="53"/>
    <col min="6945" max="6945" width="1" style="53" customWidth="1"/>
    <col min="6946" max="6948" width="11.5703125" style="53" bestFit="1" customWidth="1"/>
    <col min="6949" max="6949" width="5.5703125" style="53" customWidth="1"/>
    <col min="6950" max="6950" width="13" style="53" customWidth="1"/>
    <col min="6951" max="6951" width="5.5703125" style="53" customWidth="1"/>
    <col min="6952" max="7168" width="2.7109375" style="53"/>
    <col min="7169" max="7172" width="3.28515625" style="53" customWidth="1"/>
    <col min="7173" max="7176" width="2.7109375" style="53"/>
    <col min="7177" max="7177" width="4.28515625" style="53" customWidth="1"/>
    <col min="7178" max="7178" width="3.42578125" style="53" customWidth="1"/>
    <col min="7179" max="7179" width="2.7109375" style="53"/>
    <col min="7180" max="7180" width="3.28515625" style="53" customWidth="1"/>
    <col min="7181" max="7181" width="4" style="53" customWidth="1"/>
    <col min="7182" max="7182" width="2.7109375" style="53"/>
    <col min="7183" max="7183" width="3.5703125" style="53" customWidth="1"/>
    <col min="7184" max="7184" width="2.7109375" style="53"/>
    <col min="7185" max="7185" width="4.42578125" style="53" customWidth="1"/>
    <col min="7186" max="7186" width="3.85546875" style="53" customWidth="1"/>
    <col min="7187" max="7187" width="3.42578125" style="53" customWidth="1"/>
    <col min="7188" max="7188" width="3.7109375" style="53" customWidth="1"/>
    <col min="7189" max="7192" width="2.7109375" style="53"/>
    <col min="7193" max="7193" width="5" style="53" customWidth="1"/>
    <col min="7194" max="7195" width="2.7109375" style="53"/>
    <col min="7196" max="7196" width="4" style="53" customWidth="1"/>
    <col min="7197" max="7197" width="2.7109375" style="53"/>
    <col min="7198" max="7198" width="3.85546875" style="53" customWidth="1"/>
    <col min="7199" max="7200" width="2.7109375" style="53"/>
    <col min="7201" max="7201" width="1" style="53" customWidth="1"/>
    <col min="7202" max="7204" width="11.5703125" style="53" bestFit="1" customWidth="1"/>
    <col min="7205" max="7205" width="5.5703125" style="53" customWidth="1"/>
    <col min="7206" max="7206" width="13" style="53" customWidth="1"/>
    <col min="7207" max="7207" width="5.5703125" style="53" customWidth="1"/>
    <col min="7208" max="7424" width="2.7109375" style="53"/>
    <col min="7425" max="7428" width="3.28515625" style="53" customWidth="1"/>
    <col min="7429" max="7432" width="2.7109375" style="53"/>
    <col min="7433" max="7433" width="4.28515625" style="53" customWidth="1"/>
    <col min="7434" max="7434" width="3.42578125" style="53" customWidth="1"/>
    <col min="7435" max="7435" width="2.7109375" style="53"/>
    <col min="7436" max="7436" width="3.28515625" style="53" customWidth="1"/>
    <col min="7437" max="7437" width="4" style="53" customWidth="1"/>
    <col min="7438" max="7438" width="2.7109375" style="53"/>
    <col min="7439" max="7439" width="3.5703125" style="53" customWidth="1"/>
    <col min="7440" max="7440" width="2.7109375" style="53"/>
    <col min="7441" max="7441" width="4.42578125" style="53" customWidth="1"/>
    <col min="7442" max="7442" width="3.85546875" style="53" customWidth="1"/>
    <col min="7443" max="7443" width="3.42578125" style="53" customWidth="1"/>
    <col min="7444" max="7444" width="3.7109375" style="53" customWidth="1"/>
    <col min="7445" max="7448" width="2.7109375" style="53"/>
    <col min="7449" max="7449" width="5" style="53" customWidth="1"/>
    <col min="7450" max="7451" width="2.7109375" style="53"/>
    <col min="7452" max="7452" width="4" style="53" customWidth="1"/>
    <col min="7453" max="7453" width="2.7109375" style="53"/>
    <col min="7454" max="7454" width="3.85546875" style="53" customWidth="1"/>
    <col min="7455" max="7456" width="2.7109375" style="53"/>
    <col min="7457" max="7457" width="1" style="53" customWidth="1"/>
    <col min="7458" max="7460" width="11.5703125" style="53" bestFit="1" customWidth="1"/>
    <col min="7461" max="7461" width="5.5703125" style="53" customWidth="1"/>
    <col min="7462" max="7462" width="13" style="53" customWidth="1"/>
    <col min="7463" max="7463" width="5.5703125" style="53" customWidth="1"/>
    <col min="7464" max="7680" width="2.7109375" style="53"/>
    <col min="7681" max="7684" width="3.28515625" style="53" customWidth="1"/>
    <col min="7685" max="7688" width="2.7109375" style="53"/>
    <col min="7689" max="7689" width="4.28515625" style="53" customWidth="1"/>
    <col min="7690" max="7690" width="3.42578125" style="53" customWidth="1"/>
    <col min="7691" max="7691" width="2.7109375" style="53"/>
    <col min="7692" max="7692" width="3.28515625" style="53" customWidth="1"/>
    <col min="7693" max="7693" width="4" style="53" customWidth="1"/>
    <col min="7694" max="7694" width="2.7109375" style="53"/>
    <col min="7695" max="7695" width="3.5703125" style="53" customWidth="1"/>
    <col min="7696" max="7696" width="2.7109375" style="53"/>
    <col min="7697" max="7697" width="4.42578125" style="53" customWidth="1"/>
    <col min="7698" max="7698" width="3.85546875" style="53" customWidth="1"/>
    <col min="7699" max="7699" width="3.42578125" style="53" customWidth="1"/>
    <col min="7700" max="7700" width="3.7109375" style="53" customWidth="1"/>
    <col min="7701" max="7704" width="2.7109375" style="53"/>
    <col min="7705" max="7705" width="5" style="53" customWidth="1"/>
    <col min="7706" max="7707" width="2.7109375" style="53"/>
    <col min="7708" max="7708" width="4" style="53" customWidth="1"/>
    <col min="7709" max="7709" width="2.7109375" style="53"/>
    <col min="7710" max="7710" width="3.85546875" style="53" customWidth="1"/>
    <col min="7711" max="7712" width="2.7109375" style="53"/>
    <col min="7713" max="7713" width="1" style="53" customWidth="1"/>
    <col min="7714" max="7716" width="11.5703125" style="53" bestFit="1" customWidth="1"/>
    <col min="7717" max="7717" width="5.5703125" style="53" customWidth="1"/>
    <col min="7718" max="7718" width="13" style="53" customWidth="1"/>
    <col min="7719" max="7719" width="5.5703125" style="53" customWidth="1"/>
    <col min="7720" max="7936" width="2.7109375" style="53"/>
    <col min="7937" max="7940" width="3.28515625" style="53" customWidth="1"/>
    <col min="7941" max="7944" width="2.7109375" style="53"/>
    <col min="7945" max="7945" width="4.28515625" style="53" customWidth="1"/>
    <col min="7946" max="7946" width="3.42578125" style="53" customWidth="1"/>
    <col min="7947" max="7947" width="2.7109375" style="53"/>
    <col min="7948" max="7948" width="3.28515625" style="53" customWidth="1"/>
    <col min="7949" max="7949" width="4" style="53" customWidth="1"/>
    <col min="7950" max="7950" width="2.7109375" style="53"/>
    <col min="7951" max="7951" width="3.5703125" style="53" customWidth="1"/>
    <col min="7952" max="7952" width="2.7109375" style="53"/>
    <col min="7953" max="7953" width="4.42578125" style="53" customWidth="1"/>
    <col min="7954" max="7954" width="3.85546875" style="53" customWidth="1"/>
    <col min="7955" max="7955" width="3.42578125" style="53" customWidth="1"/>
    <col min="7956" max="7956" width="3.7109375" style="53" customWidth="1"/>
    <col min="7957" max="7960" width="2.7109375" style="53"/>
    <col min="7961" max="7961" width="5" style="53" customWidth="1"/>
    <col min="7962" max="7963" width="2.7109375" style="53"/>
    <col min="7964" max="7964" width="4" style="53" customWidth="1"/>
    <col min="7965" max="7965" width="2.7109375" style="53"/>
    <col min="7966" max="7966" width="3.85546875" style="53" customWidth="1"/>
    <col min="7967" max="7968" width="2.7109375" style="53"/>
    <col min="7969" max="7969" width="1" style="53" customWidth="1"/>
    <col min="7970" max="7972" width="11.5703125" style="53" bestFit="1" customWidth="1"/>
    <col min="7973" max="7973" width="5.5703125" style="53" customWidth="1"/>
    <col min="7974" max="7974" width="13" style="53" customWidth="1"/>
    <col min="7975" max="7975" width="5.5703125" style="53" customWidth="1"/>
    <col min="7976" max="8192" width="2.7109375" style="53"/>
    <col min="8193" max="8196" width="3.28515625" style="53" customWidth="1"/>
    <col min="8197" max="8200" width="2.7109375" style="53"/>
    <col min="8201" max="8201" width="4.28515625" style="53" customWidth="1"/>
    <col min="8202" max="8202" width="3.42578125" style="53" customWidth="1"/>
    <col min="8203" max="8203" width="2.7109375" style="53"/>
    <col min="8204" max="8204" width="3.28515625" style="53" customWidth="1"/>
    <col min="8205" max="8205" width="4" style="53" customWidth="1"/>
    <col min="8206" max="8206" width="2.7109375" style="53"/>
    <col min="8207" max="8207" width="3.5703125" style="53" customWidth="1"/>
    <col min="8208" max="8208" width="2.7109375" style="53"/>
    <col min="8209" max="8209" width="4.42578125" style="53" customWidth="1"/>
    <col min="8210" max="8210" width="3.85546875" style="53" customWidth="1"/>
    <col min="8211" max="8211" width="3.42578125" style="53" customWidth="1"/>
    <col min="8212" max="8212" width="3.7109375" style="53" customWidth="1"/>
    <col min="8213" max="8216" width="2.7109375" style="53"/>
    <col min="8217" max="8217" width="5" style="53" customWidth="1"/>
    <col min="8218" max="8219" width="2.7109375" style="53"/>
    <col min="8220" max="8220" width="4" style="53" customWidth="1"/>
    <col min="8221" max="8221" width="2.7109375" style="53"/>
    <col min="8222" max="8222" width="3.85546875" style="53" customWidth="1"/>
    <col min="8223" max="8224" width="2.7109375" style="53"/>
    <col min="8225" max="8225" width="1" style="53" customWidth="1"/>
    <col min="8226" max="8228" width="11.5703125" style="53" bestFit="1" customWidth="1"/>
    <col min="8229" max="8229" width="5.5703125" style="53" customWidth="1"/>
    <col min="8230" max="8230" width="13" style="53" customWidth="1"/>
    <col min="8231" max="8231" width="5.5703125" style="53" customWidth="1"/>
    <col min="8232" max="8448" width="2.7109375" style="53"/>
    <col min="8449" max="8452" width="3.28515625" style="53" customWidth="1"/>
    <col min="8453" max="8456" width="2.7109375" style="53"/>
    <col min="8457" max="8457" width="4.28515625" style="53" customWidth="1"/>
    <col min="8458" max="8458" width="3.42578125" style="53" customWidth="1"/>
    <col min="8459" max="8459" width="2.7109375" style="53"/>
    <col min="8460" max="8460" width="3.28515625" style="53" customWidth="1"/>
    <col min="8461" max="8461" width="4" style="53" customWidth="1"/>
    <col min="8462" max="8462" width="2.7109375" style="53"/>
    <col min="8463" max="8463" width="3.5703125" style="53" customWidth="1"/>
    <col min="8464" max="8464" width="2.7109375" style="53"/>
    <col min="8465" max="8465" width="4.42578125" style="53" customWidth="1"/>
    <col min="8466" max="8466" width="3.85546875" style="53" customWidth="1"/>
    <col min="8467" max="8467" width="3.42578125" style="53" customWidth="1"/>
    <col min="8468" max="8468" width="3.7109375" style="53" customWidth="1"/>
    <col min="8469" max="8472" width="2.7109375" style="53"/>
    <col min="8473" max="8473" width="5" style="53" customWidth="1"/>
    <col min="8474" max="8475" width="2.7109375" style="53"/>
    <col min="8476" max="8476" width="4" style="53" customWidth="1"/>
    <col min="8477" max="8477" width="2.7109375" style="53"/>
    <col min="8478" max="8478" width="3.85546875" style="53" customWidth="1"/>
    <col min="8479" max="8480" width="2.7109375" style="53"/>
    <col min="8481" max="8481" width="1" style="53" customWidth="1"/>
    <col min="8482" max="8484" width="11.5703125" style="53" bestFit="1" customWidth="1"/>
    <col min="8485" max="8485" width="5.5703125" style="53" customWidth="1"/>
    <col min="8486" max="8486" width="13" style="53" customWidth="1"/>
    <col min="8487" max="8487" width="5.5703125" style="53" customWidth="1"/>
    <col min="8488" max="8704" width="2.7109375" style="53"/>
    <col min="8705" max="8708" width="3.28515625" style="53" customWidth="1"/>
    <col min="8709" max="8712" width="2.7109375" style="53"/>
    <col min="8713" max="8713" width="4.28515625" style="53" customWidth="1"/>
    <col min="8714" max="8714" width="3.42578125" style="53" customWidth="1"/>
    <col min="8715" max="8715" width="2.7109375" style="53"/>
    <col min="8716" max="8716" width="3.28515625" style="53" customWidth="1"/>
    <col min="8717" max="8717" width="4" style="53" customWidth="1"/>
    <col min="8718" max="8718" width="2.7109375" style="53"/>
    <col min="8719" max="8719" width="3.5703125" style="53" customWidth="1"/>
    <col min="8720" max="8720" width="2.7109375" style="53"/>
    <col min="8721" max="8721" width="4.42578125" style="53" customWidth="1"/>
    <col min="8722" max="8722" width="3.85546875" style="53" customWidth="1"/>
    <col min="8723" max="8723" width="3.42578125" style="53" customWidth="1"/>
    <col min="8724" max="8724" width="3.7109375" style="53" customWidth="1"/>
    <col min="8725" max="8728" width="2.7109375" style="53"/>
    <col min="8729" max="8729" width="5" style="53" customWidth="1"/>
    <col min="8730" max="8731" width="2.7109375" style="53"/>
    <col min="8732" max="8732" width="4" style="53" customWidth="1"/>
    <col min="8733" max="8733" width="2.7109375" style="53"/>
    <col min="8734" max="8734" width="3.85546875" style="53" customWidth="1"/>
    <col min="8735" max="8736" width="2.7109375" style="53"/>
    <col min="8737" max="8737" width="1" style="53" customWidth="1"/>
    <col min="8738" max="8740" width="11.5703125" style="53" bestFit="1" customWidth="1"/>
    <col min="8741" max="8741" width="5.5703125" style="53" customWidth="1"/>
    <col min="8742" max="8742" width="13" style="53" customWidth="1"/>
    <col min="8743" max="8743" width="5.5703125" style="53" customWidth="1"/>
    <col min="8744" max="8960" width="2.7109375" style="53"/>
    <col min="8961" max="8964" width="3.28515625" style="53" customWidth="1"/>
    <col min="8965" max="8968" width="2.7109375" style="53"/>
    <col min="8969" max="8969" width="4.28515625" style="53" customWidth="1"/>
    <col min="8970" max="8970" width="3.42578125" style="53" customWidth="1"/>
    <col min="8971" max="8971" width="2.7109375" style="53"/>
    <col min="8972" max="8972" width="3.28515625" style="53" customWidth="1"/>
    <col min="8973" max="8973" width="4" style="53" customWidth="1"/>
    <col min="8974" max="8974" width="2.7109375" style="53"/>
    <col min="8975" max="8975" width="3.5703125" style="53" customWidth="1"/>
    <col min="8976" max="8976" width="2.7109375" style="53"/>
    <col min="8977" max="8977" width="4.42578125" style="53" customWidth="1"/>
    <col min="8978" max="8978" width="3.85546875" style="53" customWidth="1"/>
    <col min="8979" max="8979" width="3.42578125" style="53" customWidth="1"/>
    <col min="8980" max="8980" width="3.7109375" style="53" customWidth="1"/>
    <col min="8981" max="8984" width="2.7109375" style="53"/>
    <col min="8985" max="8985" width="5" style="53" customWidth="1"/>
    <col min="8986" max="8987" width="2.7109375" style="53"/>
    <col min="8988" max="8988" width="4" style="53" customWidth="1"/>
    <col min="8989" max="8989" width="2.7109375" style="53"/>
    <col min="8990" max="8990" width="3.85546875" style="53" customWidth="1"/>
    <col min="8991" max="8992" width="2.7109375" style="53"/>
    <col min="8993" max="8993" width="1" style="53" customWidth="1"/>
    <col min="8994" max="8996" width="11.5703125" style="53" bestFit="1" customWidth="1"/>
    <col min="8997" max="8997" width="5.5703125" style="53" customWidth="1"/>
    <col min="8998" max="8998" width="13" style="53" customWidth="1"/>
    <col min="8999" max="8999" width="5.5703125" style="53" customWidth="1"/>
    <col min="9000" max="9216" width="2.7109375" style="53"/>
    <col min="9217" max="9220" width="3.28515625" style="53" customWidth="1"/>
    <col min="9221" max="9224" width="2.7109375" style="53"/>
    <col min="9225" max="9225" width="4.28515625" style="53" customWidth="1"/>
    <col min="9226" max="9226" width="3.42578125" style="53" customWidth="1"/>
    <col min="9227" max="9227" width="2.7109375" style="53"/>
    <col min="9228" max="9228" width="3.28515625" style="53" customWidth="1"/>
    <col min="9229" max="9229" width="4" style="53" customWidth="1"/>
    <col min="9230" max="9230" width="2.7109375" style="53"/>
    <col min="9231" max="9231" width="3.5703125" style="53" customWidth="1"/>
    <col min="9232" max="9232" width="2.7109375" style="53"/>
    <col min="9233" max="9233" width="4.42578125" style="53" customWidth="1"/>
    <col min="9234" max="9234" width="3.85546875" style="53" customWidth="1"/>
    <col min="9235" max="9235" width="3.42578125" style="53" customWidth="1"/>
    <col min="9236" max="9236" width="3.7109375" style="53" customWidth="1"/>
    <col min="9237" max="9240" width="2.7109375" style="53"/>
    <col min="9241" max="9241" width="5" style="53" customWidth="1"/>
    <col min="9242" max="9243" width="2.7109375" style="53"/>
    <col min="9244" max="9244" width="4" style="53" customWidth="1"/>
    <col min="9245" max="9245" width="2.7109375" style="53"/>
    <col min="9246" max="9246" width="3.85546875" style="53" customWidth="1"/>
    <col min="9247" max="9248" width="2.7109375" style="53"/>
    <col min="9249" max="9249" width="1" style="53" customWidth="1"/>
    <col min="9250" max="9252" width="11.5703125" style="53" bestFit="1" customWidth="1"/>
    <col min="9253" max="9253" width="5.5703125" style="53" customWidth="1"/>
    <col min="9254" max="9254" width="13" style="53" customWidth="1"/>
    <col min="9255" max="9255" width="5.5703125" style="53" customWidth="1"/>
    <col min="9256" max="9472" width="2.7109375" style="53"/>
    <col min="9473" max="9476" width="3.28515625" style="53" customWidth="1"/>
    <col min="9477" max="9480" width="2.7109375" style="53"/>
    <col min="9481" max="9481" width="4.28515625" style="53" customWidth="1"/>
    <col min="9482" max="9482" width="3.42578125" style="53" customWidth="1"/>
    <col min="9483" max="9483" width="2.7109375" style="53"/>
    <col min="9484" max="9484" width="3.28515625" style="53" customWidth="1"/>
    <col min="9485" max="9485" width="4" style="53" customWidth="1"/>
    <col min="9486" max="9486" width="2.7109375" style="53"/>
    <col min="9487" max="9487" width="3.5703125" style="53" customWidth="1"/>
    <col min="9488" max="9488" width="2.7109375" style="53"/>
    <col min="9489" max="9489" width="4.42578125" style="53" customWidth="1"/>
    <col min="9490" max="9490" width="3.85546875" style="53" customWidth="1"/>
    <col min="9491" max="9491" width="3.42578125" style="53" customWidth="1"/>
    <col min="9492" max="9492" width="3.7109375" style="53" customWidth="1"/>
    <col min="9493" max="9496" width="2.7109375" style="53"/>
    <col min="9497" max="9497" width="5" style="53" customWidth="1"/>
    <col min="9498" max="9499" width="2.7109375" style="53"/>
    <col min="9500" max="9500" width="4" style="53" customWidth="1"/>
    <col min="9501" max="9501" width="2.7109375" style="53"/>
    <col min="9502" max="9502" width="3.85546875" style="53" customWidth="1"/>
    <col min="9503" max="9504" width="2.7109375" style="53"/>
    <col min="9505" max="9505" width="1" style="53" customWidth="1"/>
    <col min="9506" max="9508" width="11.5703125" style="53" bestFit="1" customWidth="1"/>
    <col min="9509" max="9509" width="5.5703125" style="53" customWidth="1"/>
    <col min="9510" max="9510" width="13" style="53" customWidth="1"/>
    <col min="9511" max="9511" width="5.5703125" style="53" customWidth="1"/>
    <col min="9512" max="9728" width="2.7109375" style="53"/>
    <col min="9729" max="9732" width="3.28515625" style="53" customWidth="1"/>
    <col min="9733" max="9736" width="2.7109375" style="53"/>
    <col min="9737" max="9737" width="4.28515625" style="53" customWidth="1"/>
    <col min="9738" max="9738" width="3.42578125" style="53" customWidth="1"/>
    <col min="9739" max="9739" width="2.7109375" style="53"/>
    <col min="9740" max="9740" width="3.28515625" style="53" customWidth="1"/>
    <col min="9741" max="9741" width="4" style="53" customWidth="1"/>
    <col min="9742" max="9742" width="2.7109375" style="53"/>
    <col min="9743" max="9743" width="3.5703125" style="53" customWidth="1"/>
    <col min="9744" max="9744" width="2.7109375" style="53"/>
    <col min="9745" max="9745" width="4.42578125" style="53" customWidth="1"/>
    <col min="9746" max="9746" width="3.85546875" style="53" customWidth="1"/>
    <col min="9747" max="9747" width="3.42578125" style="53" customWidth="1"/>
    <col min="9748" max="9748" width="3.7109375" style="53" customWidth="1"/>
    <col min="9749" max="9752" width="2.7109375" style="53"/>
    <col min="9753" max="9753" width="5" style="53" customWidth="1"/>
    <col min="9754" max="9755" width="2.7109375" style="53"/>
    <col min="9756" max="9756" width="4" style="53" customWidth="1"/>
    <col min="9757" max="9757" width="2.7109375" style="53"/>
    <col min="9758" max="9758" width="3.85546875" style="53" customWidth="1"/>
    <col min="9759" max="9760" width="2.7109375" style="53"/>
    <col min="9761" max="9761" width="1" style="53" customWidth="1"/>
    <col min="9762" max="9764" width="11.5703125" style="53" bestFit="1" customWidth="1"/>
    <col min="9765" max="9765" width="5.5703125" style="53" customWidth="1"/>
    <col min="9766" max="9766" width="13" style="53" customWidth="1"/>
    <col min="9767" max="9767" width="5.5703125" style="53" customWidth="1"/>
    <col min="9768" max="9984" width="2.7109375" style="53"/>
    <col min="9985" max="9988" width="3.28515625" style="53" customWidth="1"/>
    <col min="9989" max="9992" width="2.7109375" style="53"/>
    <col min="9993" max="9993" width="4.28515625" style="53" customWidth="1"/>
    <col min="9994" max="9994" width="3.42578125" style="53" customWidth="1"/>
    <col min="9995" max="9995" width="2.7109375" style="53"/>
    <col min="9996" max="9996" width="3.28515625" style="53" customWidth="1"/>
    <col min="9997" max="9997" width="4" style="53" customWidth="1"/>
    <col min="9998" max="9998" width="2.7109375" style="53"/>
    <col min="9999" max="9999" width="3.5703125" style="53" customWidth="1"/>
    <col min="10000" max="10000" width="2.7109375" style="53"/>
    <col min="10001" max="10001" width="4.42578125" style="53" customWidth="1"/>
    <col min="10002" max="10002" width="3.85546875" style="53" customWidth="1"/>
    <col min="10003" max="10003" width="3.42578125" style="53" customWidth="1"/>
    <col min="10004" max="10004" width="3.7109375" style="53" customWidth="1"/>
    <col min="10005" max="10008" width="2.7109375" style="53"/>
    <col min="10009" max="10009" width="5" style="53" customWidth="1"/>
    <col min="10010" max="10011" width="2.7109375" style="53"/>
    <col min="10012" max="10012" width="4" style="53" customWidth="1"/>
    <col min="10013" max="10013" width="2.7109375" style="53"/>
    <col min="10014" max="10014" width="3.85546875" style="53" customWidth="1"/>
    <col min="10015" max="10016" width="2.7109375" style="53"/>
    <col min="10017" max="10017" width="1" style="53" customWidth="1"/>
    <col min="10018" max="10020" width="11.5703125" style="53" bestFit="1" customWidth="1"/>
    <col min="10021" max="10021" width="5.5703125" style="53" customWidth="1"/>
    <col min="10022" max="10022" width="13" style="53" customWidth="1"/>
    <col min="10023" max="10023" width="5.5703125" style="53" customWidth="1"/>
    <col min="10024" max="10240" width="2.7109375" style="53"/>
    <col min="10241" max="10244" width="3.28515625" style="53" customWidth="1"/>
    <col min="10245" max="10248" width="2.7109375" style="53"/>
    <col min="10249" max="10249" width="4.28515625" style="53" customWidth="1"/>
    <col min="10250" max="10250" width="3.42578125" style="53" customWidth="1"/>
    <col min="10251" max="10251" width="2.7109375" style="53"/>
    <col min="10252" max="10252" width="3.28515625" style="53" customWidth="1"/>
    <col min="10253" max="10253" width="4" style="53" customWidth="1"/>
    <col min="10254" max="10254" width="2.7109375" style="53"/>
    <col min="10255" max="10255" width="3.5703125" style="53" customWidth="1"/>
    <col min="10256" max="10256" width="2.7109375" style="53"/>
    <col min="10257" max="10257" width="4.42578125" style="53" customWidth="1"/>
    <col min="10258" max="10258" width="3.85546875" style="53" customWidth="1"/>
    <col min="10259" max="10259" width="3.42578125" style="53" customWidth="1"/>
    <col min="10260" max="10260" width="3.7109375" style="53" customWidth="1"/>
    <col min="10261" max="10264" width="2.7109375" style="53"/>
    <col min="10265" max="10265" width="5" style="53" customWidth="1"/>
    <col min="10266" max="10267" width="2.7109375" style="53"/>
    <col min="10268" max="10268" width="4" style="53" customWidth="1"/>
    <col min="10269" max="10269" width="2.7109375" style="53"/>
    <col min="10270" max="10270" width="3.85546875" style="53" customWidth="1"/>
    <col min="10271" max="10272" width="2.7109375" style="53"/>
    <col min="10273" max="10273" width="1" style="53" customWidth="1"/>
    <col min="10274" max="10276" width="11.5703125" style="53" bestFit="1" customWidth="1"/>
    <col min="10277" max="10277" width="5.5703125" style="53" customWidth="1"/>
    <col min="10278" max="10278" width="13" style="53" customWidth="1"/>
    <col min="10279" max="10279" width="5.5703125" style="53" customWidth="1"/>
    <col min="10280" max="10496" width="2.7109375" style="53"/>
    <col min="10497" max="10500" width="3.28515625" style="53" customWidth="1"/>
    <col min="10501" max="10504" width="2.7109375" style="53"/>
    <col min="10505" max="10505" width="4.28515625" style="53" customWidth="1"/>
    <col min="10506" max="10506" width="3.42578125" style="53" customWidth="1"/>
    <col min="10507" max="10507" width="2.7109375" style="53"/>
    <col min="10508" max="10508" width="3.28515625" style="53" customWidth="1"/>
    <col min="10509" max="10509" width="4" style="53" customWidth="1"/>
    <col min="10510" max="10510" width="2.7109375" style="53"/>
    <col min="10511" max="10511" width="3.5703125" style="53" customWidth="1"/>
    <col min="10512" max="10512" width="2.7109375" style="53"/>
    <col min="10513" max="10513" width="4.42578125" style="53" customWidth="1"/>
    <col min="10514" max="10514" width="3.85546875" style="53" customWidth="1"/>
    <col min="10515" max="10515" width="3.42578125" style="53" customWidth="1"/>
    <col min="10516" max="10516" width="3.7109375" style="53" customWidth="1"/>
    <col min="10517" max="10520" width="2.7109375" style="53"/>
    <col min="10521" max="10521" width="5" style="53" customWidth="1"/>
    <col min="10522" max="10523" width="2.7109375" style="53"/>
    <col min="10524" max="10524" width="4" style="53" customWidth="1"/>
    <col min="10525" max="10525" width="2.7109375" style="53"/>
    <col min="10526" max="10526" width="3.85546875" style="53" customWidth="1"/>
    <col min="10527" max="10528" width="2.7109375" style="53"/>
    <col min="10529" max="10529" width="1" style="53" customWidth="1"/>
    <col min="10530" max="10532" width="11.5703125" style="53" bestFit="1" customWidth="1"/>
    <col min="10533" max="10533" width="5.5703125" style="53" customWidth="1"/>
    <col min="10534" max="10534" width="13" style="53" customWidth="1"/>
    <col min="10535" max="10535" width="5.5703125" style="53" customWidth="1"/>
    <col min="10536" max="10752" width="2.7109375" style="53"/>
    <col min="10753" max="10756" width="3.28515625" style="53" customWidth="1"/>
    <col min="10757" max="10760" width="2.7109375" style="53"/>
    <col min="10761" max="10761" width="4.28515625" style="53" customWidth="1"/>
    <col min="10762" max="10762" width="3.42578125" style="53" customWidth="1"/>
    <col min="10763" max="10763" width="2.7109375" style="53"/>
    <col min="10764" max="10764" width="3.28515625" style="53" customWidth="1"/>
    <col min="10765" max="10765" width="4" style="53" customWidth="1"/>
    <col min="10766" max="10766" width="2.7109375" style="53"/>
    <col min="10767" max="10767" width="3.5703125" style="53" customWidth="1"/>
    <col min="10768" max="10768" width="2.7109375" style="53"/>
    <col min="10769" max="10769" width="4.42578125" style="53" customWidth="1"/>
    <col min="10770" max="10770" width="3.85546875" style="53" customWidth="1"/>
    <col min="10771" max="10771" width="3.42578125" style="53" customWidth="1"/>
    <col min="10772" max="10772" width="3.7109375" style="53" customWidth="1"/>
    <col min="10773" max="10776" width="2.7109375" style="53"/>
    <col min="10777" max="10777" width="5" style="53" customWidth="1"/>
    <col min="10778" max="10779" width="2.7109375" style="53"/>
    <col min="10780" max="10780" width="4" style="53" customWidth="1"/>
    <col min="10781" max="10781" width="2.7109375" style="53"/>
    <col min="10782" max="10782" width="3.85546875" style="53" customWidth="1"/>
    <col min="10783" max="10784" width="2.7109375" style="53"/>
    <col min="10785" max="10785" width="1" style="53" customWidth="1"/>
    <col min="10786" max="10788" width="11.5703125" style="53" bestFit="1" customWidth="1"/>
    <col min="10789" max="10789" width="5.5703125" style="53" customWidth="1"/>
    <col min="10790" max="10790" width="13" style="53" customWidth="1"/>
    <col min="10791" max="10791" width="5.5703125" style="53" customWidth="1"/>
    <col min="10792" max="11008" width="2.7109375" style="53"/>
    <col min="11009" max="11012" width="3.28515625" style="53" customWidth="1"/>
    <col min="11013" max="11016" width="2.7109375" style="53"/>
    <col min="11017" max="11017" width="4.28515625" style="53" customWidth="1"/>
    <col min="11018" max="11018" width="3.42578125" style="53" customWidth="1"/>
    <col min="11019" max="11019" width="2.7109375" style="53"/>
    <col min="11020" max="11020" width="3.28515625" style="53" customWidth="1"/>
    <col min="11021" max="11021" width="4" style="53" customWidth="1"/>
    <col min="11022" max="11022" width="2.7109375" style="53"/>
    <col min="11023" max="11023" width="3.5703125" style="53" customWidth="1"/>
    <col min="11024" max="11024" width="2.7109375" style="53"/>
    <col min="11025" max="11025" width="4.42578125" style="53" customWidth="1"/>
    <col min="11026" max="11026" width="3.85546875" style="53" customWidth="1"/>
    <col min="11027" max="11027" width="3.42578125" style="53" customWidth="1"/>
    <col min="11028" max="11028" width="3.7109375" style="53" customWidth="1"/>
    <col min="11029" max="11032" width="2.7109375" style="53"/>
    <col min="11033" max="11033" width="5" style="53" customWidth="1"/>
    <col min="11034" max="11035" width="2.7109375" style="53"/>
    <col min="11036" max="11036" width="4" style="53" customWidth="1"/>
    <col min="11037" max="11037" width="2.7109375" style="53"/>
    <col min="11038" max="11038" width="3.85546875" style="53" customWidth="1"/>
    <col min="11039" max="11040" width="2.7109375" style="53"/>
    <col min="11041" max="11041" width="1" style="53" customWidth="1"/>
    <col min="11042" max="11044" width="11.5703125" style="53" bestFit="1" customWidth="1"/>
    <col min="11045" max="11045" width="5.5703125" style="53" customWidth="1"/>
    <col min="11046" max="11046" width="13" style="53" customWidth="1"/>
    <col min="11047" max="11047" width="5.5703125" style="53" customWidth="1"/>
    <col min="11048" max="11264" width="2.7109375" style="53"/>
    <col min="11265" max="11268" width="3.28515625" style="53" customWidth="1"/>
    <col min="11269" max="11272" width="2.7109375" style="53"/>
    <col min="11273" max="11273" width="4.28515625" style="53" customWidth="1"/>
    <col min="11274" max="11274" width="3.42578125" style="53" customWidth="1"/>
    <col min="11275" max="11275" width="2.7109375" style="53"/>
    <col min="11276" max="11276" width="3.28515625" style="53" customWidth="1"/>
    <col min="11277" max="11277" width="4" style="53" customWidth="1"/>
    <col min="11278" max="11278" width="2.7109375" style="53"/>
    <col min="11279" max="11279" width="3.5703125" style="53" customWidth="1"/>
    <col min="11280" max="11280" width="2.7109375" style="53"/>
    <col min="11281" max="11281" width="4.42578125" style="53" customWidth="1"/>
    <col min="11282" max="11282" width="3.85546875" style="53" customWidth="1"/>
    <col min="11283" max="11283" width="3.42578125" style="53" customWidth="1"/>
    <col min="11284" max="11284" width="3.7109375" style="53" customWidth="1"/>
    <col min="11285" max="11288" width="2.7109375" style="53"/>
    <col min="11289" max="11289" width="5" style="53" customWidth="1"/>
    <col min="11290" max="11291" width="2.7109375" style="53"/>
    <col min="11292" max="11292" width="4" style="53" customWidth="1"/>
    <col min="11293" max="11293" width="2.7109375" style="53"/>
    <col min="11294" max="11294" width="3.85546875" style="53" customWidth="1"/>
    <col min="11295" max="11296" width="2.7109375" style="53"/>
    <col min="11297" max="11297" width="1" style="53" customWidth="1"/>
    <col min="11298" max="11300" width="11.5703125" style="53" bestFit="1" customWidth="1"/>
    <col min="11301" max="11301" width="5.5703125" style="53" customWidth="1"/>
    <col min="11302" max="11302" width="13" style="53" customWidth="1"/>
    <col min="11303" max="11303" width="5.5703125" style="53" customWidth="1"/>
    <col min="11304" max="11520" width="2.7109375" style="53"/>
    <col min="11521" max="11524" width="3.28515625" style="53" customWidth="1"/>
    <col min="11525" max="11528" width="2.7109375" style="53"/>
    <col min="11529" max="11529" width="4.28515625" style="53" customWidth="1"/>
    <col min="11530" max="11530" width="3.42578125" style="53" customWidth="1"/>
    <col min="11531" max="11531" width="2.7109375" style="53"/>
    <col min="11532" max="11532" width="3.28515625" style="53" customWidth="1"/>
    <col min="11533" max="11533" width="4" style="53" customWidth="1"/>
    <col min="11534" max="11534" width="2.7109375" style="53"/>
    <col min="11535" max="11535" width="3.5703125" style="53" customWidth="1"/>
    <col min="11536" max="11536" width="2.7109375" style="53"/>
    <col min="11537" max="11537" width="4.42578125" style="53" customWidth="1"/>
    <col min="11538" max="11538" width="3.85546875" style="53" customWidth="1"/>
    <col min="11539" max="11539" width="3.42578125" style="53" customWidth="1"/>
    <col min="11540" max="11540" width="3.7109375" style="53" customWidth="1"/>
    <col min="11541" max="11544" width="2.7109375" style="53"/>
    <col min="11545" max="11545" width="5" style="53" customWidth="1"/>
    <col min="11546" max="11547" width="2.7109375" style="53"/>
    <col min="11548" max="11548" width="4" style="53" customWidth="1"/>
    <col min="11549" max="11549" width="2.7109375" style="53"/>
    <col min="11550" max="11550" width="3.85546875" style="53" customWidth="1"/>
    <col min="11551" max="11552" width="2.7109375" style="53"/>
    <col min="11553" max="11553" width="1" style="53" customWidth="1"/>
    <col min="11554" max="11556" width="11.5703125" style="53" bestFit="1" customWidth="1"/>
    <col min="11557" max="11557" width="5.5703125" style="53" customWidth="1"/>
    <col min="11558" max="11558" width="13" style="53" customWidth="1"/>
    <col min="11559" max="11559" width="5.5703125" style="53" customWidth="1"/>
    <col min="11560" max="11776" width="2.7109375" style="53"/>
    <col min="11777" max="11780" width="3.28515625" style="53" customWidth="1"/>
    <col min="11781" max="11784" width="2.7109375" style="53"/>
    <col min="11785" max="11785" width="4.28515625" style="53" customWidth="1"/>
    <col min="11786" max="11786" width="3.42578125" style="53" customWidth="1"/>
    <col min="11787" max="11787" width="2.7109375" style="53"/>
    <col min="11788" max="11788" width="3.28515625" style="53" customWidth="1"/>
    <col min="11789" max="11789" width="4" style="53" customWidth="1"/>
    <col min="11790" max="11790" width="2.7109375" style="53"/>
    <col min="11791" max="11791" width="3.5703125" style="53" customWidth="1"/>
    <col min="11792" max="11792" width="2.7109375" style="53"/>
    <col min="11793" max="11793" width="4.42578125" style="53" customWidth="1"/>
    <col min="11794" max="11794" width="3.85546875" style="53" customWidth="1"/>
    <col min="11795" max="11795" width="3.42578125" style="53" customWidth="1"/>
    <col min="11796" max="11796" width="3.7109375" style="53" customWidth="1"/>
    <col min="11797" max="11800" width="2.7109375" style="53"/>
    <col min="11801" max="11801" width="5" style="53" customWidth="1"/>
    <col min="11802" max="11803" width="2.7109375" style="53"/>
    <col min="11804" max="11804" width="4" style="53" customWidth="1"/>
    <col min="11805" max="11805" width="2.7109375" style="53"/>
    <col min="11806" max="11806" width="3.85546875" style="53" customWidth="1"/>
    <col min="11807" max="11808" width="2.7109375" style="53"/>
    <col min="11809" max="11809" width="1" style="53" customWidth="1"/>
    <col min="11810" max="11812" width="11.5703125" style="53" bestFit="1" customWidth="1"/>
    <col min="11813" max="11813" width="5.5703125" style="53" customWidth="1"/>
    <col min="11814" max="11814" width="13" style="53" customWidth="1"/>
    <col min="11815" max="11815" width="5.5703125" style="53" customWidth="1"/>
    <col min="11816" max="12032" width="2.7109375" style="53"/>
    <col min="12033" max="12036" width="3.28515625" style="53" customWidth="1"/>
    <col min="12037" max="12040" width="2.7109375" style="53"/>
    <col min="12041" max="12041" width="4.28515625" style="53" customWidth="1"/>
    <col min="12042" max="12042" width="3.42578125" style="53" customWidth="1"/>
    <col min="12043" max="12043" width="2.7109375" style="53"/>
    <col min="12044" max="12044" width="3.28515625" style="53" customWidth="1"/>
    <col min="12045" max="12045" width="4" style="53" customWidth="1"/>
    <col min="12046" max="12046" width="2.7109375" style="53"/>
    <col min="12047" max="12047" width="3.5703125" style="53" customWidth="1"/>
    <col min="12048" max="12048" width="2.7109375" style="53"/>
    <col min="12049" max="12049" width="4.42578125" style="53" customWidth="1"/>
    <col min="12050" max="12050" width="3.85546875" style="53" customWidth="1"/>
    <col min="12051" max="12051" width="3.42578125" style="53" customWidth="1"/>
    <col min="12052" max="12052" width="3.7109375" style="53" customWidth="1"/>
    <col min="12053" max="12056" width="2.7109375" style="53"/>
    <col min="12057" max="12057" width="5" style="53" customWidth="1"/>
    <col min="12058" max="12059" width="2.7109375" style="53"/>
    <col min="12060" max="12060" width="4" style="53" customWidth="1"/>
    <col min="12061" max="12061" width="2.7109375" style="53"/>
    <col min="12062" max="12062" width="3.85546875" style="53" customWidth="1"/>
    <col min="12063" max="12064" width="2.7109375" style="53"/>
    <col min="12065" max="12065" width="1" style="53" customWidth="1"/>
    <col min="12066" max="12068" width="11.5703125" style="53" bestFit="1" customWidth="1"/>
    <col min="12069" max="12069" width="5.5703125" style="53" customWidth="1"/>
    <col min="12070" max="12070" width="13" style="53" customWidth="1"/>
    <col min="12071" max="12071" width="5.5703125" style="53" customWidth="1"/>
    <col min="12072" max="12288" width="2.7109375" style="53"/>
    <col min="12289" max="12292" width="3.28515625" style="53" customWidth="1"/>
    <col min="12293" max="12296" width="2.7109375" style="53"/>
    <col min="12297" max="12297" width="4.28515625" style="53" customWidth="1"/>
    <col min="12298" max="12298" width="3.42578125" style="53" customWidth="1"/>
    <col min="12299" max="12299" width="2.7109375" style="53"/>
    <col min="12300" max="12300" width="3.28515625" style="53" customWidth="1"/>
    <col min="12301" max="12301" width="4" style="53" customWidth="1"/>
    <col min="12302" max="12302" width="2.7109375" style="53"/>
    <col min="12303" max="12303" width="3.5703125" style="53" customWidth="1"/>
    <col min="12304" max="12304" width="2.7109375" style="53"/>
    <col min="12305" max="12305" width="4.42578125" style="53" customWidth="1"/>
    <col min="12306" max="12306" width="3.85546875" style="53" customWidth="1"/>
    <col min="12307" max="12307" width="3.42578125" style="53" customWidth="1"/>
    <col min="12308" max="12308" width="3.7109375" style="53" customWidth="1"/>
    <col min="12309" max="12312" width="2.7109375" style="53"/>
    <col min="12313" max="12313" width="5" style="53" customWidth="1"/>
    <col min="12314" max="12315" width="2.7109375" style="53"/>
    <col min="12316" max="12316" width="4" style="53" customWidth="1"/>
    <col min="12317" max="12317" width="2.7109375" style="53"/>
    <col min="12318" max="12318" width="3.85546875" style="53" customWidth="1"/>
    <col min="12319" max="12320" width="2.7109375" style="53"/>
    <col min="12321" max="12321" width="1" style="53" customWidth="1"/>
    <col min="12322" max="12324" width="11.5703125" style="53" bestFit="1" customWidth="1"/>
    <col min="12325" max="12325" width="5.5703125" style="53" customWidth="1"/>
    <col min="12326" max="12326" width="13" style="53" customWidth="1"/>
    <col min="12327" max="12327" width="5.5703125" style="53" customWidth="1"/>
    <col min="12328" max="12544" width="2.7109375" style="53"/>
    <col min="12545" max="12548" width="3.28515625" style="53" customWidth="1"/>
    <col min="12549" max="12552" width="2.7109375" style="53"/>
    <col min="12553" max="12553" width="4.28515625" style="53" customWidth="1"/>
    <col min="12554" max="12554" width="3.42578125" style="53" customWidth="1"/>
    <col min="12555" max="12555" width="2.7109375" style="53"/>
    <col min="12556" max="12556" width="3.28515625" style="53" customWidth="1"/>
    <col min="12557" max="12557" width="4" style="53" customWidth="1"/>
    <col min="12558" max="12558" width="2.7109375" style="53"/>
    <col min="12559" max="12559" width="3.5703125" style="53" customWidth="1"/>
    <col min="12560" max="12560" width="2.7109375" style="53"/>
    <col min="12561" max="12561" width="4.42578125" style="53" customWidth="1"/>
    <col min="12562" max="12562" width="3.85546875" style="53" customWidth="1"/>
    <col min="12563" max="12563" width="3.42578125" style="53" customWidth="1"/>
    <col min="12564" max="12564" width="3.7109375" style="53" customWidth="1"/>
    <col min="12565" max="12568" width="2.7109375" style="53"/>
    <col min="12569" max="12569" width="5" style="53" customWidth="1"/>
    <col min="12570" max="12571" width="2.7109375" style="53"/>
    <col min="12572" max="12572" width="4" style="53" customWidth="1"/>
    <col min="12573" max="12573" width="2.7109375" style="53"/>
    <col min="12574" max="12574" width="3.85546875" style="53" customWidth="1"/>
    <col min="12575" max="12576" width="2.7109375" style="53"/>
    <col min="12577" max="12577" width="1" style="53" customWidth="1"/>
    <col min="12578" max="12580" width="11.5703125" style="53" bestFit="1" customWidth="1"/>
    <col min="12581" max="12581" width="5.5703125" style="53" customWidth="1"/>
    <col min="12582" max="12582" width="13" style="53" customWidth="1"/>
    <col min="12583" max="12583" width="5.5703125" style="53" customWidth="1"/>
    <col min="12584" max="12800" width="2.7109375" style="53"/>
    <col min="12801" max="12804" width="3.28515625" style="53" customWidth="1"/>
    <col min="12805" max="12808" width="2.7109375" style="53"/>
    <col min="12809" max="12809" width="4.28515625" style="53" customWidth="1"/>
    <col min="12810" max="12810" width="3.42578125" style="53" customWidth="1"/>
    <col min="12811" max="12811" width="2.7109375" style="53"/>
    <col min="12812" max="12812" width="3.28515625" style="53" customWidth="1"/>
    <col min="12813" max="12813" width="4" style="53" customWidth="1"/>
    <col min="12814" max="12814" width="2.7109375" style="53"/>
    <col min="12815" max="12815" width="3.5703125" style="53" customWidth="1"/>
    <col min="12816" max="12816" width="2.7109375" style="53"/>
    <col min="12817" max="12817" width="4.42578125" style="53" customWidth="1"/>
    <col min="12818" max="12818" width="3.85546875" style="53" customWidth="1"/>
    <col min="12819" max="12819" width="3.42578125" style="53" customWidth="1"/>
    <col min="12820" max="12820" width="3.7109375" style="53" customWidth="1"/>
    <col min="12821" max="12824" width="2.7109375" style="53"/>
    <col min="12825" max="12825" width="5" style="53" customWidth="1"/>
    <col min="12826" max="12827" width="2.7109375" style="53"/>
    <col min="12828" max="12828" width="4" style="53" customWidth="1"/>
    <col min="12829" max="12829" width="2.7109375" style="53"/>
    <col min="12830" max="12830" width="3.85546875" style="53" customWidth="1"/>
    <col min="12831" max="12832" width="2.7109375" style="53"/>
    <col min="12833" max="12833" width="1" style="53" customWidth="1"/>
    <col min="12834" max="12836" width="11.5703125" style="53" bestFit="1" customWidth="1"/>
    <col min="12837" max="12837" width="5.5703125" style="53" customWidth="1"/>
    <col min="12838" max="12838" width="13" style="53" customWidth="1"/>
    <col min="12839" max="12839" width="5.5703125" style="53" customWidth="1"/>
    <col min="12840" max="13056" width="2.7109375" style="53"/>
    <col min="13057" max="13060" width="3.28515625" style="53" customWidth="1"/>
    <col min="13061" max="13064" width="2.7109375" style="53"/>
    <col min="13065" max="13065" width="4.28515625" style="53" customWidth="1"/>
    <col min="13066" max="13066" width="3.42578125" style="53" customWidth="1"/>
    <col min="13067" max="13067" width="2.7109375" style="53"/>
    <col min="13068" max="13068" width="3.28515625" style="53" customWidth="1"/>
    <col min="13069" max="13069" width="4" style="53" customWidth="1"/>
    <col min="13070" max="13070" width="2.7109375" style="53"/>
    <col min="13071" max="13071" width="3.5703125" style="53" customWidth="1"/>
    <col min="13072" max="13072" width="2.7109375" style="53"/>
    <col min="13073" max="13073" width="4.42578125" style="53" customWidth="1"/>
    <col min="13074" max="13074" width="3.85546875" style="53" customWidth="1"/>
    <col min="13075" max="13075" width="3.42578125" style="53" customWidth="1"/>
    <col min="13076" max="13076" width="3.7109375" style="53" customWidth="1"/>
    <col min="13077" max="13080" width="2.7109375" style="53"/>
    <col min="13081" max="13081" width="5" style="53" customWidth="1"/>
    <col min="13082" max="13083" width="2.7109375" style="53"/>
    <col min="13084" max="13084" width="4" style="53" customWidth="1"/>
    <col min="13085" max="13085" width="2.7109375" style="53"/>
    <col min="13086" max="13086" width="3.85546875" style="53" customWidth="1"/>
    <col min="13087" max="13088" width="2.7109375" style="53"/>
    <col min="13089" max="13089" width="1" style="53" customWidth="1"/>
    <col min="13090" max="13092" width="11.5703125" style="53" bestFit="1" customWidth="1"/>
    <col min="13093" max="13093" width="5.5703125" style="53" customWidth="1"/>
    <col min="13094" max="13094" width="13" style="53" customWidth="1"/>
    <col min="13095" max="13095" width="5.5703125" style="53" customWidth="1"/>
    <col min="13096" max="13312" width="2.7109375" style="53"/>
    <col min="13313" max="13316" width="3.28515625" style="53" customWidth="1"/>
    <col min="13317" max="13320" width="2.7109375" style="53"/>
    <col min="13321" max="13321" width="4.28515625" style="53" customWidth="1"/>
    <col min="13322" max="13322" width="3.42578125" style="53" customWidth="1"/>
    <col min="13323" max="13323" width="2.7109375" style="53"/>
    <col min="13324" max="13324" width="3.28515625" style="53" customWidth="1"/>
    <col min="13325" max="13325" width="4" style="53" customWidth="1"/>
    <col min="13326" max="13326" width="2.7109375" style="53"/>
    <col min="13327" max="13327" width="3.5703125" style="53" customWidth="1"/>
    <col min="13328" max="13328" width="2.7109375" style="53"/>
    <col min="13329" max="13329" width="4.42578125" style="53" customWidth="1"/>
    <col min="13330" max="13330" width="3.85546875" style="53" customWidth="1"/>
    <col min="13331" max="13331" width="3.42578125" style="53" customWidth="1"/>
    <col min="13332" max="13332" width="3.7109375" style="53" customWidth="1"/>
    <col min="13333" max="13336" width="2.7109375" style="53"/>
    <col min="13337" max="13337" width="5" style="53" customWidth="1"/>
    <col min="13338" max="13339" width="2.7109375" style="53"/>
    <col min="13340" max="13340" width="4" style="53" customWidth="1"/>
    <col min="13341" max="13341" width="2.7109375" style="53"/>
    <col min="13342" max="13342" width="3.85546875" style="53" customWidth="1"/>
    <col min="13343" max="13344" width="2.7109375" style="53"/>
    <col min="13345" max="13345" width="1" style="53" customWidth="1"/>
    <col min="13346" max="13348" width="11.5703125" style="53" bestFit="1" customWidth="1"/>
    <col min="13349" max="13349" width="5.5703125" style="53" customWidth="1"/>
    <col min="13350" max="13350" width="13" style="53" customWidth="1"/>
    <col min="13351" max="13351" width="5.5703125" style="53" customWidth="1"/>
    <col min="13352" max="13568" width="2.7109375" style="53"/>
    <col min="13569" max="13572" width="3.28515625" style="53" customWidth="1"/>
    <col min="13573" max="13576" width="2.7109375" style="53"/>
    <col min="13577" max="13577" width="4.28515625" style="53" customWidth="1"/>
    <col min="13578" max="13578" width="3.42578125" style="53" customWidth="1"/>
    <col min="13579" max="13579" width="2.7109375" style="53"/>
    <col min="13580" max="13580" width="3.28515625" style="53" customWidth="1"/>
    <col min="13581" max="13581" width="4" style="53" customWidth="1"/>
    <col min="13582" max="13582" width="2.7109375" style="53"/>
    <col min="13583" max="13583" width="3.5703125" style="53" customWidth="1"/>
    <col min="13584" max="13584" width="2.7109375" style="53"/>
    <col min="13585" max="13585" width="4.42578125" style="53" customWidth="1"/>
    <col min="13586" max="13586" width="3.85546875" style="53" customWidth="1"/>
    <col min="13587" max="13587" width="3.42578125" style="53" customWidth="1"/>
    <col min="13588" max="13588" width="3.7109375" style="53" customWidth="1"/>
    <col min="13589" max="13592" width="2.7109375" style="53"/>
    <col min="13593" max="13593" width="5" style="53" customWidth="1"/>
    <col min="13594" max="13595" width="2.7109375" style="53"/>
    <col min="13596" max="13596" width="4" style="53" customWidth="1"/>
    <col min="13597" max="13597" width="2.7109375" style="53"/>
    <col min="13598" max="13598" width="3.85546875" style="53" customWidth="1"/>
    <col min="13599" max="13600" width="2.7109375" style="53"/>
    <col min="13601" max="13601" width="1" style="53" customWidth="1"/>
    <col min="13602" max="13604" width="11.5703125" style="53" bestFit="1" customWidth="1"/>
    <col min="13605" max="13605" width="5.5703125" style="53" customWidth="1"/>
    <col min="13606" max="13606" width="13" style="53" customWidth="1"/>
    <col min="13607" max="13607" width="5.5703125" style="53" customWidth="1"/>
    <col min="13608" max="13824" width="2.7109375" style="53"/>
    <col min="13825" max="13828" width="3.28515625" style="53" customWidth="1"/>
    <col min="13829" max="13832" width="2.7109375" style="53"/>
    <col min="13833" max="13833" width="4.28515625" style="53" customWidth="1"/>
    <col min="13834" max="13834" width="3.42578125" style="53" customWidth="1"/>
    <col min="13835" max="13835" width="2.7109375" style="53"/>
    <col min="13836" max="13836" width="3.28515625" style="53" customWidth="1"/>
    <col min="13837" max="13837" width="4" style="53" customWidth="1"/>
    <col min="13838" max="13838" width="2.7109375" style="53"/>
    <col min="13839" max="13839" width="3.5703125" style="53" customWidth="1"/>
    <col min="13840" max="13840" width="2.7109375" style="53"/>
    <col min="13841" max="13841" width="4.42578125" style="53" customWidth="1"/>
    <col min="13842" max="13842" width="3.85546875" style="53" customWidth="1"/>
    <col min="13843" max="13843" width="3.42578125" style="53" customWidth="1"/>
    <col min="13844" max="13844" width="3.7109375" style="53" customWidth="1"/>
    <col min="13845" max="13848" width="2.7109375" style="53"/>
    <col min="13849" max="13849" width="5" style="53" customWidth="1"/>
    <col min="13850" max="13851" width="2.7109375" style="53"/>
    <col min="13852" max="13852" width="4" style="53" customWidth="1"/>
    <col min="13853" max="13853" width="2.7109375" style="53"/>
    <col min="13854" max="13854" width="3.85546875" style="53" customWidth="1"/>
    <col min="13855" max="13856" width="2.7109375" style="53"/>
    <col min="13857" max="13857" width="1" style="53" customWidth="1"/>
    <col min="13858" max="13860" width="11.5703125" style="53" bestFit="1" customWidth="1"/>
    <col min="13861" max="13861" width="5.5703125" style="53" customWidth="1"/>
    <col min="13862" max="13862" width="13" style="53" customWidth="1"/>
    <col min="13863" max="13863" width="5.5703125" style="53" customWidth="1"/>
    <col min="13864" max="14080" width="2.7109375" style="53"/>
    <col min="14081" max="14084" width="3.28515625" style="53" customWidth="1"/>
    <col min="14085" max="14088" width="2.7109375" style="53"/>
    <col min="14089" max="14089" width="4.28515625" style="53" customWidth="1"/>
    <col min="14090" max="14090" width="3.42578125" style="53" customWidth="1"/>
    <col min="14091" max="14091" width="2.7109375" style="53"/>
    <col min="14092" max="14092" width="3.28515625" style="53" customWidth="1"/>
    <col min="14093" max="14093" width="4" style="53" customWidth="1"/>
    <col min="14094" max="14094" width="2.7109375" style="53"/>
    <col min="14095" max="14095" width="3.5703125" style="53" customWidth="1"/>
    <col min="14096" max="14096" width="2.7109375" style="53"/>
    <col min="14097" max="14097" width="4.42578125" style="53" customWidth="1"/>
    <col min="14098" max="14098" width="3.85546875" style="53" customWidth="1"/>
    <col min="14099" max="14099" width="3.42578125" style="53" customWidth="1"/>
    <col min="14100" max="14100" width="3.7109375" style="53" customWidth="1"/>
    <col min="14101" max="14104" width="2.7109375" style="53"/>
    <col min="14105" max="14105" width="5" style="53" customWidth="1"/>
    <col min="14106" max="14107" width="2.7109375" style="53"/>
    <col min="14108" max="14108" width="4" style="53" customWidth="1"/>
    <col min="14109" max="14109" width="2.7109375" style="53"/>
    <col min="14110" max="14110" width="3.85546875" style="53" customWidth="1"/>
    <col min="14111" max="14112" width="2.7109375" style="53"/>
    <col min="14113" max="14113" width="1" style="53" customWidth="1"/>
    <col min="14114" max="14116" width="11.5703125" style="53" bestFit="1" customWidth="1"/>
    <col min="14117" max="14117" width="5.5703125" style="53" customWidth="1"/>
    <col min="14118" max="14118" width="13" style="53" customWidth="1"/>
    <col min="14119" max="14119" width="5.5703125" style="53" customWidth="1"/>
    <col min="14120" max="14336" width="2.7109375" style="53"/>
    <col min="14337" max="14340" width="3.28515625" style="53" customWidth="1"/>
    <col min="14341" max="14344" width="2.7109375" style="53"/>
    <col min="14345" max="14345" width="4.28515625" style="53" customWidth="1"/>
    <col min="14346" max="14346" width="3.42578125" style="53" customWidth="1"/>
    <col min="14347" max="14347" width="2.7109375" style="53"/>
    <col min="14348" max="14348" width="3.28515625" style="53" customWidth="1"/>
    <col min="14349" max="14349" width="4" style="53" customWidth="1"/>
    <col min="14350" max="14350" width="2.7109375" style="53"/>
    <col min="14351" max="14351" width="3.5703125" style="53" customWidth="1"/>
    <col min="14352" max="14352" width="2.7109375" style="53"/>
    <col min="14353" max="14353" width="4.42578125" style="53" customWidth="1"/>
    <col min="14354" max="14354" width="3.85546875" style="53" customWidth="1"/>
    <col min="14355" max="14355" width="3.42578125" style="53" customWidth="1"/>
    <col min="14356" max="14356" width="3.7109375" style="53" customWidth="1"/>
    <col min="14357" max="14360" width="2.7109375" style="53"/>
    <col min="14361" max="14361" width="5" style="53" customWidth="1"/>
    <col min="14362" max="14363" width="2.7109375" style="53"/>
    <col min="14364" max="14364" width="4" style="53" customWidth="1"/>
    <col min="14365" max="14365" width="2.7109375" style="53"/>
    <col min="14366" max="14366" width="3.85546875" style="53" customWidth="1"/>
    <col min="14367" max="14368" width="2.7109375" style="53"/>
    <col min="14369" max="14369" width="1" style="53" customWidth="1"/>
    <col min="14370" max="14372" width="11.5703125" style="53" bestFit="1" customWidth="1"/>
    <col min="14373" max="14373" width="5.5703125" style="53" customWidth="1"/>
    <col min="14374" max="14374" width="13" style="53" customWidth="1"/>
    <col min="14375" max="14375" width="5.5703125" style="53" customWidth="1"/>
    <col min="14376" max="14592" width="2.7109375" style="53"/>
    <col min="14593" max="14596" width="3.28515625" style="53" customWidth="1"/>
    <col min="14597" max="14600" width="2.7109375" style="53"/>
    <col min="14601" max="14601" width="4.28515625" style="53" customWidth="1"/>
    <col min="14602" max="14602" width="3.42578125" style="53" customWidth="1"/>
    <col min="14603" max="14603" width="2.7109375" style="53"/>
    <col min="14604" max="14604" width="3.28515625" style="53" customWidth="1"/>
    <col min="14605" max="14605" width="4" style="53" customWidth="1"/>
    <col min="14606" max="14606" width="2.7109375" style="53"/>
    <col min="14607" max="14607" width="3.5703125" style="53" customWidth="1"/>
    <col min="14608" max="14608" width="2.7109375" style="53"/>
    <col min="14609" max="14609" width="4.42578125" style="53" customWidth="1"/>
    <col min="14610" max="14610" width="3.85546875" style="53" customWidth="1"/>
    <col min="14611" max="14611" width="3.42578125" style="53" customWidth="1"/>
    <col min="14612" max="14612" width="3.7109375" style="53" customWidth="1"/>
    <col min="14613" max="14616" width="2.7109375" style="53"/>
    <col min="14617" max="14617" width="5" style="53" customWidth="1"/>
    <col min="14618" max="14619" width="2.7109375" style="53"/>
    <col min="14620" max="14620" width="4" style="53" customWidth="1"/>
    <col min="14621" max="14621" width="2.7109375" style="53"/>
    <col min="14622" max="14622" width="3.85546875" style="53" customWidth="1"/>
    <col min="14623" max="14624" width="2.7109375" style="53"/>
    <col min="14625" max="14625" width="1" style="53" customWidth="1"/>
    <col min="14626" max="14628" width="11.5703125" style="53" bestFit="1" customWidth="1"/>
    <col min="14629" max="14629" width="5.5703125" style="53" customWidth="1"/>
    <col min="14630" max="14630" width="13" style="53" customWidth="1"/>
    <col min="14631" max="14631" width="5.5703125" style="53" customWidth="1"/>
    <col min="14632" max="14848" width="2.7109375" style="53"/>
    <col min="14849" max="14852" width="3.28515625" style="53" customWidth="1"/>
    <col min="14853" max="14856" width="2.7109375" style="53"/>
    <col min="14857" max="14857" width="4.28515625" style="53" customWidth="1"/>
    <col min="14858" max="14858" width="3.42578125" style="53" customWidth="1"/>
    <col min="14859" max="14859" width="2.7109375" style="53"/>
    <col min="14860" max="14860" width="3.28515625" style="53" customWidth="1"/>
    <col min="14861" max="14861" width="4" style="53" customWidth="1"/>
    <col min="14862" max="14862" width="2.7109375" style="53"/>
    <col min="14863" max="14863" width="3.5703125" style="53" customWidth="1"/>
    <col min="14864" max="14864" width="2.7109375" style="53"/>
    <col min="14865" max="14865" width="4.42578125" style="53" customWidth="1"/>
    <col min="14866" max="14866" width="3.85546875" style="53" customWidth="1"/>
    <col min="14867" max="14867" width="3.42578125" style="53" customWidth="1"/>
    <col min="14868" max="14868" width="3.7109375" style="53" customWidth="1"/>
    <col min="14869" max="14872" width="2.7109375" style="53"/>
    <col min="14873" max="14873" width="5" style="53" customWidth="1"/>
    <col min="14874" max="14875" width="2.7109375" style="53"/>
    <col min="14876" max="14876" width="4" style="53" customWidth="1"/>
    <col min="14877" max="14877" width="2.7109375" style="53"/>
    <col min="14878" max="14878" width="3.85546875" style="53" customWidth="1"/>
    <col min="14879" max="14880" width="2.7109375" style="53"/>
    <col min="14881" max="14881" width="1" style="53" customWidth="1"/>
    <col min="14882" max="14884" width="11.5703125" style="53" bestFit="1" customWidth="1"/>
    <col min="14885" max="14885" width="5.5703125" style="53" customWidth="1"/>
    <col min="14886" max="14886" width="13" style="53" customWidth="1"/>
    <col min="14887" max="14887" width="5.5703125" style="53" customWidth="1"/>
    <col min="14888" max="15104" width="2.7109375" style="53"/>
    <col min="15105" max="15108" width="3.28515625" style="53" customWidth="1"/>
    <col min="15109" max="15112" width="2.7109375" style="53"/>
    <col min="15113" max="15113" width="4.28515625" style="53" customWidth="1"/>
    <col min="15114" max="15114" width="3.42578125" style="53" customWidth="1"/>
    <col min="15115" max="15115" width="2.7109375" style="53"/>
    <col min="15116" max="15116" width="3.28515625" style="53" customWidth="1"/>
    <col min="15117" max="15117" width="4" style="53" customWidth="1"/>
    <col min="15118" max="15118" width="2.7109375" style="53"/>
    <col min="15119" max="15119" width="3.5703125" style="53" customWidth="1"/>
    <col min="15120" max="15120" width="2.7109375" style="53"/>
    <col min="15121" max="15121" width="4.42578125" style="53" customWidth="1"/>
    <col min="15122" max="15122" width="3.85546875" style="53" customWidth="1"/>
    <col min="15123" max="15123" width="3.42578125" style="53" customWidth="1"/>
    <col min="15124" max="15124" width="3.7109375" style="53" customWidth="1"/>
    <col min="15125" max="15128" width="2.7109375" style="53"/>
    <col min="15129" max="15129" width="5" style="53" customWidth="1"/>
    <col min="15130" max="15131" width="2.7109375" style="53"/>
    <col min="15132" max="15132" width="4" style="53" customWidth="1"/>
    <col min="15133" max="15133" width="2.7109375" style="53"/>
    <col min="15134" max="15134" width="3.85546875" style="53" customWidth="1"/>
    <col min="15135" max="15136" width="2.7109375" style="53"/>
    <col min="15137" max="15137" width="1" style="53" customWidth="1"/>
    <col min="15138" max="15140" width="11.5703125" style="53" bestFit="1" customWidth="1"/>
    <col min="15141" max="15141" width="5.5703125" style="53" customWidth="1"/>
    <col min="15142" max="15142" width="13" style="53" customWidth="1"/>
    <col min="15143" max="15143" width="5.5703125" style="53" customWidth="1"/>
    <col min="15144" max="15360" width="2.7109375" style="53"/>
    <col min="15361" max="15364" width="3.28515625" style="53" customWidth="1"/>
    <col min="15365" max="15368" width="2.7109375" style="53"/>
    <col min="15369" max="15369" width="4.28515625" style="53" customWidth="1"/>
    <col min="15370" max="15370" width="3.42578125" style="53" customWidth="1"/>
    <col min="15371" max="15371" width="2.7109375" style="53"/>
    <col min="15372" max="15372" width="3.28515625" style="53" customWidth="1"/>
    <col min="15373" max="15373" width="4" style="53" customWidth="1"/>
    <col min="15374" max="15374" width="2.7109375" style="53"/>
    <col min="15375" max="15375" width="3.5703125" style="53" customWidth="1"/>
    <col min="15376" max="15376" width="2.7109375" style="53"/>
    <col min="15377" max="15377" width="4.42578125" style="53" customWidth="1"/>
    <col min="15378" max="15378" width="3.85546875" style="53" customWidth="1"/>
    <col min="15379" max="15379" width="3.42578125" style="53" customWidth="1"/>
    <col min="15380" max="15380" width="3.7109375" style="53" customWidth="1"/>
    <col min="15381" max="15384" width="2.7109375" style="53"/>
    <col min="15385" max="15385" width="5" style="53" customWidth="1"/>
    <col min="15386" max="15387" width="2.7109375" style="53"/>
    <col min="15388" max="15388" width="4" style="53" customWidth="1"/>
    <col min="15389" max="15389" width="2.7109375" style="53"/>
    <col min="15390" max="15390" width="3.85546875" style="53" customWidth="1"/>
    <col min="15391" max="15392" width="2.7109375" style="53"/>
    <col min="15393" max="15393" width="1" style="53" customWidth="1"/>
    <col min="15394" max="15396" width="11.5703125" style="53" bestFit="1" customWidth="1"/>
    <col min="15397" max="15397" width="5.5703125" style="53" customWidth="1"/>
    <col min="15398" max="15398" width="13" style="53" customWidth="1"/>
    <col min="15399" max="15399" width="5.5703125" style="53" customWidth="1"/>
    <col min="15400" max="15616" width="2.7109375" style="53"/>
    <col min="15617" max="15620" width="3.28515625" style="53" customWidth="1"/>
    <col min="15621" max="15624" width="2.7109375" style="53"/>
    <col min="15625" max="15625" width="4.28515625" style="53" customWidth="1"/>
    <col min="15626" max="15626" width="3.42578125" style="53" customWidth="1"/>
    <col min="15627" max="15627" width="2.7109375" style="53"/>
    <col min="15628" max="15628" width="3.28515625" style="53" customWidth="1"/>
    <col min="15629" max="15629" width="4" style="53" customWidth="1"/>
    <col min="15630" max="15630" width="2.7109375" style="53"/>
    <col min="15631" max="15631" width="3.5703125" style="53" customWidth="1"/>
    <col min="15632" max="15632" width="2.7109375" style="53"/>
    <col min="15633" max="15633" width="4.42578125" style="53" customWidth="1"/>
    <col min="15634" max="15634" width="3.85546875" style="53" customWidth="1"/>
    <col min="15635" max="15635" width="3.42578125" style="53" customWidth="1"/>
    <col min="15636" max="15636" width="3.7109375" style="53" customWidth="1"/>
    <col min="15637" max="15640" width="2.7109375" style="53"/>
    <col min="15641" max="15641" width="5" style="53" customWidth="1"/>
    <col min="15642" max="15643" width="2.7109375" style="53"/>
    <col min="15644" max="15644" width="4" style="53" customWidth="1"/>
    <col min="15645" max="15645" width="2.7109375" style="53"/>
    <col min="15646" max="15646" width="3.85546875" style="53" customWidth="1"/>
    <col min="15647" max="15648" width="2.7109375" style="53"/>
    <col min="15649" max="15649" width="1" style="53" customWidth="1"/>
    <col min="15650" max="15652" width="11.5703125" style="53" bestFit="1" customWidth="1"/>
    <col min="15653" max="15653" width="5.5703125" style="53" customWidth="1"/>
    <col min="15654" max="15654" width="13" style="53" customWidth="1"/>
    <col min="15655" max="15655" width="5.5703125" style="53" customWidth="1"/>
    <col min="15656" max="15872" width="2.7109375" style="53"/>
    <col min="15873" max="15876" width="3.28515625" style="53" customWidth="1"/>
    <col min="15877" max="15880" width="2.7109375" style="53"/>
    <col min="15881" max="15881" width="4.28515625" style="53" customWidth="1"/>
    <col min="15882" max="15882" width="3.42578125" style="53" customWidth="1"/>
    <col min="15883" max="15883" width="2.7109375" style="53"/>
    <col min="15884" max="15884" width="3.28515625" style="53" customWidth="1"/>
    <col min="15885" max="15885" width="4" style="53" customWidth="1"/>
    <col min="15886" max="15886" width="2.7109375" style="53"/>
    <col min="15887" max="15887" width="3.5703125" style="53" customWidth="1"/>
    <col min="15888" max="15888" width="2.7109375" style="53"/>
    <col min="15889" max="15889" width="4.42578125" style="53" customWidth="1"/>
    <col min="15890" max="15890" width="3.85546875" style="53" customWidth="1"/>
    <col min="15891" max="15891" width="3.42578125" style="53" customWidth="1"/>
    <col min="15892" max="15892" width="3.7109375" style="53" customWidth="1"/>
    <col min="15893" max="15896" width="2.7109375" style="53"/>
    <col min="15897" max="15897" width="5" style="53" customWidth="1"/>
    <col min="15898" max="15899" width="2.7109375" style="53"/>
    <col min="15900" max="15900" width="4" style="53" customWidth="1"/>
    <col min="15901" max="15901" width="2.7109375" style="53"/>
    <col min="15902" max="15902" width="3.85546875" style="53" customWidth="1"/>
    <col min="15903" max="15904" width="2.7109375" style="53"/>
    <col min="15905" max="15905" width="1" style="53" customWidth="1"/>
    <col min="15906" max="15908" width="11.5703125" style="53" bestFit="1" customWidth="1"/>
    <col min="15909" max="15909" width="5.5703125" style="53" customWidth="1"/>
    <col min="15910" max="15910" width="13" style="53" customWidth="1"/>
    <col min="15911" max="15911" width="5.5703125" style="53" customWidth="1"/>
    <col min="15912" max="16128" width="2.7109375" style="53"/>
    <col min="16129" max="16132" width="3.28515625" style="53" customWidth="1"/>
    <col min="16133" max="16136" width="2.7109375" style="53"/>
    <col min="16137" max="16137" width="4.28515625" style="53" customWidth="1"/>
    <col min="16138" max="16138" width="3.42578125" style="53" customWidth="1"/>
    <col min="16139" max="16139" width="2.7109375" style="53"/>
    <col min="16140" max="16140" width="3.28515625" style="53" customWidth="1"/>
    <col min="16141" max="16141" width="4" style="53" customWidth="1"/>
    <col min="16142" max="16142" width="2.7109375" style="53"/>
    <col min="16143" max="16143" width="3.5703125" style="53" customWidth="1"/>
    <col min="16144" max="16144" width="2.7109375" style="53"/>
    <col min="16145" max="16145" width="4.42578125" style="53" customWidth="1"/>
    <col min="16146" max="16146" width="3.85546875" style="53" customWidth="1"/>
    <col min="16147" max="16147" width="3.42578125" style="53" customWidth="1"/>
    <col min="16148" max="16148" width="3.7109375" style="53" customWidth="1"/>
    <col min="16149" max="16152" width="2.7109375" style="53"/>
    <col min="16153" max="16153" width="5" style="53" customWidth="1"/>
    <col min="16154" max="16155" width="2.7109375" style="53"/>
    <col min="16156" max="16156" width="4" style="53" customWidth="1"/>
    <col min="16157" max="16157" width="2.7109375" style="53"/>
    <col min="16158" max="16158" width="3.85546875" style="53" customWidth="1"/>
    <col min="16159" max="16160" width="2.7109375" style="53"/>
    <col min="16161" max="16161" width="1" style="53" customWidth="1"/>
    <col min="16162" max="16164" width="11.5703125" style="53" bestFit="1" customWidth="1"/>
    <col min="16165" max="16165" width="5.5703125" style="53" customWidth="1"/>
    <col min="16166" max="16166" width="13" style="53" customWidth="1"/>
    <col min="16167" max="16167" width="5.5703125" style="53" customWidth="1"/>
    <col min="16168" max="16384" width="2.7109375" style="53"/>
  </cols>
  <sheetData>
    <row r="1" spans="1:52" ht="14.25" customHeight="1" thickBot="1" x14ac:dyDescent="0.25"/>
    <row r="2" spans="1:52" ht="41.25" customHeight="1" thickBot="1" x14ac:dyDescent="0.25">
      <c r="A2" s="651"/>
      <c r="B2" s="652"/>
      <c r="C2" s="652"/>
      <c r="D2" s="652"/>
      <c r="E2" s="652"/>
      <c r="F2" s="652"/>
      <c r="G2" s="652"/>
      <c r="H2" s="652"/>
      <c r="I2" s="653"/>
      <c r="J2" s="645" t="s">
        <v>79</v>
      </c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6"/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7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</row>
    <row r="3" spans="1:52" s="59" customFormat="1" ht="48.75" customHeight="1" thickBot="1" x14ac:dyDescent="0.25">
      <c r="A3" s="654"/>
      <c r="B3" s="655"/>
      <c r="C3" s="655"/>
      <c r="D3" s="655"/>
      <c r="E3" s="655"/>
      <c r="F3" s="655"/>
      <c r="G3" s="655"/>
      <c r="H3" s="655"/>
      <c r="I3" s="656"/>
      <c r="J3" s="648" t="s">
        <v>253</v>
      </c>
      <c r="K3" s="649"/>
      <c r="L3" s="649"/>
      <c r="M3" s="649"/>
      <c r="N3" s="649"/>
      <c r="O3" s="649"/>
      <c r="P3" s="649"/>
      <c r="Q3" s="649"/>
      <c r="R3" s="649"/>
      <c r="S3" s="649"/>
      <c r="T3" s="649"/>
      <c r="U3" s="649"/>
      <c r="V3" s="649"/>
      <c r="W3" s="649"/>
      <c r="X3" s="649"/>
      <c r="Y3" s="649"/>
      <c r="Z3" s="649"/>
      <c r="AA3" s="649"/>
      <c r="AB3" s="649"/>
      <c r="AC3" s="649"/>
      <c r="AD3" s="649"/>
      <c r="AE3" s="649"/>
      <c r="AF3" s="650"/>
      <c r="AG3" s="57"/>
      <c r="AH3" s="58"/>
      <c r="AI3" s="58"/>
      <c r="AJ3" s="58" t="s">
        <v>80</v>
      </c>
      <c r="AK3" s="57"/>
      <c r="AL3" s="57"/>
      <c r="AM3" s="57"/>
    </row>
    <row r="4" spans="1:52" ht="69.75" customHeight="1" x14ac:dyDescent="0.2">
      <c r="A4" s="674" t="s">
        <v>0</v>
      </c>
      <c r="B4" s="667"/>
      <c r="C4" s="667"/>
      <c r="D4" s="60"/>
      <c r="E4" s="670"/>
      <c r="F4" s="670"/>
      <c r="G4" s="670"/>
      <c r="H4" s="670"/>
      <c r="I4" s="670"/>
      <c r="J4" s="670"/>
      <c r="K4" s="670"/>
      <c r="L4" s="670"/>
      <c r="M4" s="670"/>
      <c r="N4" s="670"/>
      <c r="O4" s="670"/>
      <c r="P4" s="670"/>
      <c r="Q4" s="670"/>
      <c r="R4" s="670"/>
      <c r="S4" s="670"/>
      <c r="T4" s="670"/>
      <c r="U4" s="670"/>
      <c r="V4" s="670"/>
      <c r="W4" s="670"/>
      <c r="X4" s="670"/>
      <c r="Y4" s="670"/>
      <c r="Z4" s="670"/>
      <c r="AA4" s="670"/>
      <c r="AB4" s="670"/>
      <c r="AC4" s="670"/>
      <c r="AD4" s="670"/>
      <c r="AE4" s="670"/>
      <c r="AF4" s="675"/>
      <c r="AH4" s="55"/>
      <c r="AI4" s="55"/>
      <c r="AJ4" s="53"/>
    </row>
    <row r="5" spans="1:52" ht="18.75" customHeight="1" x14ac:dyDescent="0.2">
      <c r="A5" s="657" t="s">
        <v>7</v>
      </c>
      <c r="B5" s="658"/>
      <c r="C5" s="658"/>
      <c r="D5" s="658"/>
      <c r="E5" s="659"/>
      <c r="F5" s="659"/>
      <c r="G5" s="659"/>
      <c r="H5" s="659"/>
      <c r="I5" s="659"/>
      <c r="J5" s="659"/>
      <c r="K5" s="659"/>
      <c r="L5" s="659"/>
      <c r="M5" s="659"/>
      <c r="N5" s="659"/>
      <c r="O5" s="659"/>
      <c r="P5" s="659"/>
      <c r="Q5" s="659"/>
      <c r="R5" s="659"/>
      <c r="S5" s="659"/>
      <c r="T5" s="659"/>
      <c r="U5" s="659"/>
      <c r="V5" s="659"/>
      <c r="W5" s="659"/>
      <c r="X5" s="659"/>
      <c r="Y5" s="659"/>
      <c r="Z5" s="659"/>
      <c r="AA5" s="659"/>
      <c r="AB5" s="659"/>
      <c r="AC5" s="659"/>
      <c r="AD5" s="659"/>
      <c r="AE5" s="659"/>
      <c r="AF5" s="660"/>
      <c r="AH5" s="53"/>
      <c r="AI5" s="55"/>
      <c r="AJ5" s="53"/>
    </row>
    <row r="6" spans="1:52" ht="12.2" customHeight="1" x14ac:dyDescent="0.2">
      <c r="A6" s="661" t="s">
        <v>82</v>
      </c>
      <c r="B6" s="662"/>
      <c r="C6" s="662"/>
      <c r="D6" s="663"/>
      <c r="E6" s="664" t="s">
        <v>8</v>
      </c>
      <c r="F6" s="665"/>
      <c r="G6" s="665"/>
      <c r="H6" s="665"/>
      <c r="I6" s="665"/>
      <c r="J6" s="665"/>
      <c r="K6" s="665"/>
      <c r="L6" s="665"/>
      <c r="M6" s="668"/>
      <c r="N6" s="668"/>
      <c r="O6" s="668"/>
      <c r="P6" s="668"/>
      <c r="Q6" s="668"/>
      <c r="R6" s="668"/>
      <c r="S6" s="668"/>
      <c r="T6" s="668"/>
      <c r="U6" s="668"/>
      <c r="V6" s="668"/>
      <c r="W6" s="668"/>
      <c r="X6" s="669"/>
      <c r="Y6" s="630" t="s">
        <v>83</v>
      </c>
      <c r="Z6" s="630"/>
      <c r="AA6" s="630"/>
      <c r="AB6" s="631"/>
      <c r="AC6" s="672"/>
      <c r="AD6" s="672"/>
      <c r="AE6" s="672"/>
      <c r="AF6" s="673"/>
      <c r="AH6" s="61"/>
      <c r="AI6" s="625"/>
      <c r="AJ6" s="625"/>
      <c r="AK6" s="625"/>
      <c r="AL6" s="625"/>
      <c r="AM6" s="625"/>
      <c r="AN6" s="625"/>
      <c r="AO6" s="625"/>
      <c r="AP6" s="625"/>
      <c r="AQ6" s="625"/>
      <c r="AR6" s="625"/>
      <c r="AS6" s="625"/>
      <c r="AT6" s="625"/>
      <c r="AU6" s="626"/>
    </row>
    <row r="7" spans="1:52" ht="13.7" customHeight="1" x14ac:dyDescent="0.2">
      <c r="A7" s="627"/>
      <c r="B7" s="628"/>
      <c r="C7" s="628"/>
      <c r="D7" s="629"/>
      <c r="E7" s="666"/>
      <c r="F7" s="667"/>
      <c r="G7" s="667"/>
      <c r="H7" s="667"/>
      <c r="I7" s="667"/>
      <c r="J7" s="667"/>
      <c r="K7" s="667"/>
      <c r="L7" s="667"/>
      <c r="M7" s="670"/>
      <c r="N7" s="670"/>
      <c r="O7" s="670"/>
      <c r="P7" s="670"/>
      <c r="Q7" s="670"/>
      <c r="R7" s="670"/>
      <c r="S7" s="670"/>
      <c r="T7" s="670"/>
      <c r="U7" s="670"/>
      <c r="V7" s="670"/>
      <c r="W7" s="670"/>
      <c r="X7" s="671"/>
      <c r="Y7" s="630" t="s">
        <v>84</v>
      </c>
      <c r="Z7" s="630"/>
      <c r="AA7" s="630"/>
      <c r="AB7" s="631"/>
      <c r="AC7" s="632"/>
      <c r="AD7" s="632"/>
      <c r="AE7" s="632"/>
      <c r="AF7" s="633"/>
      <c r="AH7" s="62"/>
      <c r="AI7" s="634"/>
      <c r="AJ7" s="634"/>
      <c r="AK7" s="634"/>
      <c r="AL7" s="634"/>
      <c r="AM7" s="634"/>
      <c r="AN7" s="634"/>
      <c r="AO7" s="634"/>
      <c r="AP7" s="634"/>
      <c r="AQ7" s="634"/>
      <c r="AR7" s="634"/>
      <c r="AS7" s="634"/>
      <c r="AT7" s="634"/>
      <c r="AU7" s="635"/>
    </row>
    <row r="8" spans="1:52" ht="21.75" customHeight="1" x14ac:dyDescent="0.2">
      <c r="A8" s="636" t="s">
        <v>9</v>
      </c>
      <c r="B8" s="637"/>
      <c r="C8" s="637"/>
      <c r="D8" s="637"/>
      <c r="E8" s="638"/>
      <c r="F8" s="638"/>
      <c r="G8" s="638"/>
      <c r="H8" s="639"/>
      <c r="I8" s="640" t="s">
        <v>10</v>
      </c>
      <c r="J8" s="641"/>
      <c r="K8" s="641"/>
      <c r="L8" s="641"/>
      <c r="M8" s="617"/>
      <c r="N8" s="617"/>
      <c r="O8" s="617"/>
      <c r="P8" s="617"/>
      <c r="Q8" s="617"/>
      <c r="R8" s="642"/>
      <c r="S8" s="643" t="s">
        <v>11</v>
      </c>
      <c r="T8" s="644"/>
      <c r="U8" s="644"/>
      <c r="V8" s="617" t="s">
        <v>78</v>
      </c>
      <c r="W8" s="617"/>
      <c r="X8" s="617"/>
      <c r="Y8" s="617"/>
      <c r="Z8" s="617"/>
      <c r="AA8" s="617"/>
      <c r="AB8" s="617"/>
      <c r="AC8" s="617"/>
      <c r="AD8" s="617"/>
      <c r="AE8" s="617"/>
      <c r="AF8" s="618"/>
      <c r="AH8" s="62"/>
      <c r="AI8" s="62"/>
      <c r="AJ8" s="53"/>
    </row>
    <row r="9" spans="1:52" ht="11.25" customHeight="1" x14ac:dyDescent="0.2">
      <c r="A9" s="63"/>
      <c r="B9" s="64"/>
      <c r="C9" s="64"/>
      <c r="D9" s="64"/>
      <c r="E9" s="64"/>
      <c r="F9" s="64"/>
      <c r="G9" s="64"/>
      <c r="H9" s="64"/>
      <c r="I9" s="65"/>
      <c r="J9" s="65"/>
      <c r="K9" s="65"/>
      <c r="L9" s="65"/>
      <c r="M9" s="65"/>
      <c r="N9" s="65"/>
      <c r="O9" s="65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7"/>
      <c r="AH9" s="62"/>
      <c r="AI9" s="62"/>
      <c r="AJ9" s="53"/>
    </row>
    <row r="10" spans="1:52" ht="14.25" customHeight="1" x14ac:dyDescent="0.2">
      <c r="A10" s="619" t="s">
        <v>85</v>
      </c>
      <c r="B10" s="540"/>
      <c r="C10" s="540"/>
      <c r="D10" s="540"/>
      <c r="E10" s="620"/>
      <c r="F10" s="621"/>
      <c r="G10" s="621"/>
      <c r="H10" s="621"/>
      <c r="I10" s="621"/>
      <c r="J10" s="621"/>
      <c r="K10" s="622"/>
      <c r="L10" s="623" t="s">
        <v>86</v>
      </c>
      <c r="M10" s="623"/>
      <c r="N10" s="623"/>
      <c r="O10" s="620"/>
      <c r="P10" s="621"/>
      <c r="Q10" s="621"/>
      <c r="R10" s="621"/>
      <c r="S10" s="621"/>
      <c r="T10" s="621"/>
      <c r="U10" s="622"/>
      <c r="V10" s="68" t="s">
        <v>87</v>
      </c>
      <c r="W10" s="68"/>
      <c r="X10" s="68"/>
      <c r="Y10" s="69"/>
      <c r="Z10" s="620" t="e">
        <f>+(E10-O10)/(1+(AC21/100))</f>
        <v>#DIV/0!</v>
      </c>
      <c r="AA10" s="621"/>
      <c r="AB10" s="621"/>
      <c r="AC10" s="621"/>
      <c r="AD10" s="621"/>
      <c r="AE10" s="621"/>
      <c r="AF10" s="624"/>
    </row>
    <row r="11" spans="1:52" ht="14.25" customHeight="1" thickBot="1" x14ac:dyDescent="0.25">
      <c r="A11" s="602" t="s">
        <v>88</v>
      </c>
      <c r="B11" s="603"/>
      <c r="C11" s="603"/>
      <c r="D11" s="603"/>
      <c r="E11" s="603"/>
      <c r="F11" s="603"/>
      <c r="G11" s="603"/>
      <c r="H11" s="603"/>
      <c r="I11" s="603"/>
      <c r="J11" s="603"/>
      <c r="K11" s="603"/>
      <c r="L11" s="603"/>
      <c r="M11" s="603"/>
      <c r="N11" s="603"/>
      <c r="O11" s="603"/>
      <c r="P11" s="603"/>
      <c r="Q11" s="603"/>
      <c r="R11" s="603"/>
      <c r="S11" s="603"/>
      <c r="T11" s="603"/>
      <c r="U11" s="603"/>
      <c r="V11" s="604"/>
      <c r="W11" s="605" t="s">
        <v>89</v>
      </c>
      <c r="X11" s="606"/>
      <c r="Y11" s="606"/>
      <c r="Z11" s="607" t="e">
        <f>Z10</f>
        <v>#DIV/0!</v>
      </c>
      <c r="AA11" s="607"/>
      <c r="AB11" s="607"/>
      <c r="AC11" s="607"/>
      <c r="AD11" s="607"/>
      <c r="AE11" s="70"/>
      <c r="AF11" s="71"/>
    </row>
    <row r="12" spans="1:52" ht="12.2" customHeight="1" x14ac:dyDescent="0.2">
      <c r="A12" s="608" t="s">
        <v>1</v>
      </c>
      <c r="B12" s="609"/>
      <c r="C12" s="609"/>
      <c r="D12" s="609"/>
      <c r="E12" s="612" t="s">
        <v>90</v>
      </c>
      <c r="F12" s="612"/>
      <c r="G12" s="612"/>
      <c r="H12" s="612"/>
      <c r="I12" s="612"/>
      <c r="J12" s="612" t="s">
        <v>2</v>
      </c>
      <c r="K12" s="612"/>
      <c r="L12" s="612"/>
      <c r="M12" s="612"/>
      <c r="N12" s="612"/>
      <c r="O12" s="612" t="s">
        <v>3</v>
      </c>
      <c r="P12" s="612"/>
      <c r="Q12" s="612"/>
      <c r="R12" s="612"/>
      <c r="S12" s="612"/>
      <c r="T12" s="612" t="s">
        <v>91</v>
      </c>
      <c r="U12" s="612"/>
      <c r="V12" s="612"/>
      <c r="W12" s="612"/>
      <c r="X12" s="612"/>
      <c r="Y12" s="609" t="s">
        <v>60</v>
      </c>
      <c r="Z12" s="609"/>
      <c r="AA12" s="609"/>
      <c r="AB12" s="609"/>
      <c r="AC12" s="609"/>
      <c r="AD12" s="609"/>
      <c r="AE12" s="609"/>
      <c r="AF12" s="615"/>
    </row>
    <row r="13" spans="1:52" ht="12.2" customHeight="1" x14ac:dyDescent="0.2">
      <c r="A13" s="610"/>
      <c r="B13" s="611"/>
      <c r="C13" s="611"/>
      <c r="D13" s="611"/>
      <c r="E13" s="613"/>
      <c r="F13" s="613"/>
      <c r="G13" s="613"/>
      <c r="H13" s="613"/>
      <c r="I13" s="613"/>
      <c r="J13" s="614"/>
      <c r="K13" s="614"/>
      <c r="L13" s="614"/>
      <c r="M13" s="614"/>
      <c r="N13" s="614"/>
      <c r="O13" s="613"/>
      <c r="P13" s="613"/>
      <c r="Q13" s="613"/>
      <c r="R13" s="613"/>
      <c r="S13" s="613"/>
      <c r="T13" s="613"/>
      <c r="U13" s="613"/>
      <c r="V13" s="613"/>
      <c r="W13" s="613"/>
      <c r="X13" s="613"/>
      <c r="Y13" s="611"/>
      <c r="Z13" s="611"/>
      <c r="AA13" s="611"/>
      <c r="AB13" s="611"/>
      <c r="AC13" s="611"/>
      <c r="AD13" s="611"/>
      <c r="AE13" s="611"/>
      <c r="AF13" s="616"/>
    </row>
    <row r="14" spans="1:52" ht="12.2" customHeight="1" x14ac:dyDescent="0.2">
      <c r="A14" s="569" t="s">
        <v>92</v>
      </c>
      <c r="B14" s="570"/>
      <c r="C14" s="570"/>
      <c r="D14" s="571"/>
      <c r="E14" s="574"/>
      <c r="F14" s="575"/>
      <c r="G14" s="575"/>
      <c r="H14" s="575"/>
      <c r="I14" s="576"/>
      <c r="J14" s="563" t="e">
        <f>ROUND(E14*100/$Z$11,1)</f>
        <v>#DIV/0!</v>
      </c>
      <c r="K14" s="564"/>
      <c r="L14" s="564"/>
      <c r="M14" s="564"/>
      <c r="N14" s="565"/>
      <c r="O14" s="539" t="e">
        <f>J14</f>
        <v>#DIV/0!</v>
      </c>
      <c r="P14" s="540"/>
      <c r="Q14" s="540"/>
      <c r="R14" s="540"/>
      <c r="S14" s="540"/>
      <c r="T14" s="566" t="e">
        <f>100-O14</f>
        <v>#DIV/0!</v>
      </c>
      <c r="U14" s="567"/>
      <c r="V14" s="567"/>
      <c r="W14" s="567"/>
      <c r="X14" s="568"/>
      <c r="Y14" s="601"/>
      <c r="Z14" s="548"/>
      <c r="AA14" s="548"/>
      <c r="AB14" s="548"/>
      <c r="AC14" s="548"/>
      <c r="AD14" s="548"/>
      <c r="AE14" s="548"/>
      <c r="AF14" s="550"/>
    </row>
    <row r="15" spans="1:52" ht="12.2" customHeight="1" x14ac:dyDescent="0.2">
      <c r="A15" s="569" t="s">
        <v>93</v>
      </c>
      <c r="B15" s="570"/>
      <c r="C15" s="570"/>
      <c r="D15" s="571"/>
      <c r="E15" s="574"/>
      <c r="F15" s="575"/>
      <c r="G15" s="575"/>
      <c r="H15" s="575"/>
      <c r="I15" s="576"/>
      <c r="J15" s="563" t="e">
        <f t="shared" ref="J15:J22" si="0">ROUND(E15*100/$Z$11,1)</f>
        <v>#DIV/0!</v>
      </c>
      <c r="K15" s="564"/>
      <c r="L15" s="564"/>
      <c r="M15" s="564"/>
      <c r="N15" s="565"/>
      <c r="O15" s="539" t="e">
        <f>SUM(J15+O14)</f>
        <v>#DIV/0!</v>
      </c>
      <c r="P15" s="540"/>
      <c r="Q15" s="540"/>
      <c r="R15" s="540"/>
      <c r="S15" s="540"/>
      <c r="T15" s="566" t="e">
        <f t="shared" ref="T15:T21" si="1">100-O15</f>
        <v>#DIV/0!</v>
      </c>
      <c r="U15" s="567"/>
      <c r="V15" s="567"/>
      <c r="W15" s="567"/>
      <c r="X15" s="568"/>
      <c r="Y15" s="541" t="s">
        <v>94</v>
      </c>
      <c r="Z15" s="542"/>
      <c r="AA15" s="542"/>
      <c r="AB15" s="542"/>
      <c r="AC15" s="542"/>
      <c r="AD15" s="542"/>
      <c r="AE15" s="542"/>
      <c r="AF15" s="600"/>
    </row>
    <row r="16" spans="1:52" ht="12.2" customHeight="1" x14ac:dyDescent="0.2">
      <c r="A16" s="569" t="s">
        <v>95</v>
      </c>
      <c r="B16" s="570"/>
      <c r="C16" s="570"/>
      <c r="D16" s="571"/>
      <c r="E16" s="574"/>
      <c r="F16" s="575"/>
      <c r="G16" s="575"/>
      <c r="H16" s="575"/>
      <c r="I16" s="576"/>
      <c r="J16" s="563" t="e">
        <f t="shared" si="0"/>
        <v>#DIV/0!</v>
      </c>
      <c r="K16" s="564"/>
      <c r="L16" s="564"/>
      <c r="M16" s="564"/>
      <c r="N16" s="565"/>
      <c r="O16" s="539" t="e">
        <f t="shared" ref="O16:O22" si="2">SUM(J16+O15)</f>
        <v>#DIV/0!</v>
      </c>
      <c r="P16" s="540"/>
      <c r="Q16" s="540"/>
      <c r="R16" s="540"/>
      <c r="S16" s="540"/>
      <c r="T16" s="566" t="e">
        <f t="shared" si="1"/>
        <v>#DIV/0!</v>
      </c>
      <c r="U16" s="567"/>
      <c r="V16" s="567"/>
      <c r="W16" s="567"/>
      <c r="X16" s="568"/>
      <c r="Y16" s="598" t="s">
        <v>96</v>
      </c>
      <c r="Z16" s="599"/>
      <c r="AA16" s="599"/>
      <c r="AB16" s="599"/>
      <c r="AC16" s="572"/>
      <c r="AD16" s="572"/>
      <c r="AE16" s="572"/>
      <c r="AF16" s="573"/>
    </row>
    <row r="17" spans="1:39" ht="12.2" customHeight="1" x14ac:dyDescent="0.2">
      <c r="A17" s="569" t="s">
        <v>97</v>
      </c>
      <c r="B17" s="570"/>
      <c r="C17" s="570"/>
      <c r="D17" s="571"/>
      <c r="E17" s="574"/>
      <c r="F17" s="575"/>
      <c r="G17" s="575"/>
      <c r="H17" s="575"/>
      <c r="I17" s="576"/>
      <c r="J17" s="563" t="e">
        <f t="shared" si="0"/>
        <v>#DIV/0!</v>
      </c>
      <c r="K17" s="564"/>
      <c r="L17" s="564"/>
      <c r="M17" s="564"/>
      <c r="N17" s="565"/>
      <c r="O17" s="539" t="e">
        <f t="shared" si="2"/>
        <v>#DIV/0!</v>
      </c>
      <c r="P17" s="540"/>
      <c r="Q17" s="540"/>
      <c r="R17" s="540"/>
      <c r="S17" s="540"/>
      <c r="T17" s="566" t="e">
        <f t="shared" si="1"/>
        <v>#DIV/0!</v>
      </c>
      <c r="U17" s="567"/>
      <c r="V17" s="567"/>
      <c r="W17" s="567"/>
      <c r="X17" s="568"/>
      <c r="Y17" s="580" t="s">
        <v>98</v>
      </c>
      <c r="Z17" s="581"/>
      <c r="AA17" s="581"/>
      <c r="AB17" s="581"/>
      <c r="AC17" s="572"/>
      <c r="AD17" s="572"/>
      <c r="AE17" s="572"/>
      <c r="AF17" s="573"/>
      <c r="AL17" s="53">
        <v>334.5</v>
      </c>
    </row>
    <row r="18" spans="1:39" ht="12.2" customHeight="1" x14ac:dyDescent="0.2">
      <c r="A18" s="569" t="s">
        <v>47</v>
      </c>
      <c r="B18" s="570"/>
      <c r="C18" s="570"/>
      <c r="D18" s="571"/>
      <c r="E18" s="574"/>
      <c r="F18" s="575"/>
      <c r="G18" s="575"/>
      <c r="H18" s="575"/>
      <c r="I18" s="576"/>
      <c r="J18" s="563" t="e">
        <f t="shared" si="0"/>
        <v>#DIV/0!</v>
      </c>
      <c r="K18" s="564"/>
      <c r="L18" s="564"/>
      <c r="M18" s="564"/>
      <c r="N18" s="565"/>
      <c r="O18" s="539" t="e">
        <f t="shared" si="2"/>
        <v>#DIV/0!</v>
      </c>
      <c r="P18" s="540"/>
      <c r="Q18" s="540"/>
      <c r="R18" s="540"/>
      <c r="S18" s="540"/>
      <c r="T18" s="566" t="e">
        <f t="shared" si="1"/>
        <v>#DIV/0!</v>
      </c>
      <c r="U18" s="567"/>
      <c r="V18" s="567"/>
      <c r="W18" s="567"/>
      <c r="X18" s="568"/>
      <c r="Y18" s="580" t="s">
        <v>99</v>
      </c>
      <c r="Z18" s="581"/>
      <c r="AA18" s="581"/>
      <c r="AB18" s="581"/>
      <c r="AC18" s="582">
        <f>AC16-AC17</f>
        <v>0</v>
      </c>
      <c r="AD18" s="582"/>
      <c r="AE18" s="582"/>
      <c r="AF18" s="583"/>
      <c r="AL18" s="53">
        <v>194.3</v>
      </c>
    </row>
    <row r="19" spans="1:39" ht="12.2" customHeight="1" x14ac:dyDescent="0.2">
      <c r="A19" s="584" t="s">
        <v>48</v>
      </c>
      <c r="B19" s="585"/>
      <c r="C19" s="585"/>
      <c r="D19" s="586"/>
      <c r="E19" s="587"/>
      <c r="F19" s="588"/>
      <c r="G19" s="588"/>
      <c r="H19" s="588"/>
      <c r="I19" s="589"/>
      <c r="J19" s="590" t="e">
        <f t="shared" si="0"/>
        <v>#DIV/0!</v>
      </c>
      <c r="K19" s="591"/>
      <c r="L19" s="591"/>
      <c r="M19" s="591"/>
      <c r="N19" s="592"/>
      <c r="O19" s="593" t="e">
        <f t="shared" si="2"/>
        <v>#DIV/0!</v>
      </c>
      <c r="P19" s="594"/>
      <c r="Q19" s="594"/>
      <c r="R19" s="594"/>
      <c r="S19" s="594"/>
      <c r="T19" s="595" t="e">
        <f t="shared" si="1"/>
        <v>#DIV/0!</v>
      </c>
      <c r="U19" s="596"/>
      <c r="V19" s="596"/>
      <c r="W19" s="596"/>
      <c r="X19" s="597"/>
      <c r="Y19" s="580" t="s">
        <v>100</v>
      </c>
      <c r="Z19" s="581"/>
      <c r="AA19" s="581"/>
      <c r="AB19" s="581"/>
      <c r="AC19" s="582">
        <f>AC17-AC20</f>
        <v>0</v>
      </c>
      <c r="AD19" s="582"/>
      <c r="AE19" s="582"/>
      <c r="AF19" s="583"/>
      <c r="AI19" s="72" t="e">
        <f>Z11</f>
        <v>#DIV/0!</v>
      </c>
    </row>
    <row r="20" spans="1:39" ht="12.2" customHeight="1" x14ac:dyDescent="0.2">
      <c r="A20" s="569" t="s">
        <v>49</v>
      </c>
      <c r="B20" s="570"/>
      <c r="C20" s="570"/>
      <c r="D20" s="571"/>
      <c r="E20" s="574"/>
      <c r="F20" s="575"/>
      <c r="G20" s="575"/>
      <c r="H20" s="575"/>
      <c r="I20" s="576"/>
      <c r="J20" s="563" t="e">
        <f t="shared" si="0"/>
        <v>#DIV/0!</v>
      </c>
      <c r="K20" s="564"/>
      <c r="L20" s="564"/>
      <c r="M20" s="564"/>
      <c r="N20" s="565"/>
      <c r="O20" s="539" t="e">
        <f t="shared" si="2"/>
        <v>#DIV/0!</v>
      </c>
      <c r="P20" s="540"/>
      <c r="Q20" s="540"/>
      <c r="R20" s="540"/>
      <c r="S20" s="540"/>
      <c r="T20" s="566" t="e">
        <f t="shared" si="1"/>
        <v>#DIV/0!</v>
      </c>
      <c r="U20" s="567"/>
      <c r="V20" s="567"/>
      <c r="W20" s="567"/>
      <c r="X20" s="568"/>
      <c r="Y20" s="580" t="s">
        <v>101</v>
      </c>
      <c r="Z20" s="581"/>
      <c r="AA20" s="581"/>
      <c r="AB20" s="581"/>
      <c r="AC20" s="572"/>
      <c r="AD20" s="572"/>
      <c r="AE20" s="572"/>
      <c r="AF20" s="573"/>
      <c r="AI20" s="73">
        <f>E24+E28+E29+E30</f>
        <v>0</v>
      </c>
    </row>
    <row r="21" spans="1:39" ht="12.2" customHeight="1" x14ac:dyDescent="0.2">
      <c r="A21" s="569" t="s">
        <v>4</v>
      </c>
      <c r="B21" s="570"/>
      <c r="C21" s="570"/>
      <c r="D21" s="571"/>
      <c r="E21" s="574"/>
      <c r="F21" s="575"/>
      <c r="G21" s="575"/>
      <c r="H21" s="575"/>
      <c r="I21" s="576"/>
      <c r="J21" s="563" t="e">
        <f t="shared" si="0"/>
        <v>#DIV/0!</v>
      </c>
      <c r="K21" s="564"/>
      <c r="L21" s="564"/>
      <c r="M21" s="564"/>
      <c r="N21" s="565"/>
      <c r="O21" s="539" t="e">
        <f t="shared" si="2"/>
        <v>#DIV/0!</v>
      </c>
      <c r="P21" s="540"/>
      <c r="Q21" s="540"/>
      <c r="R21" s="540"/>
      <c r="S21" s="540"/>
      <c r="T21" s="566" t="e">
        <f t="shared" si="1"/>
        <v>#DIV/0!</v>
      </c>
      <c r="U21" s="567"/>
      <c r="V21" s="567"/>
      <c r="W21" s="567"/>
      <c r="X21" s="568"/>
      <c r="Y21" s="577" t="s">
        <v>102</v>
      </c>
      <c r="Z21" s="554"/>
      <c r="AA21" s="554"/>
      <c r="AB21" s="554"/>
      <c r="AC21" s="578" t="e">
        <f>ROUND((AC18/AC19)*100,1)</f>
        <v>#DIV/0!</v>
      </c>
      <c r="AD21" s="578"/>
      <c r="AE21" s="578"/>
      <c r="AF21" s="579"/>
      <c r="AL21" s="74" t="e">
        <f>AI19-AI20</f>
        <v>#DIV/0!</v>
      </c>
    </row>
    <row r="22" spans="1:39" ht="12.2" customHeight="1" x14ac:dyDescent="0.2">
      <c r="A22" s="569" t="s">
        <v>103</v>
      </c>
      <c r="B22" s="570"/>
      <c r="C22" s="570"/>
      <c r="D22" s="571"/>
      <c r="E22" s="574"/>
      <c r="F22" s="575"/>
      <c r="G22" s="575"/>
      <c r="H22" s="575"/>
      <c r="I22" s="576"/>
      <c r="J22" s="563" t="e">
        <f t="shared" si="0"/>
        <v>#DIV/0!</v>
      </c>
      <c r="K22" s="564"/>
      <c r="L22" s="564"/>
      <c r="M22" s="564"/>
      <c r="N22" s="565"/>
      <c r="O22" s="539" t="e">
        <f t="shared" si="2"/>
        <v>#DIV/0!</v>
      </c>
      <c r="P22" s="540"/>
      <c r="Q22" s="540"/>
      <c r="R22" s="540"/>
      <c r="S22" s="540"/>
      <c r="T22" s="566" t="e">
        <f>100-O22</f>
        <v>#DIV/0!</v>
      </c>
      <c r="U22" s="567"/>
      <c r="V22" s="567"/>
      <c r="W22" s="567"/>
      <c r="X22" s="568"/>
      <c r="Y22" s="577"/>
      <c r="Z22" s="554"/>
      <c r="AA22" s="554"/>
      <c r="AB22" s="554"/>
      <c r="AC22" s="578"/>
      <c r="AD22" s="578"/>
      <c r="AE22" s="578"/>
      <c r="AF22" s="579"/>
      <c r="AH22" s="75"/>
      <c r="AI22" s="75"/>
    </row>
    <row r="23" spans="1:39" ht="12.2" customHeight="1" x14ac:dyDescent="0.2">
      <c r="A23" s="569"/>
      <c r="B23" s="570"/>
      <c r="C23" s="570"/>
      <c r="D23" s="571"/>
      <c r="E23" s="566"/>
      <c r="F23" s="567"/>
      <c r="G23" s="567"/>
      <c r="H23" s="567"/>
      <c r="I23" s="568"/>
      <c r="J23" s="563"/>
      <c r="K23" s="564"/>
      <c r="L23" s="564"/>
      <c r="M23" s="564"/>
      <c r="N23" s="565"/>
      <c r="O23" s="566"/>
      <c r="P23" s="567"/>
      <c r="Q23" s="567"/>
      <c r="R23" s="567"/>
      <c r="S23" s="568"/>
      <c r="T23" s="566"/>
      <c r="U23" s="567"/>
      <c r="V23" s="567"/>
      <c r="W23" s="567"/>
      <c r="X23" s="568"/>
      <c r="Y23" s="76"/>
      <c r="Z23" s="77"/>
      <c r="AA23" s="77"/>
      <c r="AB23" s="77"/>
      <c r="AC23" s="77"/>
      <c r="AD23" s="77"/>
      <c r="AE23" s="77"/>
      <c r="AF23" s="78"/>
      <c r="AH23" s="79"/>
      <c r="AI23" s="80"/>
    </row>
    <row r="24" spans="1:39" ht="12.2" customHeight="1" thickBot="1" x14ac:dyDescent="0.25">
      <c r="A24" s="513" t="s">
        <v>104</v>
      </c>
      <c r="B24" s="514"/>
      <c r="C24" s="514"/>
      <c r="D24" s="514"/>
      <c r="E24" s="515">
        <f>SUM(E14:I23)</f>
        <v>0</v>
      </c>
      <c r="F24" s="515"/>
      <c r="G24" s="515"/>
      <c r="H24" s="515"/>
      <c r="I24" s="515"/>
      <c r="J24" s="561"/>
      <c r="K24" s="561"/>
      <c r="L24" s="561"/>
      <c r="M24" s="561"/>
      <c r="N24" s="561"/>
      <c r="O24" s="562"/>
      <c r="P24" s="562"/>
      <c r="Q24" s="562"/>
      <c r="R24" s="562"/>
      <c r="S24" s="562"/>
      <c r="T24" s="562"/>
      <c r="U24" s="562"/>
      <c r="V24" s="562"/>
      <c r="W24" s="562"/>
      <c r="X24" s="521"/>
      <c r="Y24" s="521"/>
      <c r="Z24" s="522"/>
      <c r="AA24" s="522"/>
      <c r="AB24" s="522"/>
      <c r="AC24" s="522"/>
      <c r="AD24" s="522"/>
      <c r="AE24" s="522"/>
      <c r="AF24" s="523"/>
    </row>
    <row r="25" spans="1:39" ht="14.25" customHeight="1" thickBot="1" x14ac:dyDescent="0.25">
      <c r="A25" s="551" t="s">
        <v>105</v>
      </c>
      <c r="B25" s="552"/>
      <c r="C25" s="552"/>
      <c r="D25" s="552"/>
      <c r="E25" s="552"/>
      <c r="F25" s="552"/>
      <c r="G25" s="552"/>
      <c r="H25" s="552"/>
      <c r="I25" s="552"/>
      <c r="J25" s="552"/>
      <c r="K25" s="552"/>
      <c r="L25" s="552"/>
      <c r="M25" s="552"/>
      <c r="N25" s="552"/>
      <c r="O25" s="552"/>
      <c r="P25" s="552"/>
      <c r="Q25" s="552"/>
      <c r="R25" s="553" t="s">
        <v>87</v>
      </c>
      <c r="S25" s="553"/>
      <c r="T25" s="553"/>
      <c r="U25" s="553"/>
      <c r="V25" s="553"/>
      <c r="W25" s="553"/>
      <c r="X25" s="553"/>
      <c r="Y25" s="553"/>
      <c r="Z25" s="553"/>
      <c r="AA25" s="554" t="s">
        <v>89</v>
      </c>
      <c r="AB25" s="554"/>
      <c r="AC25" s="554"/>
      <c r="AD25" s="555"/>
      <c r="AE25" s="555"/>
      <c r="AF25" s="556"/>
      <c r="AH25" s="81" t="s">
        <v>106</v>
      </c>
      <c r="AI25" s="82">
        <f>E23</f>
        <v>0</v>
      </c>
    </row>
    <row r="26" spans="1:39" ht="12.2" customHeight="1" x14ac:dyDescent="0.2">
      <c r="A26" s="557" t="s">
        <v>1</v>
      </c>
      <c r="B26" s="543"/>
      <c r="C26" s="543"/>
      <c r="D26" s="543"/>
      <c r="E26" s="559" t="s">
        <v>90</v>
      </c>
      <c r="F26" s="559"/>
      <c r="G26" s="559"/>
      <c r="H26" s="559"/>
      <c r="I26" s="559"/>
      <c r="J26" s="559" t="s">
        <v>2</v>
      </c>
      <c r="K26" s="559"/>
      <c r="L26" s="559"/>
      <c r="M26" s="559"/>
      <c r="N26" s="559"/>
      <c r="O26" s="559" t="s">
        <v>3</v>
      </c>
      <c r="P26" s="559"/>
      <c r="Q26" s="559"/>
      <c r="R26" s="559"/>
      <c r="S26" s="559"/>
      <c r="T26" s="559" t="s">
        <v>91</v>
      </c>
      <c r="U26" s="559"/>
      <c r="V26" s="559"/>
      <c r="W26" s="559"/>
      <c r="X26" s="559"/>
      <c r="Y26" s="543" t="s">
        <v>60</v>
      </c>
      <c r="Z26" s="543"/>
      <c r="AA26" s="543"/>
      <c r="AB26" s="543"/>
      <c r="AC26" s="543"/>
      <c r="AD26" s="543"/>
      <c r="AE26" s="543"/>
      <c r="AF26" s="544"/>
      <c r="AH26" s="83" t="s">
        <v>107</v>
      </c>
      <c r="AI26" s="84">
        <f>AD25</f>
        <v>0</v>
      </c>
    </row>
    <row r="27" spans="1:39" ht="12.2" customHeight="1" x14ac:dyDescent="0.2">
      <c r="A27" s="558"/>
      <c r="B27" s="545"/>
      <c r="C27" s="545"/>
      <c r="D27" s="545"/>
      <c r="E27" s="560"/>
      <c r="F27" s="560"/>
      <c r="G27" s="560"/>
      <c r="H27" s="560"/>
      <c r="I27" s="560"/>
      <c r="J27" s="560"/>
      <c r="K27" s="560"/>
      <c r="L27" s="560"/>
      <c r="M27" s="560"/>
      <c r="N27" s="560"/>
      <c r="O27" s="560"/>
      <c r="P27" s="560"/>
      <c r="Q27" s="560"/>
      <c r="R27" s="560"/>
      <c r="S27" s="560"/>
      <c r="T27" s="560"/>
      <c r="U27" s="560"/>
      <c r="V27" s="560"/>
      <c r="W27" s="560"/>
      <c r="X27" s="560"/>
      <c r="Y27" s="545"/>
      <c r="Z27" s="545"/>
      <c r="AA27" s="545"/>
      <c r="AB27" s="545"/>
      <c r="AC27" s="545"/>
      <c r="AD27" s="545"/>
      <c r="AE27" s="545"/>
      <c r="AF27" s="546"/>
      <c r="AH27" s="85" t="s">
        <v>1</v>
      </c>
      <c r="AI27" s="85" t="s">
        <v>108</v>
      </c>
      <c r="AJ27" s="85" t="s">
        <v>109</v>
      </c>
      <c r="AM27" s="53">
        <v>377.5</v>
      </c>
    </row>
    <row r="28" spans="1:39" ht="12.2" customHeight="1" x14ac:dyDescent="0.2">
      <c r="A28" s="547" t="s">
        <v>110</v>
      </c>
      <c r="B28" s="548"/>
      <c r="C28" s="548"/>
      <c r="D28" s="549"/>
      <c r="E28" s="538"/>
      <c r="F28" s="538"/>
      <c r="G28" s="538"/>
      <c r="H28" s="538"/>
      <c r="I28" s="538"/>
      <c r="J28" s="529" t="e">
        <f t="shared" ref="J28:J31" si="3">ROUND(E28*100/$Z$11,1)</f>
        <v>#DIV/0!</v>
      </c>
      <c r="K28" s="529"/>
      <c r="L28" s="529"/>
      <c r="M28" s="529"/>
      <c r="N28" s="529"/>
      <c r="O28" s="539" t="e">
        <f>SUM(J28+O22)</f>
        <v>#DIV/0!</v>
      </c>
      <c r="P28" s="540"/>
      <c r="Q28" s="540"/>
      <c r="R28" s="540"/>
      <c r="S28" s="540"/>
      <c r="T28" s="539" t="e">
        <f>100-O28</f>
        <v>#DIV/0!</v>
      </c>
      <c r="U28" s="540"/>
      <c r="V28" s="540"/>
      <c r="W28" s="540"/>
      <c r="X28" s="540"/>
      <c r="Y28" s="548"/>
      <c r="Z28" s="548"/>
      <c r="AA28" s="548"/>
      <c r="AB28" s="548"/>
      <c r="AC28" s="548"/>
      <c r="AD28" s="548"/>
      <c r="AE28" s="548"/>
      <c r="AF28" s="550"/>
      <c r="AH28" s="85" t="s">
        <v>111</v>
      </c>
      <c r="AI28" s="86">
        <f>E28</f>
        <v>0</v>
      </c>
      <c r="AJ28" s="85" t="e">
        <f>(AI$25/AI$26)*AI28</f>
        <v>#DIV/0!</v>
      </c>
      <c r="AM28" s="53">
        <v>410.6</v>
      </c>
    </row>
    <row r="29" spans="1:39" ht="12.2" customHeight="1" x14ac:dyDescent="0.2">
      <c r="A29" s="535" t="s">
        <v>112</v>
      </c>
      <c r="B29" s="536"/>
      <c r="C29" s="536"/>
      <c r="D29" s="537"/>
      <c r="E29" s="538"/>
      <c r="F29" s="538"/>
      <c r="G29" s="538"/>
      <c r="H29" s="538"/>
      <c r="I29" s="538"/>
      <c r="J29" s="529" t="e">
        <f t="shared" si="3"/>
        <v>#DIV/0!</v>
      </c>
      <c r="K29" s="529"/>
      <c r="L29" s="529"/>
      <c r="M29" s="529"/>
      <c r="N29" s="529"/>
      <c r="O29" s="539" t="e">
        <f>SUM(J29+O28)</f>
        <v>#DIV/0!</v>
      </c>
      <c r="P29" s="540"/>
      <c r="Q29" s="540"/>
      <c r="R29" s="540"/>
      <c r="S29" s="540"/>
      <c r="T29" s="539" t="e">
        <f t="shared" ref="T29:T31" si="4">100-O29</f>
        <v>#DIV/0!</v>
      </c>
      <c r="U29" s="540"/>
      <c r="V29" s="540"/>
      <c r="W29" s="540"/>
      <c r="X29" s="540"/>
      <c r="Y29" s="541" t="s">
        <v>113</v>
      </c>
      <c r="Z29" s="542"/>
      <c r="AA29" s="542"/>
      <c r="AB29" s="533" t="e">
        <f>O22/100</f>
        <v>#DIV/0!</v>
      </c>
      <c r="AC29" s="533"/>
      <c r="AD29" s="533"/>
      <c r="AE29" s="533"/>
      <c r="AF29" s="534"/>
      <c r="AH29" s="85" t="s">
        <v>114</v>
      </c>
      <c r="AI29" s="86">
        <f>E29</f>
        <v>0</v>
      </c>
      <c r="AJ29" s="85" t="e">
        <f>(AI$25/AI$26)*AI29</f>
        <v>#DIV/0!</v>
      </c>
      <c r="AM29" s="53">
        <v>466.4</v>
      </c>
    </row>
    <row r="30" spans="1:39" ht="12.2" customHeight="1" x14ac:dyDescent="0.2">
      <c r="A30" s="535" t="s">
        <v>115</v>
      </c>
      <c r="B30" s="536"/>
      <c r="C30" s="536"/>
      <c r="D30" s="537"/>
      <c r="E30" s="538"/>
      <c r="F30" s="538"/>
      <c r="G30" s="538"/>
      <c r="H30" s="538"/>
      <c r="I30" s="538"/>
      <c r="J30" s="529" t="e">
        <f t="shared" si="3"/>
        <v>#DIV/0!</v>
      </c>
      <c r="K30" s="529"/>
      <c r="L30" s="529"/>
      <c r="M30" s="529"/>
      <c r="N30" s="529"/>
      <c r="O30" s="539" t="e">
        <f>SUM(J30+O29)</f>
        <v>#DIV/0!</v>
      </c>
      <c r="P30" s="540"/>
      <c r="Q30" s="540"/>
      <c r="R30" s="540"/>
      <c r="S30" s="540"/>
      <c r="T30" s="539" t="e">
        <f t="shared" si="4"/>
        <v>#DIV/0!</v>
      </c>
      <c r="U30" s="540"/>
      <c r="V30" s="540"/>
      <c r="W30" s="540"/>
      <c r="X30" s="540"/>
      <c r="Y30" s="541" t="s">
        <v>116</v>
      </c>
      <c r="Z30" s="542"/>
      <c r="AA30" s="542"/>
      <c r="AB30" s="533" t="e">
        <f>(100-O22-T30)/100</f>
        <v>#DIV/0!</v>
      </c>
      <c r="AC30" s="533"/>
      <c r="AD30" s="533"/>
      <c r="AE30" s="533"/>
      <c r="AF30" s="534"/>
      <c r="AH30" s="85" t="s">
        <v>117</v>
      </c>
      <c r="AI30" s="86">
        <f>E30</f>
        <v>0</v>
      </c>
      <c r="AJ30" s="85" t="e">
        <f>(AI$25/AI$26)*AI30</f>
        <v>#DIV/0!</v>
      </c>
      <c r="AM30" s="53">
        <v>6.6</v>
      </c>
    </row>
    <row r="31" spans="1:39" ht="12.2" customHeight="1" x14ac:dyDescent="0.2">
      <c r="A31" s="524" t="s">
        <v>118</v>
      </c>
      <c r="B31" s="525"/>
      <c r="C31" s="525"/>
      <c r="D31" s="526"/>
      <c r="E31" s="527" t="e">
        <f>AL21</f>
        <v>#DIV/0!</v>
      </c>
      <c r="F31" s="528"/>
      <c r="G31" s="528"/>
      <c r="H31" s="528"/>
      <c r="I31" s="528"/>
      <c r="J31" s="529" t="e">
        <f t="shared" si="3"/>
        <v>#DIV/0!</v>
      </c>
      <c r="K31" s="529"/>
      <c r="L31" s="529"/>
      <c r="M31" s="529"/>
      <c r="N31" s="529"/>
      <c r="O31" s="530" t="e">
        <f>SUM(J31+O30)</f>
        <v>#DIV/0!</v>
      </c>
      <c r="P31" s="530"/>
      <c r="Q31" s="530"/>
      <c r="R31" s="530"/>
      <c r="S31" s="530"/>
      <c r="T31" s="530" t="e">
        <f t="shared" si="4"/>
        <v>#DIV/0!</v>
      </c>
      <c r="U31" s="530"/>
      <c r="V31" s="530"/>
      <c r="W31" s="530"/>
      <c r="X31" s="530"/>
      <c r="Y31" s="531" t="s">
        <v>119</v>
      </c>
      <c r="Z31" s="532"/>
      <c r="AA31" s="532"/>
      <c r="AB31" s="511" t="e">
        <f>T30/100</f>
        <v>#DIV/0!</v>
      </c>
      <c r="AC31" s="511"/>
      <c r="AD31" s="511"/>
      <c r="AE31" s="511"/>
      <c r="AF31" s="512"/>
      <c r="AG31" s="87"/>
      <c r="AH31" s="88" t="s">
        <v>120</v>
      </c>
      <c r="AI31" s="86" t="e">
        <f>E31</f>
        <v>#DIV/0!</v>
      </c>
      <c r="AJ31" s="85" t="e">
        <f>(AI$25/AI$26)*AI31</f>
        <v>#DIV/0!</v>
      </c>
    </row>
    <row r="32" spans="1:39" ht="12.2" customHeight="1" thickBot="1" x14ac:dyDescent="0.25">
      <c r="A32" s="513" t="s">
        <v>104</v>
      </c>
      <c r="B32" s="514"/>
      <c r="C32" s="514"/>
      <c r="D32" s="514"/>
      <c r="E32" s="515" t="e">
        <f>E24+E28+E29+E30+E31</f>
        <v>#DIV/0!</v>
      </c>
      <c r="F32" s="514"/>
      <c r="G32" s="514"/>
      <c r="H32" s="514"/>
      <c r="I32" s="514"/>
      <c r="J32" s="516" t="e">
        <f>SUM(J14:N22,J28:N31)</f>
        <v>#DIV/0!</v>
      </c>
      <c r="K32" s="516"/>
      <c r="L32" s="516"/>
      <c r="M32" s="516"/>
      <c r="N32" s="516"/>
      <c r="O32" s="517"/>
      <c r="P32" s="518"/>
      <c r="Q32" s="518"/>
      <c r="R32" s="518"/>
      <c r="S32" s="519"/>
      <c r="T32" s="520"/>
      <c r="U32" s="518"/>
      <c r="V32" s="518"/>
      <c r="W32" s="518"/>
      <c r="X32" s="519"/>
      <c r="Y32" s="521"/>
      <c r="Z32" s="522"/>
      <c r="AA32" s="522"/>
      <c r="AB32" s="522"/>
      <c r="AC32" s="522"/>
      <c r="AD32" s="522"/>
      <c r="AE32" s="522"/>
      <c r="AF32" s="523"/>
    </row>
    <row r="33" spans="1:37" ht="12.75" customHeight="1" x14ac:dyDescent="0.2">
      <c r="A33" s="89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1"/>
      <c r="AI33" s="92"/>
      <c r="AJ33" s="93"/>
    </row>
    <row r="34" spans="1:37" ht="9" customHeight="1" x14ac:dyDescent="0.2">
      <c r="A34" s="89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1"/>
      <c r="AI34" s="92"/>
      <c r="AJ34" s="93"/>
    </row>
    <row r="35" spans="1:37" ht="13.7" customHeight="1" x14ac:dyDescent="0.2">
      <c r="A35" s="89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1"/>
      <c r="AH35" s="54" t="s">
        <v>1</v>
      </c>
      <c r="AI35" s="54" t="s">
        <v>121</v>
      </c>
      <c r="AJ35" s="55" t="s">
        <v>122</v>
      </c>
    </row>
    <row r="36" spans="1:37" ht="13.7" customHeight="1" x14ac:dyDescent="0.2">
      <c r="A36" s="89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1"/>
      <c r="AH36" s="94" t="str">
        <f t="shared" ref="AH36:AH44" si="5">A14</f>
        <v>3"</v>
      </c>
      <c r="AI36" s="95">
        <v>75</v>
      </c>
      <c r="AJ36" s="96" t="e">
        <f t="shared" ref="AJ36:AJ44" si="6">T14</f>
        <v>#DIV/0!</v>
      </c>
    </row>
    <row r="37" spans="1:37" ht="13.7" customHeight="1" x14ac:dyDescent="0.2">
      <c r="A37" s="89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1"/>
      <c r="AH37" s="94" t="str">
        <f t="shared" si="5"/>
        <v>2½"</v>
      </c>
      <c r="AI37" s="95">
        <v>63</v>
      </c>
      <c r="AJ37" s="96" t="e">
        <f t="shared" si="6"/>
        <v>#DIV/0!</v>
      </c>
    </row>
    <row r="38" spans="1:37" ht="13.7" customHeight="1" x14ac:dyDescent="0.2">
      <c r="A38" s="89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1"/>
      <c r="AH38" s="94" t="str">
        <f t="shared" si="5"/>
        <v>2"</v>
      </c>
      <c r="AI38" s="95">
        <v>50</v>
      </c>
      <c r="AJ38" s="96" t="e">
        <f t="shared" si="6"/>
        <v>#DIV/0!</v>
      </c>
    </row>
    <row r="39" spans="1:37" ht="13.7" customHeight="1" x14ac:dyDescent="0.2">
      <c r="A39" s="89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1"/>
      <c r="AH39" s="94" t="str">
        <f t="shared" si="5"/>
        <v>1½"</v>
      </c>
      <c r="AI39" s="95">
        <v>37.5</v>
      </c>
      <c r="AJ39" s="96" t="e">
        <f t="shared" si="6"/>
        <v>#DIV/0!</v>
      </c>
    </row>
    <row r="40" spans="1:37" ht="13.7" customHeight="1" x14ac:dyDescent="0.2">
      <c r="A40" s="89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1"/>
      <c r="AH40" s="94" t="str">
        <f t="shared" si="5"/>
        <v>1"</v>
      </c>
      <c r="AI40" s="95">
        <v>25</v>
      </c>
      <c r="AJ40" s="96" t="e">
        <f t="shared" si="6"/>
        <v>#DIV/0!</v>
      </c>
    </row>
    <row r="41" spans="1:37" ht="13.7" customHeight="1" x14ac:dyDescent="0.2">
      <c r="A41" s="89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1"/>
      <c r="AH41" s="94" t="str">
        <f t="shared" si="5"/>
        <v>3/4"</v>
      </c>
      <c r="AI41" s="95">
        <v>19</v>
      </c>
      <c r="AJ41" s="96" t="e">
        <f t="shared" si="6"/>
        <v>#DIV/0!</v>
      </c>
    </row>
    <row r="42" spans="1:37" ht="13.7" customHeight="1" x14ac:dyDescent="0.2">
      <c r="A42" s="89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1"/>
      <c r="AH42" s="94" t="str">
        <f t="shared" si="5"/>
        <v>1/2"</v>
      </c>
      <c r="AI42" s="95">
        <v>12.5</v>
      </c>
      <c r="AJ42" s="96" t="e">
        <f t="shared" si="6"/>
        <v>#DIV/0!</v>
      </c>
    </row>
    <row r="43" spans="1:37" ht="13.7" customHeight="1" x14ac:dyDescent="0.2">
      <c r="A43" s="89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1"/>
      <c r="AH43" s="94" t="str">
        <f t="shared" si="5"/>
        <v>3/8"</v>
      </c>
      <c r="AI43" s="95">
        <v>9.5</v>
      </c>
      <c r="AJ43" s="96" t="e">
        <f t="shared" si="6"/>
        <v>#DIV/0!</v>
      </c>
    </row>
    <row r="44" spans="1:37" ht="13.7" customHeight="1" x14ac:dyDescent="0.2">
      <c r="A44" s="89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1"/>
      <c r="AH44" s="94" t="str">
        <f t="shared" si="5"/>
        <v>No. 4</v>
      </c>
      <c r="AI44" s="95">
        <v>4.75</v>
      </c>
      <c r="AJ44" s="96" t="e">
        <f t="shared" si="6"/>
        <v>#DIV/0!</v>
      </c>
    </row>
    <row r="45" spans="1:37" ht="13.7" customHeight="1" x14ac:dyDescent="0.2">
      <c r="A45" s="89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1"/>
      <c r="AH45" s="94" t="str">
        <f>A28</f>
        <v>No. 10</v>
      </c>
      <c r="AI45" s="95">
        <v>2</v>
      </c>
      <c r="AJ45" s="96" t="e">
        <f>T28</f>
        <v>#DIV/0!</v>
      </c>
      <c r="AK45" s="97" t="s">
        <v>123</v>
      </c>
    </row>
    <row r="46" spans="1:37" ht="13.7" customHeight="1" x14ac:dyDescent="0.2">
      <c r="A46" s="89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1"/>
      <c r="AH46" s="94" t="str">
        <f>A29</f>
        <v>No. 40</v>
      </c>
      <c r="AI46" s="95">
        <v>0.42499999999999999</v>
      </c>
      <c r="AJ46" s="96" t="e">
        <f>T29</f>
        <v>#DIV/0!</v>
      </c>
      <c r="AK46" s="97" t="s">
        <v>124</v>
      </c>
    </row>
    <row r="47" spans="1:37" ht="14.25" customHeight="1" x14ac:dyDescent="0.2">
      <c r="A47" s="89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1"/>
      <c r="AH47" s="98" t="str">
        <f>A30</f>
        <v>No. 200</v>
      </c>
      <c r="AI47" s="99">
        <v>7.4999999999999997E-2</v>
      </c>
      <c r="AJ47" s="96" t="e">
        <f>T30</f>
        <v>#DIV/0!</v>
      </c>
      <c r="AK47" s="97" t="s">
        <v>125</v>
      </c>
    </row>
    <row r="48" spans="1:37" ht="14.25" customHeight="1" x14ac:dyDescent="0.2">
      <c r="A48" s="89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1"/>
      <c r="AH48" s="100"/>
      <c r="AI48" s="101"/>
      <c r="AJ48" s="102"/>
    </row>
    <row r="49" spans="1:66" ht="14.25" customHeight="1" x14ac:dyDescent="0.2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1"/>
      <c r="AH49" s="100"/>
      <c r="AI49" s="101"/>
      <c r="AJ49" s="102"/>
    </row>
    <row r="50" spans="1:66" ht="14.25" customHeight="1" x14ac:dyDescent="0.2">
      <c r="A50" s="89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1"/>
      <c r="AH50" s="100"/>
      <c r="AI50" s="101"/>
      <c r="AJ50" s="102"/>
    </row>
    <row r="51" spans="1:66" ht="14.25" customHeight="1" x14ac:dyDescent="0.2">
      <c r="A51" s="89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1"/>
      <c r="AH51" s="100"/>
      <c r="AI51" s="101"/>
      <c r="AJ51" s="102"/>
    </row>
    <row r="52" spans="1:66" ht="14.25" customHeight="1" x14ac:dyDescent="0.2">
      <c r="A52" s="89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1"/>
      <c r="AH52" s="100"/>
      <c r="AI52" s="101"/>
      <c r="AJ52" s="102"/>
    </row>
    <row r="53" spans="1:66" ht="14.25" customHeight="1" x14ac:dyDescent="0.2">
      <c r="A53" s="89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1"/>
      <c r="AH53" s="100"/>
      <c r="AI53" s="101"/>
      <c r="AJ53" s="102"/>
    </row>
    <row r="54" spans="1:66" ht="14.25" customHeight="1" x14ac:dyDescent="0.2">
      <c r="A54" s="505">
        <f>M8</f>
        <v>0</v>
      </c>
      <c r="B54" s="506"/>
      <c r="C54" s="506"/>
      <c r="D54" s="506"/>
      <c r="E54" s="506"/>
      <c r="F54" s="506"/>
      <c r="G54" s="506"/>
      <c r="H54" s="506"/>
      <c r="I54" s="506"/>
      <c r="J54" s="506"/>
      <c r="K54" s="506"/>
      <c r="L54" s="506"/>
      <c r="M54" s="506"/>
      <c r="N54" s="506"/>
      <c r="O54" s="506"/>
      <c r="P54" s="103"/>
      <c r="Q54" s="103"/>
      <c r="R54" s="506" t="s">
        <v>264</v>
      </c>
      <c r="S54" s="506"/>
      <c r="T54" s="506"/>
      <c r="U54" s="506"/>
      <c r="V54" s="506"/>
      <c r="W54" s="506"/>
      <c r="X54" s="506"/>
      <c r="Y54" s="506"/>
      <c r="Z54" s="506"/>
      <c r="AA54" s="506"/>
      <c r="AB54" s="506"/>
      <c r="AC54" s="506"/>
      <c r="AD54" s="506"/>
      <c r="AE54" s="506"/>
      <c r="AF54" s="507"/>
      <c r="AH54" s="104"/>
      <c r="AI54" s="105"/>
      <c r="AJ54" s="1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7" t="s">
        <v>220</v>
      </c>
      <c r="BA54" s="306"/>
      <c r="BB54" s="306"/>
      <c r="BC54" s="306"/>
      <c r="BD54" s="306" t="s">
        <v>221</v>
      </c>
      <c r="BE54" s="306"/>
      <c r="BF54" s="306"/>
      <c r="BG54" s="306"/>
      <c r="BH54" s="306"/>
      <c r="BI54" s="306"/>
      <c r="BJ54" s="306"/>
      <c r="BK54" s="306"/>
      <c r="BL54" s="306"/>
      <c r="BM54" s="306"/>
      <c r="BN54" s="306"/>
    </row>
    <row r="55" spans="1:66" ht="14.25" customHeight="1" thickBot="1" x14ac:dyDescent="0.25">
      <c r="A55" s="508" t="s">
        <v>266</v>
      </c>
      <c r="B55" s="509"/>
      <c r="C55" s="509"/>
      <c r="D55" s="509"/>
      <c r="E55" s="509"/>
      <c r="F55" s="509"/>
      <c r="G55" s="509"/>
      <c r="H55" s="509"/>
      <c r="I55" s="509"/>
      <c r="J55" s="509"/>
      <c r="K55" s="509"/>
      <c r="L55" s="509"/>
      <c r="M55" s="509"/>
      <c r="N55" s="509"/>
      <c r="O55" s="509"/>
      <c r="P55" s="107"/>
      <c r="Q55" s="107"/>
      <c r="R55" s="509" t="s">
        <v>265</v>
      </c>
      <c r="S55" s="509"/>
      <c r="T55" s="509"/>
      <c r="U55" s="509"/>
      <c r="V55" s="509"/>
      <c r="W55" s="509"/>
      <c r="X55" s="509"/>
      <c r="Y55" s="509"/>
      <c r="Z55" s="509"/>
      <c r="AA55" s="509"/>
      <c r="AB55" s="509"/>
      <c r="AC55" s="509"/>
      <c r="AD55" s="509"/>
      <c r="AE55" s="509"/>
      <c r="AF55" s="510"/>
      <c r="AH55" s="97" t="s">
        <v>125</v>
      </c>
      <c r="AI55" s="108">
        <v>0</v>
      </c>
      <c r="AJ55" s="1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  <c r="BD55" s="306"/>
      <c r="BE55" s="306"/>
      <c r="BF55" s="306"/>
      <c r="BG55" s="306"/>
      <c r="BH55" s="306"/>
      <c r="BI55" s="306"/>
      <c r="BJ55" s="306"/>
      <c r="BK55" s="306"/>
      <c r="BL55" s="306"/>
      <c r="BM55" s="306"/>
      <c r="BN55" s="306"/>
    </row>
    <row r="56" spans="1:66" ht="14.25" customHeight="1" x14ac:dyDescent="0.2">
      <c r="AH56" s="97" t="s">
        <v>124</v>
      </c>
      <c r="AI56" s="108">
        <v>0</v>
      </c>
      <c r="AJ56" s="106"/>
      <c r="AK56" s="306"/>
      <c r="AL56" s="306"/>
      <c r="AM56" s="306"/>
      <c r="AN56" s="306"/>
      <c r="AO56" s="306"/>
      <c r="AP56" s="306"/>
      <c r="AQ56" s="306"/>
      <c r="AR56" s="306"/>
      <c r="AS56" s="306"/>
      <c r="AT56" s="306"/>
      <c r="AU56" s="306"/>
      <c r="AV56" s="306"/>
      <c r="AW56" s="306"/>
      <c r="AX56" s="306"/>
      <c r="AY56" s="306"/>
      <c r="AZ56" s="306" t="s">
        <v>222</v>
      </c>
      <c r="BA56" s="308">
        <f>AI55</f>
        <v>0</v>
      </c>
      <c r="BB56" s="308">
        <v>0.01</v>
      </c>
      <c r="BC56" s="306"/>
      <c r="BD56" s="306" t="s">
        <v>222</v>
      </c>
      <c r="BE56" s="308">
        <f>BA56</f>
        <v>0</v>
      </c>
      <c r="BF56" s="308">
        <f>BE56</f>
        <v>0</v>
      </c>
      <c r="BG56" s="306"/>
      <c r="BH56" s="306"/>
      <c r="BI56" s="306"/>
      <c r="BJ56" s="306"/>
      <c r="BK56" s="306"/>
      <c r="BL56" s="306"/>
      <c r="BM56" s="306"/>
      <c r="BN56" s="306"/>
    </row>
    <row r="57" spans="1:66" ht="14.25" customHeight="1" x14ac:dyDescent="0.2">
      <c r="AH57" s="97" t="s">
        <v>123</v>
      </c>
      <c r="AI57" s="108">
        <v>0</v>
      </c>
      <c r="AJ57" s="106"/>
      <c r="AK57" s="306"/>
      <c r="AL57" s="306"/>
      <c r="AM57" s="306"/>
      <c r="AN57" s="306"/>
      <c r="AO57" s="306"/>
      <c r="AP57" s="306"/>
      <c r="AQ57" s="306"/>
      <c r="AR57" s="306"/>
      <c r="AS57" s="306"/>
      <c r="AT57" s="306"/>
      <c r="AU57" s="306"/>
      <c r="AV57" s="306"/>
      <c r="AW57" s="306"/>
      <c r="AX57" s="306"/>
      <c r="AY57" s="306"/>
      <c r="AZ57" s="306"/>
      <c r="BA57" s="308">
        <v>10</v>
      </c>
      <c r="BB57" s="308">
        <v>10</v>
      </c>
      <c r="BC57" s="306"/>
      <c r="BD57" s="306"/>
      <c r="BE57" s="308">
        <v>0</v>
      </c>
      <c r="BF57" s="308">
        <v>10</v>
      </c>
      <c r="BG57" s="306"/>
      <c r="BH57" s="306"/>
      <c r="BI57" s="306"/>
      <c r="BJ57" s="306"/>
      <c r="BK57" s="306"/>
      <c r="BL57" s="306"/>
      <c r="BM57" s="306"/>
      <c r="BN57" s="306"/>
    </row>
    <row r="58" spans="1:66" ht="14.25" customHeight="1" x14ac:dyDescent="0.2">
      <c r="AH58" s="109" t="s">
        <v>126</v>
      </c>
      <c r="AI58" s="110" t="e">
        <f>AI57/AI55</f>
        <v>#DIV/0!</v>
      </c>
      <c r="AK58" s="306"/>
      <c r="AL58" s="306"/>
      <c r="AM58" s="306"/>
      <c r="AN58" s="306"/>
      <c r="AO58" s="306"/>
      <c r="AP58" s="306"/>
      <c r="AQ58" s="306"/>
      <c r="AR58" s="306"/>
      <c r="AS58" s="306"/>
      <c r="AT58" s="306"/>
      <c r="AU58" s="306"/>
      <c r="AV58" s="306"/>
      <c r="AW58" s="306"/>
      <c r="AX58" s="306"/>
      <c r="AY58" s="306"/>
      <c r="AZ58" s="306" t="s">
        <v>223</v>
      </c>
      <c r="BA58" s="308">
        <f>AI56</f>
        <v>0</v>
      </c>
      <c r="BB58" s="308">
        <v>0.01</v>
      </c>
      <c r="BC58" s="306"/>
      <c r="BD58" s="306" t="s">
        <v>223</v>
      </c>
      <c r="BE58" s="308">
        <f>BA58</f>
        <v>0</v>
      </c>
      <c r="BF58" s="308">
        <f>BE58</f>
        <v>0</v>
      </c>
      <c r="BG58" s="306"/>
      <c r="BH58" s="306"/>
      <c r="BI58" s="306"/>
      <c r="BJ58" s="306"/>
      <c r="BK58" s="306"/>
      <c r="BL58" s="306"/>
      <c r="BM58" s="306"/>
      <c r="BN58" s="306"/>
    </row>
    <row r="59" spans="1:66" ht="14.25" customHeight="1" x14ac:dyDescent="0.2">
      <c r="AH59" s="111" t="s">
        <v>127</v>
      </c>
      <c r="AI59" s="112" t="e">
        <f>(AI56*AI56)/(AI55*AI57)</f>
        <v>#DIV/0!</v>
      </c>
      <c r="AK59" s="306"/>
      <c r="AL59" s="306"/>
      <c r="AM59" s="306"/>
      <c r="AN59" s="306"/>
      <c r="AO59" s="306"/>
      <c r="AP59" s="306"/>
      <c r="AQ59" s="306"/>
      <c r="AR59" s="306"/>
      <c r="AS59" s="306"/>
      <c r="AT59" s="306"/>
      <c r="AU59" s="306"/>
      <c r="AV59" s="306"/>
      <c r="AW59" s="306"/>
      <c r="AX59" s="306"/>
      <c r="AY59" s="306"/>
      <c r="AZ59" s="306"/>
      <c r="BA59" s="308">
        <v>30</v>
      </c>
      <c r="BB59" s="308">
        <v>30</v>
      </c>
      <c r="BC59" s="306"/>
      <c r="BD59" s="306"/>
      <c r="BE59" s="308">
        <v>0</v>
      </c>
      <c r="BF59" s="308">
        <v>30</v>
      </c>
      <c r="BG59" s="306"/>
      <c r="BH59" s="306"/>
      <c r="BI59" s="306"/>
      <c r="BJ59" s="306"/>
      <c r="BK59" s="306"/>
      <c r="BL59" s="306"/>
      <c r="BM59" s="306"/>
      <c r="BN59" s="306"/>
    </row>
    <row r="60" spans="1:66" ht="14.25" customHeight="1" x14ac:dyDescent="0.2">
      <c r="AH60" s="306"/>
      <c r="AI60" s="306"/>
      <c r="AJ60" s="306"/>
      <c r="AK60" s="306"/>
      <c r="AL60" s="306"/>
      <c r="AM60" s="306"/>
      <c r="AN60" s="306"/>
      <c r="AO60" s="306"/>
      <c r="AP60" s="306"/>
      <c r="AQ60" s="306"/>
      <c r="AR60" s="306"/>
      <c r="AS60" s="306"/>
      <c r="AT60" s="306"/>
      <c r="AU60" s="306"/>
      <c r="AV60" s="306"/>
      <c r="AW60" s="306"/>
      <c r="AX60" s="306"/>
      <c r="AY60" s="306"/>
      <c r="AZ60" s="306" t="s">
        <v>224</v>
      </c>
      <c r="BA60" s="308">
        <f>AI57</f>
        <v>0</v>
      </c>
      <c r="BB60" s="308">
        <v>0.01</v>
      </c>
      <c r="BC60" s="306"/>
      <c r="BD60" s="306" t="s">
        <v>224</v>
      </c>
      <c r="BE60" s="308">
        <f>BA60</f>
        <v>0</v>
      </c>
      <c r="BF60" s="308">
        <f>BE60</f>
        <v>0</v>
      </c>
      <c r="BG60" s="306"/>
      <c r="BH60" s="306"/>
      <c r="BI60" s="306"/>
      <c r="BJ60" s="306"/>
      <c r="BK60" s="306"/>
      <c r="BL60" s="306"/>
      <c r="BM60" s="306"/>
      <c r="BN60" s="306"/>
    </row>
    <row r="61" spans="1:66" ht="14.25" customHeight="1" x14ac:dyDescent="0.2">
      <c r="AH61" s="306"/>
      <c r="AI61" s="306"/>
      <c r="AJ61" s="306"/>
      <c r="AK61" s="306"/>
      <c r="AL61" s="306"/>
      <c r="AM61" s="306"/>
      <c r="AN61" s="306"/>
      <c r="AO61" s="306"/>
      <c r="AP61" s="306"/>
      <c r="AQ61" s="306"/>
      <c r="AR61" s="306"/>
      <c r="AS61" s="306"/>
      <c r="AT61" s="306"/>
      <c r="AU61" s="306"/>
      <c r="AV61" s="306"/>
      <c r="AW61" s="306"/>
      <c r="AX61" s="306"/>
      <c r="AY61" s="306"/>
      <c r="AZ61" s="306"/>
      <c r="BA61" s="308">
        <v>60</v>
      </c>
      <c r="BB61" s="308">
        <v>60</v>
      </c>
      <c r="BC61" s="306"/>
      <c r="BD61" s="306"/>
      <c r="BE61" s="308">
        <v>0</v>
      </c>
      <c r="BF61" s="308">
        <v>60</v>
      </c>
      <c r="BG61" s="306"/>
      <c r="BH61" s="306"/>
      <c r="BI61" s="306"/>
      <c r="BJ61" s="306"/>
      <c r="BK61" s="306"/>
      <c r="BL61" s="306"/>
      <c r="BM61" s="306"/>
      <c r="BN61" s="306"/>
    </row>
    <row r="62" spans="1:66" ht="14.25" customHeight="1" x14ac:dyDescent="0.2">
      <c r="AH62" s="306"/>
      <c r="AI62" s="306"/>
      <c r="AJ62" s="306"/>
      <c r="AK62" s="306"/>
      <c r="AL62" s="306"/>
      <c r="AM62" s="306"/>
      <c r="AN62" s="306"/>
      <c r="AO62" s="306"/>
      <c r="AP62" s="306"/>
      <c r="AQ62" s="306"/>
      <c r="AR62" s="306"/>
      <c r="AS62" s="306"/>
      <c r="AT62" s="306"/>
      <c r="AU62" s="306"/>
      <c r="AV62" s="306"/>
      <c r="AW62" s="306"/>
      <c r="AX62" s="306"/>
      <c r="AY62" s="306"/>
      <c r="AZ62" s="306"/>
      <c r="BA62" s="306"/>
      <c r="BB62" s="306"/>
      <c r="BC62" s="306"/>
      <c r="BD62" s="306"/>
      <c r="BE62" s="306"/>
      <c r="BF62" s="306"/>
      <c r="BG62" s="306"/>
      <c r="BH62" s="306"/>
      <c r="BI62" s="306"/>
      <c r="BJ62" s="306"/>
      <c r="BK62" s="306"/>
      <c r="BL62" s="306"/>
      <c r="BM62" s="306"/>
      <c r="BN62" s="306"/>
    </row>
    <row r="63" spans="1:66" ht="14.25" customHeight="1" x14ac:dyDescent="0.2">
      <c r="AH63" s="306"/>
      <c r="AI63" s="306"/>
      <c r="AJ63" s="306"/>
      <c r="AK63" s="306"/>
      <c r="AL63" s="306"/>
      <c r="AM63" s="306"/>
      <c r="AN63" s="306"/>
      <c r="AO63" s="306"/>
      <c r="AP63" s="306"/>
      <c r="AQ63" s="306"/>
      <c r="AR63" s="306"/>
      <c r="AS63" s="306"/>
      <c r="AT63" s="306"/>
      <c r="AU63" s="306"/>
      <c r="AV63" s="306"/>
      <c r="AW63" s="306"/>
      <c r="AX63" s="306"/>
      <c r="AY63" s="306"/>
      <c r="AZ63" s="306"/>
      <c r="BA63" s="306"/>
      <c r="BB63" s="306"/>
      <c r="BC63" s="306"/>
      <c r="BD63" s="306"/>
      <c r="BE63" s="306"/>
      <c r="BF63" s="306"/>
      <c r="BG63" s="306"/>
      <c r="BH63" s="306"/>
      <c r="BI63" s="306"/>
      <c r="BJ63" s="306"/>
      <c r="BK63" s="306"/>
      <c r="BL63" s="306"/>
      <c r="BM63" s="306"/>
      <c r="BN63" s="306"/>
    </row>
    <row r="64" spans="1:66" ht="14.25" customHeight="1" x14ac:dyDescent="0.2">
      <c r="AH64" s="306"/>
      <c r="AI64" s="306"/>
      <c r="AJ64" s="306"/>
      <c r="AK64" s="306"/>
      <c r="AL64" s="306"/>
      <c r="AM64" s="306"/>
      <c r="AN64" s="306"/>
      <c r="AO64" s="306"/>
      <c r="AP64" s="306"/>
      <c r="AQ64" s="306"/>
      <c r="AR64" s="306"/>
      <c r="AS64" s="306"/>
      <c r="AT64" s="306"/>
      <c r="AU64" s="306"/>
      <c r="AV64" s="306"/>
      <c r="AW64" s="306"/>
      <c r="AX64" s="306"/>
      <c r="AY64" s="306"/>
      <c r="AZ64" s="306"/>
      <c r="BA64" s="306"/>
      <c r="BB64" s="306"/>
      <c r="BC64" s="306"/>
      <c r="BD64" s="306"/>
      <c r="BE64" s="306"/>
      <c r="BF64" s="306"/>
      <c r="BG64" s="306"/>
      <c r="BH64" s="306"/>
      <c r="BI64" s="306"/>
      <c r="BJ64" s="306"/>
      <c r="BK64" s="306"/>
      <c r="BL64" s="306"/>
      <c r="BM64" s="306"/>
      <c r="BN64" s="306"/>
    </row>
    <row r="65" spans="34:66" ht="14.25" customHeight="1" x14ac:dyDescent="0.2">
      <c r="AH65" s="306"/>
      <c r="AI65" s="306"/>
      <c r="AJ65" s="306"/>
      <c r="AK65" s="306"/>
      <c r="AL65" s="306"/>
      <c r="AM65" s="306"/>
      <c r="AN65" s="306"/>
      <c r="AO65" s="306"/>
      <c r="AP65" s="306"/>
      <c r="AQ65" s="306"/>
      <c r="AR65" s="306"/>
      <c r="AS65" s="306"/>
      <c r="AT65" s="306"/>
      <c r="AU65" s="306"/>
      <c r="AV65" s="306"/>
      <c r="AW65" s="306"/>
      <c r="AX65" s="306"/>
      <c r="AY65" s="306"/>
      <c r="AZ65" s="97" t="s">
        <v>125</v>
      </c>
      <c r="BA65" s="108" t="e">
        <f>((AI47-AI46)/(LOG(AJ47)-LOG(AJ46)))*(LOG(10)-LOG(AJ46))+AI46</f>
        <v>#DIV/0!</v>
      </c>
      <c r="BB65" s="306"/>
      <c r="BC65" s="306"/>
      <c r="BD65" s="306"/>
      <c r="BE65" s="306"/>
      <c r="BF65" s="306"/>
      <c r="BG65" s="306"/>
      <c r="BH65" s="306"/>
      <c r="BI65" s="306"/>
      <c r="BJ65" s="306"/>
      <c r="BK65" s="306"/>
      <c r="BL65" s="306"/>
      <c r="BM65" s="306"/>
      <c r="BN65" s="306"/>
    </row>
    <row r="66" spans="34:66" ht="14.25" customHeight="1" x14ac:dyDescent="0.2">
      <c r="AH66" s="306"/>
      <c r="AI66" s="306"/>
      <c r="AJ66" s="306"/>
      <c r="AK66" s="306"/>
      <c r="AL66" s="306"/>
      <c r="AM66" s="306"/>
      <c r="AN66" s="306"/>
      <c r="AO66" s="306"/>
      <c r="AP66" s="306"/>
      <c r="AQ66" s="306"/>
      <c r="AR66" s="306"/>
      <c r="AS66" s="306"/>
      <c r="AT66" s="306"/>
      <c r="AU66" s="306"/>
      <c r="AV66" s="306"/>
      <c r="AW66" s="306"/>
      <c r="AX66" s="306"/>
      <c r="AY66" s="306"/>
      <c r="AZ66" s="97" t="s">
        <v>124</v>
      </c>
      <c r="BA66" s="108" t="e">
        <f>((AI47-AI46)/(LOG(AJ47)-LOG(AJ46)))*(LOG(30)-LOG(AJ46))+AI46</f>
        <v>#DIV/0!</v>
      </c>
      <c r="BB66" s="306"/>
      <c r="BC66" s="306"/>
      <c r="BD66" s="306"/>
      <c r="BE66" s="306"/>
      <c r="BF66" s="306"/>
      <c r="BG66" s="306"/>
      <c r="BH66" s="306"/>
      <c r="BI66" s="306"/>
      <c r="BJ66" s="306"/>
      <c r="BK66" s="306"/>
      <c r="BL66" s="306"/>
      <c r="BM66" s="306"/>
      <c r="BN66" s="306"/>
    </row>
    <row r="67" spans="34:66" ht="14.25" customHeight="1" x14ac:dyDescent="0.2">
      <c r="AH67" s="306"/>
      <c r="AI67" s="306"/>
      <c r="AJ67" s="306"/>
      <c r="AK67" s="306"/>
      <c r="AL67" s="306"/>
      <c r="AM67" s="306"/>
      <c r="AN67" s="306"/>
      <c r="AO67" s="306"/>
      <c r="AP67" s="306"/>
      <c r="AQ67" s="306"/>
      <c r="AR67" s="306"/>
      <c r="AS67" s="306"/>
      <c r="AT67" s="306"/>
      <c r="AU67" s="306"/>
      <c r="AV67" s="306"/>
      <c r="AW67" s="306"/>
      <c r="AX67" s="306"/>
      <c r="AY67" s="306"/>
      <c r="AZ67" s="97" t="s">
        <v>123</v>
      </c>
      <c r="BA67" s="108" t="e">
        <f>((AI47-AI46)/(LOG(AJ47)-LOG(AJ46)))*(LOG(60)-LOG(AJ46))+AI46</f>
        <v>#DIV/0!</v>
      </c>
      <c r="BB67" s="306"/>
      <c r="BC67" s="306"/>
      <c r="BD67" s="306"/>
      <c r="BE67" s="306"/>
      <c r="BF67" s="306"/>
      <c r="BG67" s="306"/>
      <c r="BH67" s="306"/>
      <c r="BI67" s="306"/>
      <c r="BJ67" s="306"/>
      <c r="BK67" s="306"/>
      <c r="BL67" s="306"/>
      <c r="BM67" s="306"/>
      <c r="BN67" s="306"/>
    </row>
    <row r="68" spans="34:66" ht="14.25" customHeight="1" x14ac:dyDescent="0.2">
      <c r="AH68" s="113"/>
      <c r="AK68" s="306"/>
      <c r="AL68" s="306"/>
      <c r="AM68" s="306"/>
      <c r="AN68" s="306"/>
      <c r="AO68" s="306"/>
      <c r="AP68" s="306"/>
      <c r="AQ68" s="306"/>
      <c r="AR68" s="306"/>
      <c r="AS68" s="306"/>
      <c r="AT68" s="306"/>
      <c r="AU68" s="306"/>
      <c r="AV68" s="306"/>
      <c r="AW68" s="306"/>
      <c r="AX68" s="306"/>
      <c r="AY68" s="306"/>
      <c r="AZ68" s="109" t="s">
        <v>126</v>
      </c>
      <c r="BA68" s="110" t="e">
        <f>BA67/BA65</f>
        <v>#DIV/0!</v>
      </c>
      <c r="BB68" s="306"/>
      <c r="BC68" s="306"/>
      <c r="BD68" s="306"/>
      <c r="BE68" s="306"/>
      <c r="BF68" s="306"/>
      <c r="BG68" s="306"/>
      <c r="BH68" s="306"/>
      <c r="BI68" s="306"/>
      <c r="BJ68" s="306"/>
      <c r="BK68" s="306"/>
      <c r="BL68" s="306"/>
      <c r="BM68" s="306"/>
      <c r="BN68" s="306"/>
    </row>
    <row r="69" spans="34:66" ht="14.25" customHeight="1" x14ac:dyDescent="0.2">
      <c r="AH69" s="113"/>
      <c r="AK69" s="306"/>
      <c r="AL69" s="306"/>
      <c r="AM69" s="306"/>
      <c r="AN69" s="306"/>
      <c r="AO69" s="306"/>
      <c r="AP69" s="306"/>
      <c r="AQ69" s="306"/>
      <c r="AR69" s="306"/>
      <c r="AS69" s="306"/>
      <c r="AT69" s="306"/>
      <c r="AU69" s="306"/>
      <c r="AV69" s="306"/>
      <c r="AW69" s="306"/>
      <c r="AX69" s="306"/>
      <c r="AY69" s="306"/>
      <c r="AZ69" s="111" t="s">
        <v>127</v>
      </c>
      <c r="BA69" s="112" t="e">
        <f>(BA66*BA66)/(BA65*BA67)</f>
        <v>#DIV/0!</v>
      </c>
      <c r="BB69" s="306"/>
      <c r="BC69" s="306"/>
      <c r="BD69" s="306"/>
      <c r="BE69" s="306"/>
      <c r="BF69" s="306"/>
      <c r="BG69" s="306"/>
      <c r="BH69" s="306"/>
      <c r="BI69" s="306"/>
      <c r="BJ69" s="306"/>
      <c r="BK69" s="306"/>
      <c r="BL69" s="306"/>
      <c r="BM69" s="306"/>
      <c r="BN69" s="306"/>
    </row>
    <row r="70" spans="34:66" ht="14.25" customHeight="1" x14ac:dyDescent="0.2">
      <c r="AK70" s="306"/>
      <c r="AL70" s="306"/>
      <c r="AM70" s="306"/>
      <c r="AN70" s="306"/>
      <c r="AO70" s="306"/>
      <c r="AP70" s="306"/>
      <c r="AQ70" s="306"/>
      <c r="AR70" s="306"/>
      <c r="AS70" s="306"/>
      <c r="AT70" s="306"/>
      <c r="AU70" s="306"/>
      <c r="AV70" s="306"/>
      <c r="AW70" s="306"/>
      <c r="AX70" s="306"/>
      <c r="AY70" s="306"/>
      <c r="AZ70" s="306"/>
      <c r="BA70" s="306"/>
      <c r="BB70" s="306"/>
      <c r="BC70" s="306"/>
      <c r="BD70" s="306"/>
      <c r="BE70" s="306"/>
      <c r="BF70" s="306"/>
      <c r="BG70" s="306"/>
      <c r="BH70" s="306"/>
      <c r="BI70" s="306"/>
      <c r="BJ70" s="306"/>
      <c r="BK70" s="306"/>
      <c r="BL70" s="306"/>
      <c r="BM70" s="306"/>
      <c r="BN70" s="306"/>
    </row>
  </sheetData>
  <mergeCells count="155">
    <mergeCell ref="J2:AF2"/>
    <mergeCell ref="J3:AF3"/>
    <mergeCell ref="A2:I3"/>
    <mergeCell ref="A5:D5"/>
    <mergeCell ref="E5:AF5"/>
    <mergeCell ref="A6:D6"/>
    <mergeCell ref="E6:L7"/>
    <mergeCell ref="M6:X7"/>
    <mergeCell ref="Y6:AB6"/>
    <mergeCell ref="AC6:AF6"/>
    <mergeCell ref="A4:C4"/>
    <mergeCell ref="E4:AF4"/>
    <mergeCell ref="V8:AF8"/>
    <mergeCell ref="A10:D10"/>
    <mergeCell ref="E10:K10"/>
    <mergeCell ref="L10:N10"/>
    <mergeCell ref="O10:U10"/>
    <mergeCell ref="Z10:AF10"/>
    <mergeCell ref="AI6:AU6"/>
    <mergeCell ref="A7:D7"/>
    <mergeCell ref="Y7:AB7"/>
    <mergeCell ref="AC7:AF7"/>
    <mergeCell ref="AI7:AU7"/>
    <mergeCell ref="A8:D8"/>
    <mergeCell ref="E8:H8"/>
    <mergeCell ref="I8:L8"/>
    <mergeCell ref="M8:R8"/>
    <mergeCell ref="S8:U8"/>
    <mergeCell ref="A11:V11"/>
    <mergeCell ref="W11:Y11"/>
    <mergeCell ref="Z11:AD11"/>
    <mergeCell ref="A12:D13"/>
    <mergeCell ref="E12:I13"/>
    <mergeCell ref="J12:N13"/>
    <mergeCell ref="O12:S13"/>
    <mergeCell ref="T12:X13"/>
    <mergeCell ref="Y12:AF13"/>
    <mergeCell ref="A15:D15"/>
    <mergeCell ref="E15:I15"/>
    <mergeCell ref="J15:N15"/>
    <mergeCell ref="O15:S15"/>
    <mergeCell ref="T15:X15"/>
    <mergeCell ref="Y15:AF15"/>
    <mergeCell ref="A14:D14"/>
    <mergeCell ref="E14:I14"/>
    <mergeCell ref="J14:N14"/>
    <mergeCell ref="O14:S14"/>
    <mergeCell ref="T14:X14"/>
    <mergeCell ref="Y14:AF14"/>
    <mergeCell ref="AC16:AF16"/>
    <mergeCell ref="A17:D17"/>
    <mergeCell ref="E17:I17"/>
    <mergeCell ref="J17:N17"/>
    <mergeCell ref="O17:S17"/>
    <mergeCell ref="T17:X17"/>
    <mergeCell ref="Y17:AB17"/>
    <mergeCell ref="AC17:AF17"/>
    <mergeCell ref="A16:D16"/>
    <mergeCell ref="E16:I16"/>
    <mergeCell ref="J16:N16"/>
    <mergeCell ref="O16:S16"/>
    <mergeCell ref="T16:X16"/>
    <mergeCell ref="Y16:AB16"/>
    <mergeCell ref="AC18:AF18"/>
    <mergeCell ref="A19:D19"/>
    <mergeCell ref="E19:I19"/>
    <mergeCell ref="J19:N19"/>
    <mergeCell ref="O19:S19"/>
    <mergeCell ref="T19:X19"/>
    <mergeCell ref="Y19:AB19"/>
    <mergeCell ref="AC19:AF19"/>
    <mergeCell ref="A18:D18"/>
    <mergeCell ref="E18:I18"/>
    <mergeCell ref="J18:N18"/>
    <mergeCell ref="O18:S18"/>
    <mergeCell ref="T18:X18"/>
    <mergeCell ref="Y18:AB18"/>
    <mergeCell ref="AC20:AF20"/>
    <mergeCell ref="A21:D21"/>
    <mergeCell ref="E21:I21"/>
    <mergeCell ref="J21:N21"/>
    <mergeCell ref="O21:S21"/>
    <mergeCell ref="T21:X21"/>
    <mergeCell ref="Y21:AB22"/>
    <mergeCell ref="AC21:AF22"/>
    <mergeCell ref="A22:D22"/>
    <mergeCell ref="E22:I22"/>
    <mergeCell ref="A20:D20"/>
    <mergeCell ref="E20:I20"/>
    <mergeCell ref="J20:N20"/>
    <mergeCell ref="O20:S20"/>
    <mergeCell ref="T20:X20"/>
    <mergeCell ref="Y20:AB20"/>
    <mergeCell ref="A24:D24"/>
    <mergeCell ref="E24:I24"/>
    <mergeCell ref="J24:N24"/>
    <mergeCell ref="O24:S24"/>
    <mergeCell ref="T24:X24"/>
    <mergeCell ref="Y24:AF24"/>
    <mergeCell ref="J22:N22"/>
    <mergeCell ref="O22:S22"/>
    <mergeCell ref="T22:X22"/>
    <mergeCell ref="A23:D23"/>
    <mergeCell ref="E23:I23"/>
    <mergeCell ref="J23:N23"/>
    <mergeCell ref="O23:S23"/>
    <mergeCell ref="T23:X23"/>
    <mergeCell ref="Y26:AF27"/>
    <mergeCell ref="A28:D28"/>
    <mergeCell ref="E28:I28"/>
    <mergeCell ref="J28:N28"/>
    <mergeCell ref="O28:S28"/>
    <mergeCell ref="T28:X28"/>
    <mergeCell ref="Y28:AF28"/>
    <mergeCell ref="A25:Q25"/>
    <mergeCell ref="R25:U25"/>
    <mergeCell ref="V25:Z25"/>
    <mergeCell ref="AA25:AC25"/>
    <mergeCell ref="AD25:AF25"/>
    <mergeCell ref="A26:D27"/>
    <mergeCell ref="E26:I27"/>
    <mergeCell ref="J26:N27"/>
    <mergeCell ref="O26:S27"/>
    <mergeCell ref="T26:X27"/>
    <mergeCell ref="AB29:AF29"/>
    <mergeCell ref="A30:D30"/>
    <mergeCell ref="E30:I30"/>
    <mergeCell ref="J30:N30"/>
    <mergeCell ref="O30:S30"/>
    <mergeCell ref="T30:X30"/>
    <mergeCell ref="Y30:AA30"/>
    <mergeCell ref="AB30:AF30"/>
    <mergeCell ref="A29:D29"/>
    <mergeCell ref="E29:I29"/>
    <mergeCell ref="J29:N29"/>
    <mergeCell ref="O29:S29"/>
    <mergeCell ref="T29:X29"/>
    <mergeCell ref="Y29:AA29"/>
    <mergeCell ref="A54:O54"/>
    <mergeCell ref="R54:AF54"/>
    <mergeCell ref="A55:O55"/>
    <mergeCell ref="R55:AF55"/>
    <mergeCell ref="AB31:AF31"/>
    <mergeCell ref="A32:D32"/>
    <mergeCell ref="E32:I32"/>
    <mergeCell ref="J32:N32"/>
    <mergeCell ref="O32:S32"/>
    <mergeCell ref="T32:X32"/>
    <mergeCell ref="Y32:AF32"/>
    <mergeCell ref="A31:D31"/>
    <mergeCell ref="E31:I31"/>
    <mergeCell ref="J31:N31"/>
    <mergeCell ref="O31:S31"/>
    <mergeCell ref="T31:X31"/>
    <mergeCell ref="Y31:AA31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80" orientation="portrait" horizontalDpi="4294967294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EF89-8B22-4AD6-828E-A60C1E75458D}">
  <sheetPr>
    <tabColor rgb="FF00B0F0"/>
  </sheetPr>
  <dimension ref="B3:M73"/>
  <sheetViews>
    <sheetView view="pageBreakPreview" zoomScaleNormal="100" zoomScaleSheetLayoutView="100" workbookViewId="0"/>
  </sheetViews>
  <sheetFormatPr baseColWidth="10" defaultColWidth="11.42578125" defaultRowHeight="13.5" x14ac:dyDescent="0.25"/>
  <cols>
    <col min="1" max="1" width="11.42578125" style="1454"/>
    <col min="2" max="2" width="6.7109375" style="1454" customWidth="1"/>
    <col min="3" max="3" width="3.85546875" style="1454" customWidth="1"/>
    <col min="4" max="4" width="12.140625" style="1454" customWidth="1"/>
    <col min="5" max="5" width="22.7109375" style="1454" customWidth="1"/>
    <col min="6" max="6" width="13.85546875" style="1454" customWidth="1"/>
    <col min="7" max="8" width="15.7109375" style="1454" customWidth="1"/>
    <col min="9" max="9" width="6.7109375" style="1454" customWidth="1"/>
    <col min="10" max="10" width="11.42578125" style="1454"/>
    <col min="11" max="11" width="23.42578125" style="1454" bestFit="1" customWidth="1"/>
    <col min="12" max="12" width="11.42578125" style="1454"/>
    <col min="13" max="13" width="13.28515625" style="1454" customWidth="1"/>
    <col min="14" max="16384" width="11.42578125" style="1454"/>
  </cols>
  <sheetData>
    <row r="3" spans="2:11" ht="14.25" thickBot="1" x14ac:dyDescent="0.3"/>
    <row r="4" spans="2:11" ht="9.9499999999999993" customHeight="1" x14ac:dyDescent="0.25">
      <c r="B4" s="1455"/>
      <c r="C4" s="1456"/>
      <c r="D4" s="1456"/>
      <c r="E4" s="1457" t="s">
        <v>288</v>
      </c>
      <c r="F4" s="1457"/>
      <c r="G4" s="1457"/>
      <c r="H4" s="1457"/>
      <c r="I4" s="1458"/>
    </row>
    <row r="5" spans="2:11" ht="9.9499999999999993" customHeight="1" x14ac:dyDescent="0.25">
      <c r="B5" s="1459"/>
      <c r="C5" s="1460"/>
      <c r="D5" s="1460"/>
      <c r="E5" s="1461"/>
      <c r="F5" s="1461"/>
      <c r="G5" s="1461"/>
      <c r="H5" s="1461"/>
      <c r="I5" s="1462"/>
    </row>
    <row r="6" spans="2:11" ht="9.75" customHeight="1" x14ac:dyDescent="0.25">
      <c r="B6" s="1459"/>
      <c r="C6" s="1460"/>
      <c r="D6" s="1460"/>
      <c r="E6" s="1461"/>
      <c r="F6" s="1461"/>
      <c r="G6" s="1461"/>
      <c r="H6" s="1461"/>
      <c r="I6" s="1462"/>
    </row>
    <row r="7" spans="2:11" ht="14.25" customHeight="1" thickBot="1" x14ac:dyDescent="0.3">
      <c r="B7" s="1463"/>
      <c r="C7" s="1464"/>
      <c r="D7" s="1465"/>
      <c r="E7" s="1466"/>
      <c r="F7" s="1466"/>
      <c r="G7" s="1466"/>
      <c r="H7" s="1466"/>
      <c r="I7" s="1467"/>
    </row>
    <row r="8" spans="2:11" ht="8.25" customHeight="1" thickBot="1" x14ac:dyDescent="0.3">
      <c r="B8" s="1468"/>
      <c r="C8" s="1469"/>
      <c r="D8" s="1470"/>
      <c r="E8" s="1470"/>
      <c r="F8" s="1470"/>
      <c r="G8" s="1470"/>
      <c r="H8" s="1470"/>
      <c r="I8" s="1471"/>
    </row>
    <row r="9" spans="2:11" ht="14.25" thickBot="1" x14ac:dyDescent="0.3">
      <c r="B9" s="1472"/>
      <c r="C9" s="1473" t="s">
        <v>289</v>
      </c>
      <c r="D9" s="1474"/>
      <c r="E9" s="1475">
        <v>1</v>
      </c>
      <c r="F9" s="1476" t="s">
        <v>290</v>
      </c>
      <c r="G9" s="1477"/>
      <c r="H9" s="1478">
        <f ca="1">TODAY()</f>
        <v>45334</v>
      </c>
      <c r="I9" s="1479"/>
    </row>
    <row r="10" spans="2:11" ht="5.0999999999999996" customHeight="1" thickBot="1" x14ac:dyDescent="0.3">
      <c r="B10" s="1472"/>
      <c r="E10" s="1480"/>
      <c r="H10" s="1481"/>
      <c r="I10" s="1479"/>
    </row>
    <row r="11" spans="2:11" ht="14.1" customHeight="1" x14ac:dyDescent="0.25">
      <c r="B11" s="1472"/>
      <c r="C11" s="1482" t="s">
        <v>291</v>
      </c>
      <c r="D11" s="1483"/>
      <c r="E11" s="1484" t="s">
        <v>292</v>
      </c>
      <c r="F11" s="1485" t="s">
        <v>293</v>
      </c>
      <c r="G11" s="1485" t="s">
        <v>294</v>
      </c>
      <c r="H11" s="1486" t="s">
        <v>295</v>
      </c>
      <c r="I11" s="1479"/>
      <c r="K11" s="1487"/>
    </row>
    <row r="12" spans="2:11" ht="14.25" thickBot="1" x14ac:dyDescent="0.3">
      <c r="B12" s="1472"/>
      <c r="C12" s="1488" t="s">
        <v>296</v>
      </c>
      <c r="D12" s="1489"/>
      <c r="E12" s="1490" t="s">
        <v>297</v>
      </c>
      <c r="F12" s="1491">
        <f>'[10]DISEÑO CONCRETO 210'!I17</f>
        <v>2.9129999999999998</v>
      </c>
      <c r="G12" s="1492" t="e">
        <f>F19/F26*100</f>
        <v>#DIV/0!</v>
      </c>
      <c r="H12" s="1493">
        <v>20</v>
      </c>
      <c r="I12" s="1479"/>
      <c r="K12" s="1494"/>
    </row>
    <row r="13" spans="2:11" ht="5.0999999999999996" customHeight="1" thickBot="1" x14ac:dyDescent="0.3">
      <c r="B13" s="1472"/>
      <c r="C13" s="1495"/>
      <c r="D13" s="1495"/>
      <c r="F13" s="1496"/>
      <c r="I13" s="1479"/>
      <c r="K13" s="1494"/>
    </row>
    <row r="14" spans="2:11" ht="14.1" customHeight="1" x14ac:dyDescent="0.25">
      <c r="B14" s="1472"/>
      <c r="C14" s="1482" t="s">
        <v>298</v>
      </c>
      <c r="D14" s="1483"/>
      <c r="E14" s="1484" t="s">
        <v>292</v>
      </c>
      <c r="F14" s="1485" t="s">
        <v>293</v>
      </c>
      <c r="G14" s="1497" t="s">
        <v>299</v>
      </c>
      <c r="H14" s="1498" t="s">
        <v>300</v>
      </c>
      <c r="I14" s="1479"/>
      <c r="K14" s="1494"/>
    </row>
    <row r="15" spans="2:11" ht="38.25" customHeight="1" thickBot="1" x14ac:dyDescent="0.3">
      <c r="B15" s="1472"/>
      <c r="C15" s="1488"/>
      <c r="D15" s="1489"/>
      <c r="E15" s="1499" t="str">
        <f>[12]Clasificación!Z40</f>
        <v>Arena limosa con grava, finos de baja plasticidad, color café claro.</v>
      </c>
      <c r="F15" s="1500" t="e">
        <f>'GRAV ESP MAT SITU (2)'!G33</f>
        <v>#DIV/0!</v>
      </c>
      <c r="G15" s="1501">
        <v>10.5</v>
      </c>
      <c r="H15" s="1502" t="e">
        <f>'GRAV ESP MAT SITU (2)'!G34</f>
        <v>#DIV/0!</v>
      </c>
      <c r="I15" s="1479"/>
    </row>
    <row r="16" spans="2:11" ht="5.25" customHeight="1" x14ac:dyDescent="0.25">
      <c r="B16" s="1472"/>
      <c r="I16" s="1479"/>
    </row>
    <row r="17" spans="2:11" ht="12" customHeight="1" thickBot="1" x14ac:dyDescent="0.3">
      <c r="B17" s="1472"/>
      <c r="G17" s="1503" t="s">
        <v>301</v>
      </c>
      <c r="H17" s="1503"/>
      <c r="I17" s="1479"/>
    </row>
    <row r="18" spans="2:11" x14ac:dyDescent="0.25">
      <c r="B18" s="1472"/>
      <c r="C18" s="1504" t="s">
        <v>15</v>
      </c>
      <c r="D18" s="1505" t="s">
        <v>302</v>
      </c>
      <c r="E18" s="1506"/>
      <c r="F18" s="1507">
        <v>250</v>
      </c>
      <c r="G18" s="1508"/>
      <c r="H18" s="1509"/>
      <c r="I18" s="1479"/>
    </row>
    <row r="19" spans="2:11" x14ac:dyDescent="0.25">
      <c r="B19" s="1472"/>
      <c r="C19" s="1510" t="s">
        <v>17</v>
      </c>
      <c r="D19" s="1511" t="s">
        <v>303</v>
      </c>
      <c r="E19" s="1512"/>
      <c r="F19" s="1513">
        <v>185</v>
      </c>
      <c r="G19" s="1514"/>
      <c r="H19" s="1515"/>
      <c r="I19" s="1479"/>
      <c r="J19" s="1516">
        <f>F19/42.5</f>
        <v>4.3529411764705879</v>
      </c>
      <c r="K19" s="1517" t="s">
        <v>304</v>
      </c>
    </row>
    <row r="20" spans="2:11" x14ac:dyDescent="0.25">
      <c r="B20" s="1472"/>
      <c r="C20" s="1510" t="s">
        <v>305</v>
      </c>
      <c r="D20" s="1518" t="s">
        <v>306</v>
      </c>
      <c r="E20" s="1519"/>
      <c r="F20" s="1513">
        <v>9</v>
      </c>
      <c r="G20" s="1520"/>
      <c r="H20" s="1521"/>
      <c r="I20" s="1479"/>
    </row>
    <row r="21" spans="2:11" x14ac:dyDescent="0.25">
      <c r="B21" s="1472"/>
      <c r="C21" s="1510" t="s">
        <v>307</v>
      </c>
      <c r="D21" s="1511" t="s">
        <v>308</v>
      </c>
      <c r="E21" s="1512"/>
      <c r="F21" s="1522">
        <f>F18</f>
        <v>250</v>
      </c>
      <c r="G21" s="1523" t="s">
        <v>309</v>
      </c>
      <c r="H21" s="1524"/>
      <c r="I21" s="1479"/>
    </row>
    <row r="22" spans="2:11" x14ac:dyDescent="0.25">
      <c r="B22" s="1472"/>
      <c r="C22" s="1510" t="s">
        <v>310</v>
      </c>
      <c r="D22" s="1511" t="s">
        <v>311</v>
      </c>
      <c r="E22" s="1512"/>
      <c r="F22" s="1522">
        <f>F19/F12</f>
        <v>63.508410573292146</v>
      </c>
      <c r="G22" s="1523" t="s">
        <v>312</v>
      </c>
      <c r="H22" s="1524"/>
      <c r="I22" s="1479"/>
    </row>
    <row r="23" spans="2:11" x14ac:dyDescent="0.25">
      <c r="B23" s="1472"/>
      <c r="C23" s="1510" t="s">
        <v>313</v>
      </c>
      <c r="D23" s="1511" t="s">
        <v>314</v>
      </c>
      <c r="E23" s="1512"/>
      <c r="F23" s="1522">
        <f>F20*10</f>
        <v>90</v>
      </c>
      <c r="G23" s="1523" t="s">
        <v>315</v>
      </c>
      <c r="H23" s="1524"/>
      <c r="I23" s="1479"/>
    </row>
    <row r="24" spans="2:11" x14ac:dyDescent="0.25">
      <c r="B24" s="1472"/>
      <c r="C24" s="1510" t="s">
        <v>316</v>
      </c>
      <c r="D24" s="1511" t="s">
        <v>317</v>
      </c>
      <c r="E24" s="1512"/>
      <c r="F24" s="1522">
        <f>SUM(F21:F23)</f>
        <v>403.50841057329217</v>
      </c>
      <c r="G24" s="1523" t="s">
        <v>318</v>
      </c>
      <c r="H24" s="1524"/>
      <c r="I24" s="1479"/>
    </row>
    <row r="25" spans="2:11" x14ac:dyDescent="0.25">
      <c r="B25" s="1472"/>
      <c r="C25" s="1510" t="s">
        <v>319</v>
      </c>
      <c r="D25" s="1511" t="s">
        <v>320</v>
      </c>
      <c r="E25" s="1512"/>
      <c r="F25" s="1522">
        <f>1000-F24</f>
        <v>596.49158942670783</v>
      </c>
      <c r="G25" s="1523" t="s">
        <v>321</v>
      </c>
      <c r="H25" s="1524"/>
      <c r="I25" s="1479"/>
    </row>
    <row r="26" spans="2:11" ht="14.25" thickBot="1" x14ac:dyDescent="0.3">
      <c r="B26" s="1472"/>
      <c r="C26" s="1525" t="s">
        <v>322</v>
      </c>
      <c r="D26" s="1526" t="s">
        <v>323</v>
      </c>
      <c r="E26" s="1527"/>
      <c r="F26" s="1528" t="e">
        <f>F25*F15</f>
        <v>#DIV/0!</v>
      </c>
      <c r="G26" s="1529" t="s">
        <v>324</v>
      </c>
      <c r="H26" s="1530"/>
      <c r="I26" s="1479"/>
    </row>
    <row r="27" spans="2:11" ht="5.0999999999999996" customHeight="1" x14ac:dyDescent="0.25">
      <c r="B27" s="1472"/>
      <c r="I27" s="1479"/>
    </row>
    <row r="28" spans="2:11" ht="14.25" thickBot="1" x14ac:dyDescent="0.3">
      <c r="B28" s="1472"/>
      <c r="C28" s="1480" t="s">
        <v>325</v>
      </c>
      <c r="I28" s="1479"/>
    </row>
    <row r="29" spans="2:11" x14ac:dyDescent="0.25">
      <c r="B29" s="1472"/>
      <c r="C29" s="1504" t="s">
        <v>15</v>
      </c>
      <c r="D29" s="1505" t="s">
        <v>302</v>
      </c>
      <c r="E29" s="1506"/>
      <c r="F29" s="1531">
        <f>F18</f>
        <v>250</v>
      </c>
      <c r="I29" s="1479"/>
    </row>
    <row r="30" spans="2:11" x14ac:dyDescent="0.25">
      <c r="B30" s="1472"/>
      <c r="C30" s="1510" t="s">
        <v>17</v>
      </c>
      <c r="D30" s="1511" t="s">
        <v>303</v>
      </c>
      <c r="E30" s="1512"/>
      <c r="F30" s="1532">
        <f>F19</f>
        <v>185</v>
      </c>
      <c r="I30" s="1479"/>
    </row>
    <row r="31" spans="2:11" ht="14.25" thickBot="1" x14ac:dyDescent="0.3">
      <c r="B31" s="1472"/>
      <c r="C31" s="1525" t="s">
        <v>322</v>
      </c>
      <c r="D31" s="1526" t="s">
        <v>323</v>
      </c>
      <c r="E31" s="1527"/>
      <c r="F31" s="1533" t="e">
        <f>F26</f>
        <v>#DIV/0!</v>
      </c>
      <c r="I31" s="1479"/>
    </row>
    <row r="32" spans="2:11" ht="5.0999999999999996" customHeight="1" x14ac:dyDescent="0.25">
      <c r="B32" s="1472"/>
      <c r="C32" s="1534"/>
      <c r="I32" s="1479"/>
    </row>
    <row r="33" spans="2:13" ht="14.25" thickBot="1" x14ac:dyDescent="0.3">
      <c r="B33" s="1472"/>
      <c r="C33" s="1480" t="s">
        <v>326</v>
      </c>
      <c r="I33" s="1479"/>
    </row>
    <row r="34" spans="2:13" x14ac:dyDescent="0.25">
      <c r="B34" s="1472"/>
      <c r="C34" s="1535" t="s">
        <v>327</v>
      </c>
      <c r="D34" s="1536" t="s">
        <v>328</v>
      </c>
      <c r="E34" s="1537"/>
      <c r="F34" s="1538" t="e">
        <f>G15-H15</f>
        <v>#DIV/0!</v>
      </c>
      <c r="G34" s="1536" t="s">
        <v>329</v>
      </c>
      <c r="H34" s="1539"/>
      <c r="I34" s="1479"/>
    </row>
    <row r="35" spans="2:13" x14ac:dyDescent="0.25">
      <c r="B35" s="1472"/>
      <c r="C35" s="1540">
        <v>-1</v>
      </c>
      <c r="D35" s="1518" t="s">
        <v>330</v>
      </c>
      <c r="E35" s="1541"/>
      <c r="F35" s="1541"/>
      <c r="G35" s="1519"/>
      <c r="H35" s="1542" t="s">
        <v>331</v>
      </c>
      <c r="I35" s="1479"/>
    </row>
    <row r="36" spans="2:13" x14ac:dyDescent="0.25">
      <c r="B36" s="1472"/>
      <c r="C36" s="1540">
        <v>-2</v>
      </c>
      <c r="D36" s="1518" t="s">
        <v>332</v>
      </c>
      <c r="E36" s="1541"/>
      <c r="F36" s="1541"/>
      <c r="G36" s="1519"/>
      <c r="H36" s="1543"/>
      <c r="I36" s="1479"/>
    </row>
    <row r="37" spans="2:13" x14ac:dyDescent="0.25">
      <c r="B37" s="1472"/>
      <c r="C37" s="1540">
        <v>-3</v>
      </c>
      <c r="D37" s="1518" t="s">
        <v>333</v>
      </c>
      <c r="E37" s="1541"/>
      <c r="F37" s="1541"/>
      <c r="G37" s="1519"/>
      <c r="H37" s="1544"/>
      <c r="I37" s="1479"/>
    </row>
    <row r="38" spans="2:13" x14ac:dyDescent="0.25">
      <c r="B38" s="1472"/>
      <c r="C38" s="1540" t="s">
        <v>334</v>
      </c>
      <c r="D38" s="1545" t="s">
        <v>335</v>
      </c>
      <c r="E38" s="1546"/>
      <c r="F38" s="1547" t="e">
        <f>F31*(1+G15/100)</f>
        <v>#DIV/0!</v>
      </c>
      <c r="G38" s="1548" t="s">
        <v>336</v>
      </c>
      <c r="H38" s="1549"/>
      <c r="I38" s="1479"/>
    </row>
    <row r="39" spans="2:13" ht="13.5" customHeight="1" x14ac:dyDescent="0.25">
      <c r="B39" s="1472"/>
      <c r="C39" s="1540" t="s">
        <v>337</v>
      </c>
      <c r="D39" s="1518" t="s">
        <v>338</v>
      </c>
      <c r="E39" s="1519"/>
      <c r="F39" s="1550" t="e">
        <f>F31*F34/100</f>
        <v>#DIV/0!</v>
      </c>
      <c r="G39" s="1551" t="s">
        <v>339</v>
      </c>
      <c r="H39" s="1552"/>
      <c r="I39" s="1479"/>
    </row>
    <row r="40" spans="2:13" ht="13.5" customHeight="1" x14ac:dyDescent="0.25">
      <c r="B40" s="1472"/>
      <c r="C40" s="1553" t="s">
        <v>340</v>
      </c>
      <c r="D40" s="1554" t="s">
        <v>341</v>
      </c>
      <c r="E40" s="1554"/>
      <c r="F40" s="1555" t="e">
        <f>IF(F34&gt;0, F29-F39, IF(F34&lt;0, F29-F39, F29))</f>
        <v>#DIV/0!</v>
      </c>
      <c r="G40" s="1556" t="s">
        <v>342</v>
      </c>
      <c r="H40" s="1557"/>
      <c r="I40" s="1479"/>
    </row>
    <row r="41" spans="2:13" ht="13.5" customHeight="1" x14ac:dyDescent="0.25">
      <c r="B41" s="1472"/>
      <c r="C41" s="1553"/>
      <c r="D41" s="1554"/>
      <c r="E41" s="1554"/>
      <c r="F41" s="1555"/>
      <c r="G41" s="1556" t="s">
        <v>343</v>
      </c>
      <c r="H41" s="1557"/>
      <c r="I41" s="1479"/>
    </row>
    <row r="42" spans="2:13" ht="13.5" customHeight="1" thickBot="1" x14ac:dyDescent="0.3">
      <c r="B42" s="1472"/>
      <c r="C42" s="1558"/>
      <c r="D42" s="1559"/>
      <c r="E42" s="1559"/>
      <c r="F42" s="1560"/>
      <c r="G42" s="1561" t="s">
        <v>344</v>
      </c>
      <c r="H42" s="1562"/>
      <c r="I42" s="1479"/>
    </row>
    <row r="43" spans="2:13" ht="5.0999999999999996" customHeight="1" x14ac:dyDescent="0.25">
      <c r="B43" s="1472"/>
      <c r="I43" s="1479"/>
    </row>
    <row r="44" spans="2:13" ht="14.25" thickBot="1" x14ac:dyDescent="0.3">
      <c r="B44" s="1472"/>
      <c r="C44" s="1480" t="s">
        <v>345</v>
      </c>
      <c r="I44" s="1479"/>
    </row>
    <row r="45" spans="2:13" ht="14.25" thickBot="1" x14ac:dyDescent="0.3">
      <c r="B45" s="1472"/>
      <c r="C45" s="1504" t="s">
        <v>340</v>
      </c>
      <c r="D45" s="1505" t="s">
        <v>302</v>
      </c>
      <c r="E45" s="1506"/>
      <c r="F45" s="1563" t="e">
        <f>F40</f>
        <v>#DIV/0!</v>
      </c>
      <c r="G45" s="1564"/>
      <c r="H45" s="1565"/>
      <c r="I45" s="1479"/>
    </row>
    <row r="46" spans="2:13" ht="18" thickTop="1" thickBot="1" x14ac:dyDescent="0.35">
      <c r="B46" s="1472"/>
      <c r="C46" s="1510" t="s">
        <v>17</v>
      </c>
      <c r="D46" s="1511" t="s">
        <v>303</v>
      </c>
      <c r="E46" s="1512"/>
      <c r="F46" s="1566">
        <f>F30</f>
        <v>185</v>
      </c>
      <c r="G46" s="1567">
        <f>F46/42.5</f>
        <v>4.3529411764705879</v>
      </c>
      <c r="H46" s="1568" t="s">
        <v>346</v>
      </c>
      <c r="I46" s="1479"/>
      <c r="K46" s="1569" t="s">
        <v>347</v>
      </c>
      <c r="L46" s="1570"/>
      <c r="M46" s="1571"/>
    </row>
    <row r="47" spans="2:13" ht="15" thickTop="1" thickBot="1" x14ac:dyDescent="0.3">
      <c r="B47" s="1472"/>
      <c r="C47" s="1510" t="s">
        <v>334</v>
      </c>
      <c r="D47" s="1511" t="s">
        <v>323</v>
      </c>
      <c r="E47" s="1512"/>
      <c r="F47" s="1572" t="e">
        <f>F38</f>
        <v>#DIV/0!</v>
      </c>
      <c r="G47" s="1573"/>
      <c r="H47" s="1574"/>
      <c r="I47" s="1479"/>
      <c r="K47" s="1575"/>
      <c r="L47" s="1576"/>
      <c r="M47" s="1577"/>
    </row>
    <row r="48" spans="2:13" ht="18" thickTop="1" thickBot="1" x14ac:dyDescent="0.35">
      <c r="B48" s="1472"/>
      <c r="C48" s="1525" t="s">
        <v>348</v>
      </c>
      <c r="D48" s="1526" t="s">
        <v>349</v>
      </c>
      <c r="E48" s="1578"/>
      <c r="F48" s="1579" t="e">
        <f>SUM(F45:F47)</f>
        <v>#DIV/0!</v>
      </c>
      <c r="G48" s="1580" t="s">
        <v>350</v>
      </c>
      <c r="H48" s="1530"/>
      <c r="I48" s="1479"/>
      <c r="K48" s="1581" t="s">
        <v>351</v>
      </c>
      <c r="L48" s="1582"/>
      <c r="M48" s="1583"/>
    </row>
    <row r="49" spans="2:13" ht="5.0999999999999996" customHeight="1" x14ac:dyDescent="0.25">
      <c r="B49" s="1472"/>
      <c r="I49" s="1479"/>
      <c r="K49" s="1584"/>
      <c r="L49" s="1517"/>
      <c r="M49" s="1585"/>
    </row>
    <row r="50" spans="2:13" ht="14.25" thickBot="1" x14ac:dyDescent="0.3">
      <c r="B50" s="1472"/>
      <c r="C50" s="1480" t="s">
        <v>352</v>
      </c>
      <c r="I50" s="1479"/>
      <c r="K50" s="1584"/>
      <c r="L50" s="1517"/>
      <c r="M50" s="1585"/>
    </row>
    <row r="51" spans="2:13" ht="15.75" thickBot="1" x14ac:dyDescent="0.3">
      <c r="B51" s="1472"/>
      <c r="C51" s="1504" t="s">
        <v>353</v>
      </c>
      <c r="D51" s="1505" t="s">
        <v>354</v>
      </c>
      <c r="E51" s="1586"/>
      <c r="F51" s="1587">
        <v>40</v>
      </c>
      <c r="G51" s="1588" t="s">
        <v>355</v>
      </c>
      <c r="H51" s="1589">
        <f>F51/1000</f>
        <v>0.04</v>
      </c>
      <c r="I51" s="1479"/>
      <c r="K51" s="1590" t="s">
        <v>356</v>
      </c>
      <c r="L51" s="1591" t="s">
        <v>357</v>
      </c>
      <c r="M51" s="1592">
        <f ca="1">H9+3</f>
        <v>45337</v>
      </c>
    </row>
    <row r="52" spans="2:13" ht="14.25" thickBot="1" x14ac:dyDescent="0.3">
      <c r="B52" s="1472"/>
      <c r="C52" s="1510" t="s">
        <v>358</v>
      </c>
      <c r="D52" s="1511" t="s">
        <v>302</v>
      </c>
      <c r="E52" s="1593"/>
      <c r="F52" s="1594" t="e">
        <f>F45*H51</f>
        <v>#DIV/0!</v>
      </c>
      <c r="G52" s="1595" t="s">
        <v>359</v>
      </c>
      <c r="H52" s="1549"/>
      <c r="I52" s="1479"/>
      <c r="J52" s="1596" t="s">
        <v>360</v>
      </c>
      <c r="K52" s="1597" t="s">
        <v>361</v>
      </c>
      <c r="L52" s="1591" t="s">
        <v>362</v>
      </c>
      <c r="M52" s="1592">
        <f ca="1">H9+7</f>
        <v>45341</v>
      </c>
    </row>
    <row r="53" spans="2:13" x14ac:dyDescent="0.25">
      <c r="B53" s="1472"/>
      <c r="C53" s="1510" t="s">
        <v>363</v>
      </c>
      <c r="D53" s="1511" t="s">
        <v>303</v>
      </c>
      <c r="E53" s="1593"/>
      <c r="F53" s="1594">
        <f>F46*H51</f>
        <v>7.4</v>
      </c>
      <c r="G53" s="1595" t="s">
        <v>364</v>
      </c>
      <c r="H53" s="1549"/>
      <c r="I53" s="1479"/>
      <c r="J53" s="1598">
        <v>1</v>
      </c>
      <c r="K53" s="1597" t="s">
        <v>365</v>
      </c>
      <c r="L53" s="1591" t="s">
        <v>366</v>
      </c>
      <c r="M53" s="1592">
        <f ca="1">H9+28</f>
        <v>45362</v>
      </c>
    </row>
    <row r="54" spans="2:13" ht="14.25" thickBot="1" x14ac:dyDescent="0.3">
      <c r="B54" s="1472"/>
      <c r="C54" s="1510" t="s">
        <v>367</v>
      </c>
      <c r="D54" s="1511" t="s">
        <v>323</v>
      </c>
      <c r="E54" s="1593"/>
      <c r="F54" s="1594" t="e">
        <f>F47*H51</f>
        <v>#DIV/0!</v>
      </c>
      <c r="G54" s="1595" t="s">
        <v>368</v>
      </c>
      <c r="H54" s="1549"/>
      <c r="I54" s="1479"/>
      <c r="J54" s="1599" t="e">
        <f>F54/F53</f>
        <v>#DIV/0!</v>
      </c>
      <c r="K54" s="1597" t="s">
        <v>369</v>
      </c>
      <c r="L54" s="1591" t="s">
        <v>370</v>
      </c>
      <c r="M54" s="1592">
        <f ca="1">H9+60</f>
        <v>45394</v>
      </c>
    </row>
    <row r="55" spans="2:13" ht="14.25" thickBot="1" x14ac:dyDescent="0.3">
      <c r="B55" s="1472"/>
      <c r="C55" s="1525" t="s">
        <v>371</v>
      </c>
      <c r="D55" s="1526" t="s">
        <v>349</v>
      </c>
      <c r="E55" s="1578"/>
      <c r="F55" s="1600" t="e">
        <f>SUM(F52:F54)</f>
        <v>#DIV/0!</v>
      </c>
      <c r="G55" s="1580" t="s">
        <v>372</v>
      </c>
      <c r="H55" s="1530"/>
      <c r="I55" s="1479"/>
      <c r="K55" s="1584"/>
      <c r="L55" s="1517"/>
      <c r="M55" s="1585"/>
    </row>
    <row r="56" spans="2:13" ht="5.0999999999999996" customHeight="1" thickBot="1" x14ac:dyDescent="0.3">
      <c r="B56" s="1472"/>
      <c r="I56" s="1479"/>
      <c r="K56" s="1584"/>
      <c r="L56" s="1517"/>
      <c r="M56" s="1585"/>
    </row>
    <row r="57" spans="2:13" ht="18" thickTop="1" thickBot="1" x14ac:dyDescent="0.35">
      <c r="B57" s="1472"/>
      <c r="C57" s="1601" t="s">
        <v>373</v>
      </c>
      <c r="D57" s="1602" t="s">
        <v>374</v>
      </c>
      <c r="E57" s="1602"/>
      <c r="F57" s="1522" t="e">
        <f>F40/F19</f>
        <v>#DIV/0!</v>
      </c>
      <c r="G57" s="1548" t="s">
        <v>375</v>
      </c>
      <c r="H57" s="1603"/>
      <c r="I57" s="1479"/>
      <c r="K57" s="1581" t="s">
        <v>376</v>
      </c>
      <c r="L57" s="1582"/>
      <c r="M57" s="1583"/>
    </row>
    <row r="58" spans="2:13" ht="5.0999999999999996" customHeight="1" thickTop="1" x14ac:dyDescent="0.25">
      <c r="B58" s="1472"/>
      <c r="C58" s="1604"/>
      <c r="D58" s="1604"/>
      <c r="E58" s="1604"/>
      <c r="F58" s="1604"/>
      <c r="G58" s="1605"/>
      <c r="H58" s="1605"/>
      <c r="I58" s="1479"/>
      <c r="K58" s="1584"/>
      <c r="L58" s="1517"/>
      <c r="M58" s="1585"/>
    </row>
    <row r="59" spans="2:13" ht="14.25" thickBot="1" x14ac:dyDescent="0.3">
      <c r="B59" s="1472"/>
      <c r="C59" s="1480" t="s">
        <v>377</v>
      </c>
      <c r="I59" s="1479"/>
      <c r="K59" s="1590" t="s">
        <v>378</v>
      </c>
      <c r="L59" s="1606" t="s">
        <v>379</v>
      </c>
      <c r="M59" s="1607">
        <f ca="1">H9+28</f>
        <v>45362</v>
      </c>
    </row>
    <row r="60" spans="2:13" ht="14.25" thickBot="1" x14ac:dyDescent="0.3">
      <c r="B60" s="1472"/>
      <c r="C60" s="1535" t="s">
        <v>380</v>
      </c>
      <c r="D60" s="1608" t="s">
        <v>381</v>
      </c>
      <c r="E60" s="1608"/>
      <c r="F60" s="1507">
        <v>7.2899000000000003</v>
      </c>
      <c r="G60" s="1536" t="s">
        <v>382</v>
      </c>
      <c r="H60" s="1539"/>
      <c r="I60" s="1479"/>
      <c r="K60" s="1609" t="s">
        <v>383</v>
      </c>
      <c r="L60" s="1610" t="s">
        <v>384</v>
      </c>
      <c r="M60" s="1611">
        <f ca="1">H9+60</f>
        <v>45394</v>
      </c>
    </row>
    <row r="61" spans="2:13" ht="15" thickTop="1" thickBot="1" x14ac:dyDescent="0.3">
      <c r="B61" s="1472"/>
      <c r="C61" s="1612" t="s">
        <v>385</v>
      </c>
      <c r="D61" s="1613" t="s">
        <v>386</v>
      </c>
      <c r="E61" s="1614"/>
      <c r="F61" s="1615" t="s">
        <v>387</v>
      </c>
      <c r="G61" s="1548" t="s">
        <v>388</v>
      </c>
      <c r="H61" s="1549"/>
      <c r="I61" s="1479"/>
      <c r="K61" s="1517"/>
      <c r="L61" s="1517"/>
      <c r="M61" s="1517"/>
    </row>
    <row r="62" spans="2:13" ht="14.25" thickBot="1" x14ac:dyDescent="0.3">
      <c r="B62" s="1472"/>
      <c r="C62" s="1525" t="s">
        <v>389</v>
      </c>
      <c r="D62" s="1526" t="s">
        <v>390</v>
      </c>
      <c r="E62" s="1578"/>
      <c r="F62" s="1579" t="e">
        <f>IF(F52=F60,F52, F60+F53+F54)</f>
        <v>#DIV/0!</v>
      </c>
      <c r="G62" s="1580" t="s">
        <v>391</v>
      </c>
      <c r="H62" s="1530"/>
      <c r="I62" s="1479"/>
    </row>
    <row r="63" spans="2:13" ht="6.75" customHeight="1" x14ac:dyDescent="0.25">
      <c r="B63" s="1472"/>
      <c r="I63" s="1479"/>
    </row>
    <row r="64" spans="2:13" ht="14.25" thickBot="1" x14ac:dyDescent="0.3">
      <c r="B64" s="1472"/>
      <c r="C64" s="1480" t="s">
        <v>392</v>
      </c>
      <c r="I64" s="1479"/>
    </row>
    <row r="65" spans="2:9" x14ac:dyDescent="0.25">
      <c r="B65" s="1472"/>
      <c r="C65" s="1504" t="s">
        <v>393</v>
      </c>
      <c r="D65" s="1505" t="s">
        <v>394</v>
      </c>
      <c r="E65" s="1586"/>
      <c r="F65" s="1616" t="str">
        <f>F61</f>
        <v>---</v>
      </c>
      <c r="G65" s="1617" t="s">
        <v>395</v>
      </c>
      <c r="H65" s="1565"/>
      <c r="I65" s="1479"/>
    </row>
    <row r="66" spans="2:9" x14ac:dyDescent="0.25">
      <c r="B66" s="1472"/>
      <c r="C66" s="1510" t="s">
        <v>17</v>
      </c>
      <c r="D66" s="1511" t="s">
        <v>396</v>
      </c>
      <c r="E66" s="1593"/>
      <c r="F66" s="1618">
        <v>1</v>
      </c>
      <c r="G66" s="1619" t="s">
        <v>397</v>
      </c>
      <c r="H66" s="1574"/>
      <c r="I66" s="1479"/>
    </row>
    <row r="67" spans="2:9" ht="14.25" thickBot="1" x14ac:dyDescent="0.3">
      <c r="B67" s="1472"/>
      <c r="C67" s="1510" t="s">
        <v>17</v>
      </c>
      <c r="D67" s="1511" t="s">
        <v>398</v>
      </c>
      <c r="E67" s="1593"/>
      <c r="F67" s="1620" t="e">
        <f>F47/F46</f>
        <v>#DIV/0!</v>
      </c>
      <c r="G67" s="1619" t="s">
        <v>397</v>
      </c>
      <c r="H67" s="1574"/>
      <c r="I67" s="1479"/>
    </row>
    <row r="68" spans="2:9" ht="14.25" thickBot="1" x14ac:dyDescent="0.3">
      <c r="B68" s="1472"/>
      <c r="C68" s="1525" t="s">
        <v>348</v>
      </c>
      <c r="D68" s="1526" t="s">
        <v>399</v>
      </c>
      <c r="E68" s="1578"/>
      <c r="F68" s="1621"/>
      <c r="G68" s="1580"/>
      <c r="H68" s="1530"/>
      <c r="I68" s="1479"/>
    </row>
    <row r="69" spans="2:9" ht="14.25" thickBot="1" x14ac:dyDescent="0.3">
      <c r="B69" s="1622"/>
      <c r="C69" s="1623"/>
      <c r="D69" s="1623"/>
      <c r="E69" s="1623"/>
      <c r="F69" s="1623"/>
      <c r="G69" s="1623"/>
      <c r="H69" s="1623"/>
      <c r="I69" s="1624"/>
    </row>
    <row r="73" spans="2:9" x14ac:dyDescent="0.25">
      <c r="H73" s="1625" t="e">
        <f>F47/F46</f>
        <v>#DIV/0!</v>
      </c>
    </row>
  </sheetData>
  <mergeCells count="72">
    <mergeCell ref="D67:E67"/>
    <mergeCell ref="G67:H67"/>
    <mergeCell ref="D68:E68"/>
    <mergeCell ref="G68:H68"/>
    <mergeCell ref="D62:E62"/>
    <mergeCell ref="G62:H62"/>
    <mergeCell ref="D65:E65"/>
    <mergeCell ref="G65:H65"/>
    <mergeCell ref="D66:E66"/>
    <mergeCell ref="G66:H66"/>
    <mergeCell ref="D55:E55"/>
    <mergeCell ref="G55:H55"/>
    <mergeCell ref="G57:H57"/>
    <mergeCell ref="G58:H58"/>
    <mergeCell ref="G60:H60"/>
    <mergeCell ref="D61:E61"/>
    <mergeCell ref="G61:H61"/>
    <mergeCell ref="D51:E51"/>
    <mergeCell ref="D52:E52"/>
    <mergeCell ref="G52:H52"/>
    <mergeCell ref="D53:E53"/>
    <mergeCell ref="G53:H53"/>
    <mergeCell ref="D54:E54"/>
    <mergeCell ref="G54:H54"/>
    <mergeCell ref="D45:E45"/>
    <mergeCell ref="G45:H45"/>
    <mergeCell ref="D46:E46"/>
    <mergeCell ref="D47:E47"/>
    <mergeCell ref="G47:H47"/>
    <mergeCell ref="D48:E48"/>
    <mergeCell ref="G48:H48"/>
    <mergeCell ref="D38:E38"/>
    <mergeCell ref="G38:H38"/>
    <mergeCell ref="D39:E39"/>
    <mergeCell ref="G39:H39"/>
    <mergeCell ref="C40:C42"/>
    <mergeCell ref="D40:E42"/>
    <mergeCell ref="F40:F42"/>
    <mergeCell ref="G40:H40"/>
    <mergeCell ref="G41:H41"/>
    <mergeCell ref="G42:H42"/>
    <mergeCell ref="D31:E31"/>
    <mergeCell ref="D34:E34"/>
    <mergeCell ref="G34:H34"/>
    <mergeCell ref="D35:G35"/>
    <mergeCell ref="H35:H37"/>
    <mergeCell ref="D36:G36"/>
    <mergeCell ref="D37:G37"/>
    <mergeCell ref="D25:E25"/>
    <mergeCell ref="G25:H25"/>
    <mergeCell ref="D26:E26"/>
    <mergeCell ref="G26:H26"/>
    <mergeCell ref="D29:E29"/>
    <mergeCell ref="D30:E30"/>
    <mergeCell ref="D22:E22"/>
    <mergeCell ref="G22:H22"/>
    <mergeCell ref="D23:E23"/>
    <mergeCell ref="G23:H23"/>
    <mergeCell ref="D24:E24"/>
    <mergeCell ref="G24:H24"/>
    <mergeCell ref="D18:E18"/>
    <mergeCell ref="G18:H19"/>
    <mergeCell ref="D19:E19"/>
    <mergeCell ref="D20:E20"/>
    <mergeCell ref="D21:E21"/>
    <mergeCell ref="G21:H21"/>
    <mergeCell ref="E4:I7"/>
    <mergeCell ref="C9:D9"/>
    <mergeCell ref="F9:G9"/>
    <mergeCell ref="C11:D12"/>
    <mergeCell ref="C14:D15"/>
    <mergeCell ref="G17:H17"/>
  </mergeCells>
  <printOptions horizontalCentered="1" verticalCentered="1"/>
  <pageMargins left="0.78740157480314965" right="0.59055118110236227" top="0.11811023622047245" bottom="0.11811023622047245" header="0" footer="0"/>
  <pageSetup scale="86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77FD9-0DAA-4107-99B9-F16E0C2C20EC}">
  <sheetPr>
    <tabColor rgb="FF92D050"/>
  </sheetPr>
  <dimension ref="B4:I62"/>
  <sheetViews>
    <sheetView workbookViewId="0">
      <selection sqref="A1:A24"/>
    </sheetView>
  </sheetViews>
  <sheetFormatPr baseColWidth="10" defaultRowHeight="13.5" x14ac:dyDescent="0.25"/>
  <cols>
    <col min="1" max="1" width="9.7109375" style="1454" customWidth="1"/>
    <col min="2" max="2" width="6.7109375" style="1454" customWidth="1"/>
    <col min="3" max="3" width="3.85546875" style="1454" customWidth="1"/>
    <col min="4" max="4" width="12.140625" style="1454" customWidth="1"/>
    <col min="5" max="5" width="18" style="1454" customWidth="1"/>
    <col min="6" max="6" width="10.7109375" style="1454" customWidth="1"/>
    <col min="7" max="8" width="12.7109375" style="1454" customWidth="1"/>
    <col min="9" max="9" width="6.7109375" style="1454" customWidth="1"/>
    <col min="10" max="256" width="11.42578125" style="1454"/>
    <col min="257" max="257" width="9.7109375" style="1454" customWidth="1"/>
    <col min="258" max="258" width="6.7109375" style="1454" customWidth="1"/>
    <col min="259" max="259" width="3.85546875" style="1454" customWidth="1"/>
    <col min="260" max="260" width="12.140625" style="1454" customWidth="1"/>
    <col min="261" max="261" width="18" style="1454" customWidth="1"/>
    <col min="262" max="262" width="10.7109375" style="1454" customWidth="1"/>
    <col min="263" max="264" width="12.7109375" style="1454" customWidth="1"/>
    <col min="265" max="265" width="6.7109375" style="1454" customWidth="1"/>
    <col min="266" max="512" width="11.42578125" style="1454"/>
    <col min="513" max="513" width="9.7109375" style="1454" customWidth="1"/>
    <col min="514" max="514" width="6.7109375" style="1454" customWidth="1"/>
    <col min="515" max="515" width="3.85546875" style="1454" customWidth="1"/>
    <col min="516" max="516" width="12.140625" style="1454" customWidth="1"/>
    <col min="517" max="517" width="18" style="1454" customWidth="1"/>
    <col min="518" max="518" width="10.7109375" style="1454" customWidth="1"/>
    <col min="519" max="520" width="12.7109375" style="1454" customWidth="1"/>
    <col min="521" max="521" width="6.7109375" style="1454" customWidth="1"/>
    <col min="522" max="768" width="11.42578125" style="1454"/>
    <col min="769" max="769" width="9.7109375" style="1454" customWidth="1"/>
    <col min="770" max="770" width="6.7109375" style="1454" customWidth="1"/>
    <col min="771" max="771" width="3.85546875" style="1454" customWidth="1"/>
    <col min="772" max="772" width="12.140625" style="1454" customWidth="1"/>
    <col min="773" max="773" width="18" style="1454" customWidth="1"/>
    <col min="774" max="774" width="10.7109375" style="1454" customWidth="1"/>
    <col min="775" max="776" width="12.7109375" style="1454" customWidth="1"/>
    <col min="777" max="777" width="6.7109375" style="1454" customWidth="1"/>
    <col min="778" max="1024" width="11.42578125" style="1454"/>
    <col min="1025" max="1025" width="9.7109375" style="1454" customWidth="1"/>
    <col min="1026" max="1026" width="6.7109375" style="1454" customWidth="1"/>
    <col min="1027" max="1027" width="3.85546875" style="1454" customWidth="1"/>
    <col min="1028" max="1028" width="12.140625" style="1454" customWidth="1"/>
    <col min="1029" max="1029" width="18" style="1454" customWidth="1"/>
    <col min="1030" max="1030" width="10.7109375" style="1454" customWidth="1"/>
    <col min="1031" max="1032" width="12.7109375" style="1454" customWidth="1"/>
    <col min="1033" max="1033" width="6.7109375" style="1454" customWidth="1"/>
    <col min="1034" max="1280" width="11.42578125" style="1454"/>
    <col min="1281" max="1281" width="9.7109375" style="1454" customWidth="1"/>
    <col min="1282" max="1282" width="6.7109375" style="1454" customWidth="1"/>
    <col min="1283" max="1283" width="3.85546875" style="1454" customWidth="1"/>
    <col min="1284" max="1284" width="12.140625" style="1454" customWidth="1"/>
    <col min="1285" max="1285" width="18" style="1454" customWidth="1"/>
    <col min="1286" max="1286" width="10.7109375" style="1454" customWidth="1"/>
    <col min="1287" max="1288" width="12.7109375" style="1454" customWidth="1"/>
    <col min="1289" max="1289" width="6.7109375" style="1454" customWidth="1"/>
    <col min="1290" max="1536" width="11.42578125" style="1454"/>
    <col min="1537" max="1537" width="9.7109375" style="1454" customWidth="1"/>
    <col min="1538" max="1538" width="6.7109375" style="1454" customWidth="1"/>
    <col min="1539" max="1539" width="3.85546875" style="1454" customWidth="1"/>
    <col min="1540" max="1540" width="12.140625" style="1454" customWidth="1"/>
    <col min="1541" max="1541" width="18" style="1454" customWidth="1"/>
    <col min="1542" max="1542" width="10.7109375" style="1454" customWidth="1"/>
    <col min="1543" max="1544" width="12.7109375" style="1454" customWidth="1"/>
    <col min="1545" max="1545" width="6.7109375" style="1454" customWidth="1"/>
    <col min="1546" max="1792" width="11.42578125" style="1454"/>
    <col min="1793" max="1793" width="9.7109375" style="1454" customWidth="1"/>
    <col min="1794" max="1794" width="6.7109375" style="1454" customWidth="1"/>
    <col min="1795" max="1795" width="3.85546875" style="1454" customWidth="1"/>
    <col min="1796" max="1796" width="12.140625" style="1454" customWidth="1"/>
    <col min="1797" max="1797" width="18" style="1454" customWidth="1"/>
    <col min="1798" max="1798" width="10.7109375" style="1454" customWidth="1"/>
    <col min="1799" max="1800" width="12.7109375" style="1454" customWidth="1"/>
    <col min="1801" max="1801" width="6.7109375" style="1454" customWidth="1"/>
    <col min="1802" max="2048" width="11.42578125" style="1454"/>
    <col min="2049" max="2049" width="9.7109375" style="1454" customWidth="1"/>
    <col min="2050" max="2050" width="6.7109375" style="1454" customWidth="1"/>
    <col min="2051" max="2051" width="3.85546875" style="1454" customWidth="1"/>
    <col min="2052" max="2052" width="12.140625" style="1454" customWidth="1"/>
    <col min="2053" max="2053" width="18" style="1454" customWidth="1"/>
    <col min="2054" max="2054" width="10.7109375" style="1454" customWidth="1"/>
    <col min="2055" max="2056" width="12.7109375" style="1454" customWidth="1"/>
    <col min="2057" max="2057" width="6.7109375" style="1454" customWidth="1"/>
    <col min="2058" max="2304" width="11.42578125" style="1454"/>
    <col min="2305" max="2305" width="9.7109375" style="1454" customWidth="1"/>
    <col min="2306" max="2306" width="6.7109375" style="1454" customWidth="1"/>
    <col min="2307" max="2307" width="3.85546875" style="1454" customWidth="1"/>
    <col min="2308" max="2308" width="12.140625" style="1454" customWidth="1"/>
    <col min="2309" max="2309" width="18" style="1454" customWidth="1"/>
    <col min="2310" max="2310" width="10.7109375" style="1454" customWidth="1"/>
    <col min="2311" max="2312" width="12.7109375" style="1454" customWidth="1"/>
    <col min="2313" max="2313" width="6.7109375" style="1454" customWidth="1"/>
    <col min="2314" max="2560" width="11.42578125" style="1454"/>
    <col min="2561" max="2561" width="9.7109375" style="1454" customWidth="1"/>
    <col min="2562" max="2562" width="6.7109375" style="1454" customWidth="1"/>
    <col min="2563" max="2563" width="3.85546875" style="1454" customWidth="1"/>
    <col min="2564" max="2564" width="12.140625" style="1454" customWidth="1"/>
    <col min="2565" max="2565" width="18" style="1454" customWidth="1"/>
    <col min="2566" max="2566" width="10.7109375" style="1454" customWidth="1"/>
    <col min="2567" max="2568" width="12.7109375" style="1454" customWidth="1"/>
    <col min="2569" max="2569" width="6.7109375" style="1454" customWidth="1"/>
    <col min="2570" max="2816" width="11.42578125" style="1454"/>
    <col min="2817" max="2817" width="9.7109375" style="1454" customWidth="1"/>
    <col min="2818" max="2818" width="6.7109375" style="1454" customWidth="1"/>
    <col min="2819" max="2819" width="3.85546875" style="1454" customWidth="1"/>
    <col min="2820" max="2820" width="12.140625" style="1454" customWidth="1"/>
    <col min="2821" max="2821" width="18" style="1454" customWidth="1"/>
    <col min="2822" max="2822" width="10.7109375" style="1454" customWidth="1"/>
    <col min="2823" max="2824" width="12.7109375" style="1454" customWidth="1"/>
    <col min="2825" max="2825" width="6.7109375" style="1454" customWidth="1"/>
    <col min="2826" max="3072" width="11.42578125" style="1454"/>
    <col min="3073" max="3073" width="9.7109375" style="1454" customWidth="1"/>
    <col min="3074" max="3074" width="6.7109375" style="1454" customWidth="1"/>
    <col min="3075" max="3075" width="3.85546875" style="1454" customWidth="1"/>
    <col min="3076" max="3076" width="12.140625" style="1454" customWidth="1"/>
    <col min="3077" max="3077" width="18" style="1454" customWidth="1"/>
    <col min="3078" max="3078" width="10.7109375" style="1454" customWidth="1"/>
    <col min="3079" max="3080" width="12.7109375" style="1454" customWidth="1"/>
    <col min="3081" max="3081" width="6.7109375" style="1454" customWidth="1"/>
    <col min="3082" max="3328" width="11.42578125" style="1454"/>
    <col min="3329" max="3329" width="9.7109375" style="1454" customWidth="1"/>
    <col min="3330" max="3330" width="6.7109375" style="1454" customWidth="1"/>
    <col min="3331" max="3331" width="3.85546875" style="1454" customWidth="1"/>
    <col min="3332" max="3332" width="12.140625" style="1454" customWidth="1"/>
    <col min="3333" max="3333" width="18" style="1454" customWidth="1"/>
    <col min="3334" max="3334" width="10.7109375" style="1454" customWidth="1"/>
    <col min="3335" max="3336" width="12.7109375" style="1454" customWidth="1"/>
    <col min="3337" max="3337" width="6.7109375" style="1454" customWidth="1"/>
    <col min="3338" max="3584" width="11.42578125" style="1454"/>
    <col min="3585" max="3585" width="9.7109375" style="1454" customWidth="1"/>
    <col min="3586" max="3586" width="6.7109375" style="1454" customWidth="1"/>
    <col min="3587" max="3587" width="3.85546875" style="1454" customWidth="1"/>
    <col min="3588" max="3588" width="12.140625" style="1454" customWidth="1"/>
    <col min="3589" max="3589" width="18" style="1454" customWidth="1"/>
    <col min="3590" max="3590" width="10.7109375" style="1454" customWidth="1"/>
    <col min="3591" max="3592" width="12.7109375" style="1454" customWidth="1"/>
    <col min="3593" max="3593" width="6.7109375" style="1454" customWidth="1"/>
    <col min="3594" max="3840" width="11.42578125" style="1454"/>
    <col min="3841" max="3841" width="9.7109375" style="1454" customWidth="1"/>
    <col min="3842" max="3842" width="6.7109375" style="1454" customWidth="1"/>
    <col min="3843" max="3843" width="3.85546875" style="1454" customWidth="1"/>
    <col min="3844" max="3844" width="12.140625" style="1454" customWidth="1"/>
    <col min="3845" max="3845" width="18" style="1454" customWidth="1"/>
    <col min="3846" max="3846" width="10.7109375" style="1454" customWidth="1"/>
    <col min="3847" max="3848" width="12.7109375" style="1454" customWidth="1"/>
    <col min="3849" max="3849" width="6.7109375" style="1454" customWidth="1"/>
    <col min="3850" max="4096" width="11.42578125" style="1454"/>
    <col min="4097" max="4097" width="9.7109375" style="1454" customWidth="1"/>
    <col min="4098" max="4098" width="6.7109375" style="1454" customWidth="1"/>
    <col min="4099" max="4099" width="3.85546875" style="1454" customWidth="1"/>
    <col min="4100" max="4100" width="12.140625" style="1454" customWidth="1"/>
    <col min="4101" max="4101" width="18" style="1454" customWidth="1"/>
    <col min="4102" max="4102" width="10.7109375" style="1454" customWidth="1"/>
    <col min="4103" max="4104" width="12.7109375" style="1454" customWidth="1"/>
    <col min="4105" max="4105" width="6.7109375" style="1454" customWidth="1"/>
    <col min="4106" max="4352" width="11.42578125" style="1454"/>
    <col min="4353" max="4353" width="9.7109375" style="1454" customWidth="1"/>
    <col min="4354" max="4354" width="6.7109375" style="1454" customWidth="1"/>
    <col min="4355" max="4355" width="3.85546875" style="1454" customWidth="1"/>
    <col min="4356" max="4356" width="12.140625" style="1454" customWidth="1"/>
    <col min="4357" max="4357" width="18" style="1454" customWidth="1"/>
    <col min="4358" max="4358" width="10.7109375" style="1454" customWidth="1"/>
    <col min="4359" max="4360" width="12.7109375" style="1454" customWidth="1"/>
    <col min="4361" max="4361" width="6.7109375" style="1454" customWidth="1"/>
    <col min="4362" max="4608" width="11.42578125" style="1454"/>
    <col min="4609" max="4609" width="9.7109375" style="1454" customWidth="1"/>
    <col min="4610" max="4610" width="6.7109375" style="1454" customWidth="1"/>
    <col min="4611" max="4611" width="3.85546875" style="1454" customWidth="1"/>
    <col min="4612" max="4612" width="12.140625" style="1454" customWidth="1"/>
    <col min="4613" max="4613" width="18" style="1454" customWidth="1"/>
    <col min="4614" max="4614" width="10.7109375" style="1454" customWidth="1"/>
    <col min="4615" max="4616" width="12.7109375" style="1454" customWidth="1"/>
    <col min="4617" max="4617" width="6.7109375" style="1454" customWidth="1"/>
    <col min="4618" max="4864" width="11.42578125" style="1454"/>
    <col min="4865" max="4865" width="9.7109375" style="1454" customWidth="1"/>
    <col min="4866" max="4866" width="6.7109375" style="1454" customWidth="1"/>
    <col min="4867" max="4867" width="3.85546875" style="1454" customWidth="1"/>
    <col min="4868" max="4868" width="12.140625" style="1454" customWidth="1"/>
    <col min="4869" max="4869" width="18" style="1454" customWidth="1"/>
    <col min="4870" max="4870" width="10.7109375" style="1454" customWidth="1"/>
    <col min="4871" max="4872" width="12.7109375" style="1454" customWidth="1"/>
    <col min="4873" max="4873" width="6.7109375" style="1454" customWidth="1"/>
    <col min="4874" max="5120" width="11.42578125" style="1454"/>
    <col min="5121" max="5121" width="9.7109375" style="1454" customWidth="1"/>
    <col min="5122" max="5122" width="6.7109375" style="1454" customWidth="1"/>
    <col min="5123" max="5123" width="3.85546875" style="1454" customWidth="1"/>
    <col min="5124" max="5124" width="12.140625" style="1454" customWidth="1"/>
    <col min="5125" max="5125" width="18" style="1454" customWidth="1"/>
    <col min="5126" max="5126" width="10.7109375" style="1454" customWidth="1"/>
    <col min="5127" max="5128" width="12.7109375" style="1454" customWidth="1"/>
    <col min="5129" max="5129" width="6.7109375" style="1454" customWidth="1"/>
    <col min="5130" max="5376" width="11.42578125" style="1454"/>
    <col min="5377" max="5377" width="9.7109375" style="1454" customWidth="1"/>
    <col min="5378" max="5378" width="6.7109375" style="1454" customWidth="1"/>
    <col min="5379" max="5379" width="3.85546875" style="1454" customWidth="1"/>
    <col min="5380" max="5380" width="12.140625" style="1454" customWidth="1"/>
    <col min="5381" max="5381" width="18" style="1454" customWidth="1"/>
    <col min="5382" max="5382" width="10.7109375" style="1454" customWidth="1"/>
    <col min="5383" max="5384" width="12.7109375" style="1454" customWidth="1"/>
    <col min="5385" max="5385" width="6.7109375" style="1454" customWidth="1"/>
    <col min="5386" max="5632" width="11.42578125" style="1454"/>
    <col min="5633" max="5633" width="9.7109375" style="1454" customWidth="1"/>
    <col min="5634" max="5634" width="6.7109375" style="1454" customWidth="1"/>
    <col min="5635" max="5635" width="3.85546875" style="1454" customWidth="1"/>
    <col min="5636" max="5636" width="12.140625" style="1454" customWidth="1"/>
    <col min="5637" max="5637" width="18" style="1454" customWidth="1"/>
    <col min="5638" max="5638" width="10.7109375" style="1454" customWidth="1"/>
    <col min="5639" max="5640" width="12.7109375" style="1454" customWidth="1"/>
    <col min="5641" max="5641" width="6.7109375" style="1454" customWidth="1"/>
    <col min="5642" max="5888" width="11.42578125" style="1454"/>
    <col min="5889" max="5889" width="9.7109375" style="1454" customWidth="1"/>
    <col min="5890" max="5890" width="6.7109375" style="1454" customWidth="1"/>
    <col min="5891" max="5891" width="3.85546875" style="1454" customWidth="1"/>
    <col min="5892" max="5892" width="12.140625" style="1454" customWidth="1"/>
    <col min="5893" max="5893" width="18" style="1454" customWidth="1"/>
    <col min="5894" max="5894" width="10.7109375" style="1454" customWidth="1"/>
    <col min="5895" max="5896" width="12.7109375" style="1454" customWidth="1"/>
    <col min="5897" max="5897" width="6.7109375" style="1454" customWidth="1"/>
    <col min="5898" max="6144" width="11.42578125" style="1454"/>
    <col min="6145" max="6145" width="9.7109375" style="1454" customWidth="1"/>
    <col min="6146" max="6146" width="6.7109375" style="1454" customWidth="1"/>
    <col min="6147" max="6147" width="3.85546875" style="1454" customWidth="1"/>
    <col min="6148" max="6148" width="12.140625" style="1454" customWidth="1"/>
    <col min="6149" max="6149" width="18" style="1454" customWidth="1"/>
    <col min="6150" max="6150" width="10.7109375" style="1454" customWidth="1"/>
    <col min="6151" max="6152" width="12.7109375" style="1454" customWidth="1"/>
    <col min="6153" max="6153" width="6.7109375" style="1454" customWidth="1"/>
    <col min="6154" max="6400" width="11.42578125" style="1454"/>
    <col min="6401" max="6401" width="9.7109375" style="1454" customWidth="1"/>
    <col min="6402" max="6402" width="6.7109375" style="1454" customWidth="1"/>
    <col min="6403" max="6403" width="3.85546875" style="1454" customWidth="1"/>
    <col min="6404" max="6404" width="12.140625" style="1454" customWidth="1"/>
    <col min="6405" max="6405" width="18" style="1454" customWidth="1"/>
    <col min="6406" max="6406" width="10.7109375" style="1454" customWidth="1"/>
    <col min="6407" max="6408" width="12.7109375" style="1454" customWidth="1"/>
    <col min="6409" max="6409" width="6.7109375" style="1454" customWidth="1"/>
    <col min="6410" max="6656" width="11.42578125" style="1454"/>
    <col min="6657" max="6657" width="9.7109375" style="1454" customWidth="1"/>
    <col min="6658" max="6658" width="6.7109375" style="1454" customWidth="1"/>
    <col min="6659" max="6659" width="3.85546875" style="1454" customWidth="1"/>
    <col min="6660" max="6660" width="12.140625" style="1454" customWidth="1"/>
    <col min="6661" max="6661" width="18" style="1454" customWidth="1"/>
    <col min="6662" max="6662" width="10.7109375" style="1454" customWidth="1"/>
    <col min="6663" max="6664" width="12.7109375" style="1454" customWidth="1"/>
    <col min="6665" max="6665" width="6.7109375" style="1454" customWidth="1"/>
    <col min="6666" max="6912" width="11.42578125" style="1454"/>
    <col min="6913" max="6913" width="9.7109375" style="1454" customWidth="1"/>
    <col min="6914" max="6914" width="6.7109375" style="1454" customWidth="1"/>
    <col min="6915" max="6915" width="3.85546875" style="1454" customWidth="1"/>
    <col min="6916" max="6916" width="12.140625" style="1454" customWidth="1"/>
    <col min="6917" max="6917" width="18" style="1454" customWidth="1"/>
    <col min="6918" max="6918" width="10.7109375" style="1454" customWidth="1"/>
    <col min="6919" max="6920" width="12.7109375" style="1454" customWidth="1"/>
    <col min="6921" max="6921" width="6.7109375" style="1454" customWidth="1"/>
    <col min="6922" max="7168" width="11.42578125" style="1454"/>
    <col min="7169" max="7169" width="9.7109375" style="1454" customWidth="1"/>
    <col min="7170" max="7170" width="6.7109375" style="1454" customWidth="1"/>
    <col min="7171" max="7171" width="3.85546875" style="1454" customWidth="1"/>
    <col min="7172" max="7172" width="12.140625" style="1454" customWidth="1"/>
    <col min="7173" max="7173" width="18" style="1454" customWidth="1"/>
    <col min="7174" max="7174" width="10.7109375" style="1454" customWidth="1"/>
    <col min="7175" max="7176" width="12.7109375" style="1454" customWidth="1"/>
    <col min="7177" max="7177" width="6.7109375" style="1454" customWidth="1"/>
    <col min="7178" max="7424" width="11.42578125" style="1454"/>
    <col min="7425" max="7425" width="9.7109375" style="1454" customWidth="1"/>
    <col min="7426" max="7426" width="6.7109375" style="1454" customWidth="1"/>
    <col min="7427" max="7427" width="3.85546875" style="1454" customWidth="1"/>
    <col min="7428" max="7428" width="12.140625" style="1454" customWidth="1"/>
    <col min="7429" max="7429" width="18" style="1454" customWidth="1"/>
    <col min="7430" max="7430" width="10.7109375" style="1454" customWidth="1"/>
    <col min="7431" max="7432" width="12.7109375" style="1454" customWidth="1"/>
    <col min="7433" max="7433" width="6.7109375" style="1454" customWidth="1"/>
    <col min="7434" max="7680" width="11.42578125" style="1454"/>
    <col min="7681" max="7681" width="9.7109375" style="1454" customWidth="1"/>
    <col min="7682" max="7682" width="6.7109375" style="1454" customWidth="1"/>
    <col min="7683" max="7683" width="3.85546875" style="1454" customWidth="1"/>
    <col min="7684" max="7684" width="12.140625" style="1454" customWidth="1"/>
    <col min="7685" max="7685" width="18" style="1454" customWidth="1"/>
    <col min="7686" max="7686" width="10.7109375" style="1454" customWidth="1"/>
    <col min="7687" max="7688" width="12.7109375" style="1454" customWidth="1"/>
    <col min="7689" max="7689" width="6.7109375" style="1454" customWidth="1"/>
    <col min="7690" max="7936" width="11.42578125" style="1454"/>
    <col min="7937" max="7937" width="9.7109375" style="1454" customWidth="1"/>
    <col min="7938" max="7938" width="6.7109375" style="1454" customWidth="1"/>
    <col min="7939" max="7939" width="3.85546875" style="1454" customWidth="1"/>
    <col min="7940" max="7940" width="12.140625" style="1454" customWidth="1"/>
    <col min="7941" max="7941" width="18" style="1454" customWidth="1"/>
    <col min="7942" max="7942" width="10.7109375" style="1454" customWidth="1"/>
    <col min="7943" max="7944" width="12.7109375" style="1454" customWidth="1"/>
    <col min="7945" max="7945" width="6.7109375" style="1454" customWidth="1"/>
    <col min="7946" max="8192" width="11.42578125" style="1454"/>
    <col min="8193" max="8193" width="9.7109375" style="1454" customWidth="1"/>
    <col min="8194" max="8194" width="6.7109375" style="1454" customWidth="1"/>
    <col min="8195" max="8195" width="3.85546875" style="1454" customWidth="1"/>
    <col min="8196" max="8196" width="12.140625" style="1454" customWidth="1"/>
    <col min="8197" max="8197" width="18" style="1454" customWidth="1"/>
    <col min="8198" max="8198" width="10.7109375" style="1454" customWidth="1"/>
    <col min="8199" max="8200" width="12.7109375" style="1454" customWidth="1"/>
    <col min="8201" max="8201" width="6.7109375" style="1454" customWidth="1"/>
    <col min="8202" max="8448" width="11.42578125" style="1454"/>
    <col min="8449" max="8449" width="9.7109375" style="1454" customWidth="1"/>
    <col min="8450" max="8450" width="6.7109375" style="1454" customWidth="1"/>
    <col min="8451" max="8451" width="3.85546875" style="1454" customWidth="1"/>
    <col min="8452" max="8452" width="12.140625" style="1454" customWidth="1"/>
    <col min="8453" max="8453" width="18" style="1454" customWidth="1"/>
    <col min="8454" max="8454" width="10.7109375" style="1454" customWidth="1"/>
    <col min="8455" max="8456" width="12.7109375" style="1454" customWidth="1"/>
    <col min="8457" max="8457" width="6.7109375" style="1454" customWidth="1"/>
    <col min="8458" max="8704" width="11.42578125" style="1454"/>
    <col min="8705" max="8705" width="9.7109375" style="1454" customWidth="1"/>
    <col min="8706" max="8706" width="6.7109375" style="1454" customWidth="1"/>
    <col min="8707" max="8707" width="3.85546875" style="1454" customWidth="1"/>
    <col min="8708" max="8708" width="12.140625" style="1454" customWidth="1"/>
    <col min="8709" max="8709" width="18" style="1454" customWidth="1"/>
    <col min="8710" max="8710" width="10.7109375" style="1454" customWidth="1"/>
    <col min="8711" max="8712" width="12.7109375" style="1454" customWidth="1"/>
    <col min="8713" max="8713" width="6.7109375" style="1454" customWidth="1"/>
    <col min="8714" max="8960" width="11.42578125" style="1454"/>
    <col min="8961" max="8961" width="9.7109375" style="1454" customWidth="1"/>
    <col min="8962" max="8962" width="6.7109375" style="1454" customWidth="1"/>
    <col min="8963" max="8963" width="3.85546875" style="1454" customWidth="1"/>
    <col min="8964" max="8964" width="12.140625" style="1454" customWidth="1"/>
    <col min="8965" max="8965" width="18" style="1454" customWidth="1"/>
    <col min="8966" max="8966" width="10.7109375" style="1454" customWidth="1"/>
    <col min="8967" max="8968" width="12.7109375" style="1454" customWidth="1"/>
    <col min="8969" max="8969" width="6.7109375" style="1454" customWidth="1"/>
    <col min="8970" max="9216" width="11.42578125" style="1454"/>
    <col min="9217" max="9217" width="9.7109375" style="1454" customWidth="1"/>
    <col min="9218" max="9218" width="6.7109375" style="1454" customWidth="1"/>
    <col min="9219" max="9219" width="3.85546875" style="1454" customWidth="1"/>
    <col min="9220" max="9220" width="12.140625" style="1454" customWidth="1"/>
    <col min="9221" max="9221" width="18" style="1454" customWidth="1"/>
    <col min="9222" max="9222" width="10.7109375" style="1454" customWidth="1"/>
    <col min="9223" max="9224" width="12.7109375" style="1454" customWidth="1"/>
    <col min="9225" max="9225" width="6.7109375" style="1454" customWidth="1"/>
    <col min="9226" max="9472" width="11.42578125" style="1454"/>
    <col min="9473" max="9473" width="9.7109375" style="1454" customWidth="1"/>
    <col min="9474" max="9474" width="6.7109375" style="1454" customWidth="1"/>
    <col min="9475" max="9475" width="3.85546875" style="1454" customWidth="1"/>
    <col min="9476" max="9476" width="12.140625" style="1454" customWidth="1"/>
    <col min="9477" max="9477" width="18" style="1454" customWidth="1"/>
    <col min="9478" max="9478" width="10.7109375" style="1454" customWidth="1"/>
    <col min="9479" max="9480" width="12.7109375" style="1454" customWidth="1"/>
    <col min="9481" max="9481" width="6.7109375" style="1454" customWidth="1"/>
    <col min="9482" max="9728" width="11.42578125" style="1454"/>
    <col min="9729" max="9729" width="9.7109375" style="1454" customWidth="1"/>
    <col min="9730" max="9730" width="6.7109375" style="1454" customWidth="1"/>
    <col min="9731" max="9731" width="3.85546875" style="1454" customWidth="1"/>
    <col min="9732" max="9732" width="12.140625" style="1454" customWidth="1"/>
    <col min="9733" max="9733" width="18" style="1454" customWidth="1"/>
    <col min="9734" max="9734" width="10.7109375" style="1454" customWidth="1"/>
    <col min="9735" max="9736" width="12.7109375" style="1454" customWidth="1"/>
    <col min="9737" max="9737" width="6.7109375" style="1454" customWidth="1"/>
    <col min="9738" max="9984" width="11.42578125" style="1454"/>
    <col min="9985" max="9985" width="9.7109375" style="1454" customWidth="1"/>
    <col min="9986" max="9986" width="6.7109375" style="1454" customWidth="1"/>
    <col min="9987" max="9987" width="3.85546875" style="1454" customWidth="1"/>
    <col min="9988" max="9988" width="12.140625" style="1454" customWidth="1"/>
    <col min="9989" max="9989" width="18" style="1454" customWidth="1"/>
    <col min="9990" max="9990" width="10.7109375" style="1454" customWidth="1"/>
    <col min="9991" max="9992" width="12.7109375" style="1454" customWidth="1"/>
    <col min="9993" max="9993" width="6.7109375" style="1454" customWidth="1"/>
    <col min="9994" max="10240" width="11.42578125" style="1454"/>
    <col min="10241" max="10241" width="9.7109375" style="1454" customWidth="1"/>
    <col min="10242" max="10242" width="6.7109375" style="1454" customWidth="1"/>
    <col min="10243" max="10243" width="3.85546875" style="1454" customWidth="1"/>
    <col min="10244" max="10244" width="12.140625" style="1454" customWidth="1"/>
    <col min="10245" max="10245" width="18" style="1454" customWidth="1"/>
    <col min="10246" max="10246" width="10.7109375" style="1454" customWidth="1"/>
    <col min="10247" max="10248" width="12.7109375" style="1454" customWidth="1"/>
    <col min="10249" max="10249" width="6.7109375" style="1454" customWidth="1"/>
    <col min="10250" max="10496" width="11.42578125" style="1454"/>
    <col min="10497" max="10497" width="9.7109375" style="1454" customWidth="1"/>
    <col min="10498" max="10498" width="6.7109375" style="1454" customWidth="1"/>
    <col min="10499" max="10499" width="3.85546875" style="1454" customWidth="1"/>
    <col min="10500" max="10500" width="12.140625" style="1454" customWidth="1"/>
    <col min="10501" max="10501" width="18" style="1454" customWidth="1"/>
    <col min="10502" max="10502" width="10.7109375" style="1454" customWidth="1"/>
    <col min="10503" max="10504" width="12.7109375" style="1454" customWidth="1"/>
    <col min="10505" max="10505" width="6.7109375" style="1454" customWidth="1"/>
    <col min="10506" max="10752" width="11.42578125" style="1454"/>
    <col min="10753" max="10753" width="9.7109375" style="1454" customWidth="1"/>
    <col min="10754" max="10754" width="6.7109375" style="1454" customWidth="1"/>
    <col min="10755" max="10755" width="3.85546875" style="1454" customWidth="1"/>
    <col min="10756" max="10756" width="12.140625" style="1454" customWidth="1"/>
    <col min="10757" max="10757" width="18" style="1454" customWidth="1"/>
    <col min="10758" max="10758" width="10.7109375" style="1454" customWidth="1"/>
    <col min="10759" max="10760" width="12.7109375" style="1454" customWidth="1"/>
    <col min="10761" max="10761" width="6.7109375" style="1454" customWidth="1"/>
    <col min="10762" max="11008" width="11.42578125" style="1454"/>
    <col min="11009" max="11009" width="9.7109375" style="1454" customWidth="1"/>
    <col min="11010" max="11010" width="6.7109375" style="1454" customWidth="1"/>
    <col min="11011" max="11011" width="3.85546875" style="1454" customWidth="1"/>
    <col min="11012" max="11012" width="12.140625" style="1454" customWidth="1"/>
    <col min="11013" max="11013" width="18" style="1454" customWidth="1"/>
    <col min="11014" max="11014" width="10.7109375" style="1454" customWidth="1"/>
    <col min="11015" max="11016" width="12.7109375" style="1454" customWidth="1"/>
    <col min="11017" max="11017" width="6.7109375" style="1454" customWidth="1"/>
    <col min="11018" max="11264" width="11.42578125" style="1454"/>
    <col min="11265" max="11265" width="9.7109375" style="1454" customWidth="1"/>
    <col min="11266" max="11266" width="6.7109375" style="1454" customWidth="1"/>
    <col min="11267" max="11267" width="3.85546875" style="1454" customWidth="1"/>
    <col min="11268" max="11268" width="12.140625" style="1454" customWidth="1"/>
    <col min="11269" max="11269" width="18" style="1454" customWidth="1"/>
    <col min="11270" max="11270" width="10.7109375" style="1454" customWidth="1"/>
    <col min="11271" max="11272" width="12.7109375" style="1454" customWidth="1"/>
    <col min="11273" max="11273" width="6.7109375" style="1454" customWidth="1"/>
    <col min="11274" max="11520" width="11.42578125" style="1454"/>
    <col min="11521" max="11521" width="9.7109375" style="1454" customWidth="1"/>
    <col min="11522" max="11522" width="6.7109375" style="1454" customWidth="1"/>
    <col min="11523" max="11523" width="3.85546875" style="1454" customWidth="1"/>
    <col min="11524" max="11524" width="12.140625" style="1454" customWidth="1"/>
    <col min="11525" max="11525" width="18" style="1454" customWidth="1"/>
    <col min="11526" max="11526" width="10.7109375" style="1454" customWidth="1"/>
    <col min="11527" max="11528" width="12.7109375" style="1454" customWidth="1"/>
    <col min="11529" max="11529" width="6.7109375" style="1454" customWidth="1"/>
    <col min="11530" max="11776" width="11.42578125" style="1454"/>
    <col min="11777" max="11777" width="9.7109375" style="1454" customWidth="1"/>
    <col min="11778" max="11778" width="6.7109375" style="1454" customWidth="1"/>
    <col min="11779" max="11779" width="3.85546875" style="1454" customWidth="1"/>
    <col min="11780" max="11780" width="12.140625" style="1454" customWidth="1"/>
    <col min="11781" max="11781" width="18" style="1454" customWidth="1"/>
    <col min="11782" max="11782" width="10.7109375" style="1454" customWidth="1"/>
    <col min="11783" max="11784" width="12.7109375" style="1454" customWidth="1"/>
    <col min="11785" max="11785" width="6.7109375" style="1454" customWidth="1"/>
    <col min="11786" max="12032" width="11.42578125" style="1454"/>
    <col min="12033" max="12033" width="9.7109375" style="1454" customWidth="1"/>
    <col min="12034" max="12034" width="6.7109375" style="1454" customWidth="1"/>
    <col min="12035" max="12035" width="3.85546875" style="1454" customWidth="1"/>
    <col min="12036" max="12036" width="12.140625" style="1454" customWidth="1"/>
    <col min="12037" max="12037" width="18" style="1454" customWidth="1"/>
    <col min="12038" max="12038" width="10.7109375" style="1454" customWidth="1"/>
    <col min="12039" max="12040" width="12.7109375" style="1454" customWidth="1"/>
    <col min="12041" max="12041" width="6.7109375" style="1454" customWidth="1"/>
    <col min="12042" max="12288" width="11.42578125" style="1454"/>
    <col min="12289" max="12289" width="9.7109375" style="1454" customWidth="1"/>
    <col min="12290" max="12290" width="6.7109375" style="1454" customWidth="1"/>
    <col min="12291" max="12291" width="3.85546875" style="1454" customWidth="1"/>
    <col min="12292" max="12292" width="12.140625" style="1454" customWidth="1"/>
    <col min="12293" max="12293" width="18" style="1454" customWidth="1"/>
    <col min="12294" max="12294" width="10.7109375" style="1454" customWidth="1"/>
    <col min="12295" max="12296" width="12.7109375" style="1454" customWidth="1"/>
    <col min="12297" max="12297" width="6.7109375" style="1454" customWidth="1"/>
    <col min="12298" max="12544" width="11.42578125" style="1454"/>
    <col min="12545" max="12545" width="9.7109375" style="1454" customWidth="1"/>
    <col min="12546" max="12546" width="6.7109375" style="1454" customWidth="1"/>
    <col min="12547" max="12547" width="3.85546875" style="1454" customWidth="1"/>
    <col min="12548" max="12548" width="12.140625" style="1454" customWidth="1"/>
    <col min="12549" max="12549" width="18" style="1454" customWidth="1"/>
    <col min="12550" max="12550" width="10.7109375" style="1454" customWidth="1"/>
    <col min="12551" max="12552" width="12.7109375" style="1454" customWidth="1"/>
    <col min="12553" max="12553" width="6.7109375" style="1454" customWidth="1"/>
    <col min="12554" max="12800" width="11.42578125" style="1454"/>
    <col min="12801" max="12801" width="9.7109375" style="1454" customWidth="1"/>
    <col min="12802" max="12802" width="6.7109375" style="1454" customWidth="1"/>
    <col min="12803" max="12803" width="3.85546875" style="1454" customWidth="1"/>
    <col min="12804" max="12804" width="12.140625" style="1454" customWidth="1"/>
    <col min="12805" max="12805" width="18" style="1454" customWidth="1"/>
    <col min="12806" max="12806" width="10.7109375" style="1454" customWidth="1"/>
    <col min="12807" max="12808" width="12.7109375" style="1454" customWidth="1"/>
    <col min="12809" max="12809" width="6.7109375" style="1454" customWidth="1"/>
    <col min="12810" max="13056" width="11.42578125" style="1454"/>
    <col min="13057" max="13057" width="9.7109375" style="1454" customWidth="1"/>
    <col min="13058" max="13058" width="6.7109375" style="1454" customWidth="1"/>
    <col min="13059" max="13059" width="3.85546875" style="1454" customWidth="1"/>
    <col min="13060" max="13060" width="12.140625" style="1454" customWidth="1"/>
    <col min="13061" max="13061" width="18" style="1454" customWidth="1"/>
    <col min="13062" max="13062" width="10.7109375" style="1454" customWidth="1"/>
    <col min="13063" max="13064" width="12.7109375" style="1454" customWidth="1"/>
    <col min="13065" max="13065" width="6.7109375" style="1454" customWidth="1"/>
    <col min="13066" max="13312" width="11.42578125" style="1454"/>
    <col min="13313" max="13313" width="9.7109375" style="1454" customWidth="1"/>
    <col min="13314" max="13314" width="6.7109375" style="1454" customWidth="1"/>
    <col min="13315" max="13315" width="3.85546875" style="1454" customWidth="1"/>
    <col min="13316" max="13316" width="12.140625" style="1454" customWidth="1"/>
    <col min="13317" max="13317" width="18" style="1454" customWidth="1"/>
    <col min="13318" max="13318" width="10.7109375" style="1454" customWidth="1"/>
    <col min="13319" max="13320" width="12.7109375" style="1454" customWidth="1"/>
    <col min="13321" max="13321" width="6.7109375" style="1454" customWidth="1"/>
    <col min="13322" max="13568" width="11.42578125" style="1454"/>
    <col min="13569" max="13569" width="9.7109375" style="1454" customWidth="1"/>
    <col min="13570" max="13570" width="6.7109375" style="1454" customWidth="1"/>
    <col min="13571" max="13571" width="3.85546875" style="1454" customWidth="1"/>
    <col min="13572" max="13572" width="12.140625" style="1454" customWidth="1"/>
    <col min="13573" max="13573" width="18" style="1454" customWidth="1"/>
    <col min="13574" max="13574" width="10.7109375" style="1454" customWidth="1"/>
    <col min="13575" max="13576" width="12.7109375" style="1454" customWidth="1"/>
    <col min="13577" max="13577" width="6.7109375" style="1454" customWidth="1"/>
    <col min="13578" max="13824" width="11.42578125" style="1454"/>
    <col min="13825" max="13825" width="9.7109375" style="1454" customWidth="1"/>
    <col min="13826" max="13826" width="6.7109375" style="1454" customWidth="1"/>
    <col min="13827" max="13827" width="3.85546875" style="1454" customWidth="1"/>
    <col min="13828" max="13828" width="12.140625" style="1454" customWidth="1"/>
    <col min="13829" max="13829" width="18" style="1454" customWidth="1"/>
    <col min="13830" max="13830" width="10.7109375" style="1454" customWidth="1"/>
    <col min="13831" max="13832" width="12.7109375" style="1454" customWidth="1"/>
    <col min="13833" max="13833" width="6.7109375" style="1454" customWidth="1"/>
    <col min="13834" max="14080" width="11.42578125" style="1454"/>
    <col min="14081" max="14081" width="9.7109375" style="1454" customWidth="1"/>
    <col min="14082" max="14082" width="6.7109375" style="1454" customWidth="1"/>
    <col min="14083" max="14083" width="3.85546875" style="1454" customWidth="1"/>
    <col min="14084" max="14084" width="12.140625" style="1454" customWidth="1"/>
    <col min="14085" max="14085" width="18" style="1454" customWidth="1"/>
    <col min="14086" max="14086" width="10.7109375" style="1454" customWidth="1"/>
    <col min="14087" max="14088" width="12.7109375" style="1454" customWidth="1"/>
    <col min="14089" max="14089" width="6.7109375" style="1454" customWidth="1"/>
    <col min="14090" max="14336" width="11.42578125" style="1454"/>
    <col min="14337" max="14337" width="9.7109375" style="1454" customWidth="1"/>
    <col min="14338" max="14338" width="6.7109375" style="1454" customWidth="1"/>
    <col min="14339" max="14339" width="3.85546875" style="1454" customWidth="1"/>
    <col min="14340" max="14340" width="12.140625" style="1454" customWidth="1"/>
    <col min="14341" max="14341" width="18" style="1454" customWidth="1"/>
    <col min="14342" max="14342" width="10.7109375" style="1454" customWidth="1"/>
    <col min="14343" max="14344" width="12.7109375" style="1454" customWidth="1"/>
    <col min="14345" max="14345" width="6.7109375" style="1454" customWidth="1"/>
    <col min="14346" max="14592" width="11.42578125" style="1454"/>
    <col min="14593" max="14593" width="9.7109375" style="1454" customWidth="1"/>
    <col min="14594" max="14594" width="6.7109375" style="1454" customWidth="1"/>
    <col min="14595" max="14595" width="3.85546875" style="1454" customWidth="1"/>
    <col min="14596" max="14596" width="12.140625" style="1454" customWidth="1"/>
    <col min="14597" max="14597" width="18" style="1454" customWidth="1"/>
    <col min="14598" max="14598" width="10.7109375" style="1454" customWidth="1"/>
    <col min="14599" max="14600" width="12.7109375" style="1454" customWidth="1"/>
    <col min="14601" max="14601" width="6.7109375" style="1454" customWidth="1"/>
    <col min="14602" max="14848" width="11.42578125" style="1454"/>
    <col min="14849" max="14849" width="9.7109375" style="1454" customWidth="1"/>
    <col min="14850" max="14850" width="6.7109375" style="1454" customWidth="1"/>
    <col min="14851" max="14851" width="3.85546875" style="1454" customWidth="1"/>
    <col min="14852" max="14852" width="12.140625" style="1454" customWidth="1"/>
    <col min="14853" max="14853" width="18" style="1454" customWidth="1"/>
    <col min="14854" max="14854" width="10.7109375" style="1454" customWidth="1"/>
    <col min="14855" max="14856" width="12.7109375" style="1454" customWidth="1"/>
    <col min="14857" max="14857" width="6.7109375" style="1454" customWidth="1"/>
    <col min="14858" max="15104" width="11.42578125" style="1454"/>
    <col min="15105" max="15105" width="9.7109375" style="1454" customWidth="1"/>
    <col min="15106" max="15106" width="6.7109375" style="1454" customWidth="1"/>
    <col min="15107" max="15107" width="3.85546875" style="1454" customWidth="1"/>
    <col min="15108" max="15108" width="12.140625" style="1454" customWidth="1"/>
    <col min="15109" max="15109" width="18" style="1454" customWidth="1"/>
    <col min="15110" max="15110" width="10.7109375" style="1454" customWidth="1"/>
    <col min="15111" max="15112" width="12.7109375" style="1454" customWidth="1"/>
    <col min="15113" max="15113" width="6.7109375" style="1454" customWidth="1"/>
    <col min="15114" max="15360" width="11.42578125" style="1454"/>
    <col min="15361" max="15361" width="9.7109375" style="1454" customWidth="1"/>
    <col min="15362" max="15362" width="6.7109375" style="1454" customWidth="1"/>
    <col min="15363" max="15363" width="3.85546875" style="1454" customWidth="1"/>
    <col min="15364" max="15364" width="12.140625" style="1454" customWidth="1"/>
    <col min="15365" max="15365" width="18" style="1454" customWidth="1"/>
    <col min="15366" max="15366" width="10.7109375" style="1454" customWidth="1"/>
    <col min="15367" max="15368" width="12.7109375" style="1454" customWidth="1"/>
    <col min="15369" max="15369" width="6.7109375" style="1454" customWidth="1"/>
    <col min="15370" max="15616" width="11.42578125" style="1454"/>
    <col min="15617" max="15617" width="9.7109375" style="1454" customWidth="1"/>
    <col min="15618" max="15618" width="6.7109375" style="1454" customWidth="1"/>
    <col min="15619" max="15619" width="3.85546875" style="1454" customWidth="1"/>
    <col min="15620" max="15620" width="12.140625" style="1454" customWidth="1"/>
    <col min="15621" max="15621" width="18" style="1454" customWidth="1"/>
    <col min="15622" max="15622" width="10.7109375" style="1454" customWidth="1"/>
    <col min="15623" max="15624" width="12.7109375" style="1454" customWidth="1"/>
    <col min="15625" max="15625" width="6.7109375" style="1454" customWidth="1"/>
    <col min="15626" max="15872" width="11.42578125" style="1454"/>
    <col min="15873" max="15873" width="9.7109375" style="1454" customWidth="1"/>
    <col min="15874" max="15874" width="6.7109375" style="1454" customWidth="1"/>
    <col min="15875" max="15875" width="3.85546875" style="1454" customWidth="1"/>
    <col min="15876" max="15876" width="12.140625" style="1454" customWidth="1"/>
    <col min="15877" max="15877" width="18" style="1454" customWidth="1"/>
    <col min="15878" max="15878" width="10.7109375" style="1454" customWidth="1"/>
    <col min="15879" max="15880" width="12.7109375" style="1454" customWidth="1"/>
    <col min="15881" max="15881" width="6.7109375" style="1454" customWidth="1"/>
    <col min="15882" max="16128" width="11.42578125" style="1454"/>
    <col min="16129" max="16129" width="9.7109375" style="1454" customWidth="1"/>
    <col min="16130" max="16130" width="6.7109375" style="1454" customWidth="1"/>
    <col min="16131" max="16131" width="3.85546875" style="1454" customWidth="1"/>
    <col min="16132" max="16132" width="12.140625" style="1454" customWidth="1"/>
    <col min="16133" max="16133" width="18" style="1454" customWidth="1"/>
    <col min="16134" max="16134" width="10.7109375" style="1454" customWidth="1"/>
    <col min="16135" max="16136" width="12.7109375" style="1454" customWidth="1"/>
    <col min="16137" max="16137" width="6.7109375" style="1454" customWidth="1"/>
    <col min="16138" max="16384" width="11.42578125" style="1454"/>
  </cols>
  <sheetData>
    <row r="4" spans="2:9" ht="14.25" thickBot="1" x14ac:dyDescent="0.3"/>
    <row r="5" spans="2:9" ht="13.5" customHeight="1" thickTop="1" x14ac:dyDescent="0.25">
      <c r="B5" s="1626" t="s">
        <v>400</v>
      </c>
      <c r="C5" s="1627"/>
      <c r="D5" s="1627"/>
      <c r="E5" s="1627"/>
      <c r="F5" s="1627"/>
      <c r="G5" s="1627"/>
      <c r="H5" s="1627"/>
      <c r="I5" s="1628"/>
    </row>
    <row r="6" spans="2:9" ht="11.25" customHeight="1" x14ac:dyDescent="0.25">
      <c r="B6" s="1629"/>
      <c r="C6" s="1630"/>
      <c r="D6" s="1630"/>
      <c r="E6" s="1630"/>
      <c r="F6" s="1630"/>
      <c r="G6" s="1630"/>
      <c r="H6" s="1630"/>
      <c r="I6" s="1631"/>
    </row>
    <row r="7" spans="2:9" ht="12" customHeight="1" x14ac:dyDescent="0.25">
      <c r="B7" s="1632" t="s">
        <v>401</v>
      </c>
      <c r="C7" s="1633"/>
      <c r="D7" s="1633"/>
      <c r="E7" s="1633"/>
      <c r="F7" s="1633"/>
      <c r="G7" s="1633"/>
      <c r="H7" s="1633"/>
      <c r="I7" s="1634"/>
    </row>
    <row r="8" spans="2:9" ht="14.25" thickBot="1" x14ac:dyDescent="0.3">
      <c r="B8" s="1635" t="s">
        <v>402</v>
      </c>
      <c r="C8" s="1636"/>
      <c r="D8" s="1636"/>
      <c r="E8" s="1636"/>
      <c r="F8" s="1636"/>
      <c r="G8" s="1636"/>
      <c r="H8" s="1636"/>
      <c r="I8" s="1637"/>
    </row>
    <row r="9" spans="2:9" ht="9.75" customHeight="1" thickTop="1" x14ac:dyDescent="0.25">
      <c r="B9" s="1638"/>
      <c r="I9" s="1639"/>
    </row>
    <row r="10" spans="2:9" x14ac:dyDescent="0.25">
      <c r="B10" s="1638"/>
      <c r="C10" s="1480" t="s">
        <v>403</v>
      </c>
      <c r="G10" s="1640">
        <v>38881</v>
      </c>
      <c r="I10" s="1639"/>
    </row>
    <row r="11" spans="2:9" x14ac:dyDescent="0.25">
      <c r="B11" s="1638"/>
      <c r="I11" s="1639"/>
    </row>
    <row r="12" spans="2:9" x14ac:dyDescent="0.25">
      <c r="B12" s="1638"/>
      <c r="C12" s="1480" t="s">
        <v>404</v>
      </c>
      <c r="G12" s="1523" t="s">
        <v>405</v>
      </c>
      <c r="H12" s="1523"/>
      <c r="I12" s="1639"/>
    </row>
    <row r="13" spans="2:9" x14ac:dyDescent="0.25">
      <c r="B13" s="1638"/>
      <c r="C13" s="1641" t="s">
        <v>406</v>
      </c>
      <c r="D13" s="1511" t="s">
        <v>407</v>
      </c>
      <c r="E13" s="1512"/>
      <c r="F13" s="1642">
        <v>2.4500000000000002</v>
      </c>
      <c r="G13" s="1643"/>
      <c r="H13" s="1643"/>
      <c r="I13" s="1639"/>
    </row>
    <row r="14" spans="2:9" x14ac:dyDescent="0.25">
      <c r="B14" s="1638"/>
      <c r="C14" s="1641" t="s">
        <v>408</v>
      </c>
      <c r="D14" s="1511" t="s">
        <v>409</v>
      </c>
      <c r="E14" s="1512"/>
      <c r="F14" s="1642">
        <v>7.08</v>
      </c>
      <c r="G14" s="1643"/>
      <c r="H14" s="1643"/>
      <c r="I14" s="1639"/>
    </row>
    <row r="15" spans="2:9" x14ac:dyDescent="0.25">
      <c r="B15" s="1638"/>
      <c r="C15" s="1641" t="s">
        <v>410</v>
      </c>
      <c r="D15" s="1511" t="s">
        <v>411</v>
      </c>
      <c r="E15" s="1512"/>
      <c r="F15" s="1642">
        <v>14</v>
      </c>
      <c r="G15" s="1643"/>
      <c r="H15" s="1643"/>
      <c r="I15" s="1639"/>
    </row>
    <row r="16" spans="2:9" x14ac:dyDescent="0.25">
      <c r="B16" s="1638"/>
      <c r="C16" s="1641" t="s">
        <v>412</v>
      </c>
      <c r="D16" s="1511" t="s">
        <v>413</v>
      </c>
      <c r="E16" s="1512"/>
      <c r="F16" s="1644">
        <f>(F15-F13)*1000/F14</f>
        <v>1631.3559322033898</v>
      </c>
      <c r="G16" s="1523" t="s">
        <v>414</v>
      </c>
      <c r="H16" s="1523"/>
      <c r="I16" s="1639"/>
    </row>
    <row r="17" spans="2:9" x14ac:dyDescent="0.25">
      <c r="B17" s="1638"/>
      <c r="C17" s="1645"/>
      <c r="D17" s="1604"/>
      <c r="E17" s="1604"/>
      <c r="F17" s="1604"/>
      <c r="G17" s="1645"/>
      <c r="H17" s="1645"/>
      <c r="I17" s="1639"/>
    </row>
    <row r="18" spans="2:9" x14ac:dyDescent="0.25">
      <c r="B18" s="1638"/>
      <c r="C18" s="1480" t="s">
        <v>415</v>
      </c>
      <c r="D18" s="1646"/>
      <c r="E18" s="1646"/>
      <c r="F18" s="1646"/>
      <c r="G18" s="1647"/>
      <c r="H18" s="1647"/>
      <c r="I18" s="1639"/>
    </row>
    <row r="19" spans="2:9" ht="15" x14ac:dyDescent="0.25">
      <c r="B19" s="1638"/>
      <c r="C19" s="1641" t="s">
        <v>416</v>
      </c>
      <c r="D19" s="1511" t="s">
        <v>417</v>
      </c>
      <c r="E19" s="1512"/>
      <c r="F19" s="1648">
        <f>'[13]DATOS DE DISEÑO'!F54/'RESULTADOS DE LABORATORIO (2)'!F16</f>
        <v>2.8141080465925825E-2</v>
      </c>
      <c r="G19" s="1523" t="s">
        <v>418</v>
      </c>
      <c r="H19" s="1523"/>
      <c r="I19" s="1639"/>
    </row>
    <row r="20" spans="2:9" x14ac:dyDescent="0.25">
      <c r="B20" s="1638"/>
      <c r="C20" s="1645"/>
      <c r="D20" s="1649"/>
      <c r="E20" s="1649"/>
      <c r="F20" s="1604"/>
      <c r="G20" s="1605"/>
      <c r="H20" s="1605"/>
      <c r="I20" s="1639"/>
    </row>
    <row r="21" spans="2:9" x14ac:dyDescent="0.25">
      <c r="B21" s="1638"/>
      <c r="C21" s="1480" t="s">
        <v>419</v>
      </c>
      <c r="D21" s="1646"/>
      <c r="E21" s="1646"/>
      <c r="G21" s="1534"/>
      <c r="H21" s="1534"/>
      <c r="I21" s="1639"/>
    </row>
    <row r="22" spans="2:9" x14ac:dyDescent="0.25">
      <c r="B22" s="1638"/>
      <c r="C22" s="1641" t="s">
        <v>389</v>
      </c>
      <c r="D22" s="1511" t="s">
        <v>420</v>
      </c>
      <c r="E22" s="1593"/>
      <c r="F22" s="1650">
        <f>'[13]DATOS DE DISEÑO'!F61</f>
        <v>44.080829123711339</v>
      </c>
      <c r="G22" s="1534"/>
      <c r="H22" s="1534"/>
      <c r="I22" s="1639"/>
    </row>
    <row r="23" spans="2:9" x14ac:dyDescent="0.25">
      <c r="B23" s="1638"/>
      <c r="C23" s="1641" t="s">
        <v>353</v>
      </c>
      <c r="D23" s="1511" t="s">
        <v>421</v>
      </c>
      <c r="E23" s="1593"/>
      <c r="F23" s="1650">
        <f>'[13]DATOS DE DISEÑO'!H50</f>
        <v>2.5000000000000001E-2</v>
      </c>
      <c r="G23" s="1534"/>
      <c r="H23" s="1534"/>
      <c r="I23" s="1639"/>
    </row>
    <row r="24" spans="2:9" x14ac:dyDescent="0.25">
      <c r="B24" s="1638"/>
      <c r="C24" s="1641" t="s">
        <v>422</v>
      </c>
      <c r="D24" s="1511" t="s">
        <v>423</v>
      </c>
      <c r="E24" s="1593"/>
      <c r="F24" s="1650">
        <f>'[13]DATOS DE DISEÑO'!F47</f>
        <v>1836.3247422680411</v>
      </c>
      <c r="G24" s="1651"/>
      <c r="H24" s="1534"/>
      <c r="I24" s="1639"/>
    </row>
    <row r="25" spans="2:9" x14ac:dyDescent="0.25">
      <c r="B25" s="1638"/>
      <c r="C25" s="1641" t="s">
        <v>412</v>
      </c>
      <c r="D25" s="1511" t="s">
        <v>413</v>
      </c>
      <c r="E25" s="1512"/>
      <c r="F25" s="1650">
        <f>F16</f>
        <v>1631.3559322033898</v>
      </c>
      <c r="G25" s="1652"/>
      <c r="H25" s="1647"/>
      <c r="I25" s="1639"/>
    </row>
    <row r="26" spans="2:9" x14ac:dyDescent="0.25">
      <c r="B26" s="1638"/>
      <c r="C26" s="1653" t="s">
        <v>393</v>
      </c>
      <c r="D26" s="1654" t="s">
        <v>424</v>
      </c>
      <c r="E26" s="1655"/>
      <c r="F26" s="1656">
        <f>(F24-F25)*100/F24</f>
        <v>11.16190428341638</v>
      </c>
      <c r="G26" s="1657" t="s">
        <v>425</v>
      </c>
      <c r="H26" s="1658"/>
      <c r="I26" s="1639"/>
    </row>
    <row r="27" spans="2:9" x14ac:dyDescent="0.25">
      <c r="B27" s="1638"/>
      <c r="C27" s="1534"/>
      <c r="I27" s="1639"/>
    </row>
    <row r="28" spans="2:9" x14ac:dyDescent="0.25">
      <c r="B28" s="1638"/>
      <c r="C28" s="1480" t="s">
        <v>426</v>
      </c>
      <c r="I28" s="1639"/>
    </row>
    <row r="29" spans="2:9" ht="13.5" customHeight="1" x14ac:dyDescent="0.25">
      <c r="B29" s="1638"/>
      <c r="C29" s="1659" t="s">
        <v>279</v>
      </c>
      <c r="D29" s="1660" t="s">
        <v>427</v>
      </c>
      <c r="E29" s="1503" t="s">
        <v>428</v>
      </c>
      <c r="F29" s="1554" t="s">
        <v>429</v>
      </c>
      <c r="G29" s="1554"/>
      <c r="H29" s="1661">
        <v>10</v>
      </c>
      <c r="I29" s="1639"/>
    </row>
    <row r="30" spans="2:9" x14ac:dyDescent="0.25">
      <c r="B30" s="1638"/>
      <c r="C30" s="1662"/>
      <c r="D30" s="1663"/>
      <c r="E30" s="1664"/>
      <c r="F30" s="1554"/>
      <c r="G30" s="1554"/>
      <c r="H30" s="1665"/>
      <c r="I30" s="1639"/>
    </row>
    <row r="31" spans="2:9" x14ac:dyDescent="0.25">
      <c r="B31" s="1638"/>
      <c r="C31" s="1666"/>
      <c r="D31" s="1667"/>
      <c r="E31" s="1666"/>
      <c r="F31" s="1668"/>
      <c r="G31" s="1668"/>
      <c r="H31" s="1669"/>
      <c r="I31" s="1639"/>
    </row>
    <row r="32" spans="2:9" x14ac:dyDescent="0.25">
      <c r="B32" s="1638"/>
      <c r="C32" s="1480" t="s">
        <v>430</v>
      </c>
      <c r="I32" s="1639"/>
    </row>
    <row r="33" spans="2:9" ht="13.5" customHeight="1" x14ac:dyDescent="0.25">
      <c r="B33" s="1638"/>
      <c r="C33" s="1670" t="s">
        <v>416</v>
      </c>
      <c r="D33" s="1671" t="s">
        <v>431</v>
      </c>
      <c r="E33" s="1672"/>
      <c r="F33" s="1673" t="s">
        <v>432</v>
      </c>
      <c r="G33" s="1674"/>
      <c r="H33" s="1669"/>
      <c r="I33" s="1639"/>
    </row>
    <row r="34" spans="2:9" x14ac:dyDescent="0.25">
      <c r="B34" s="1638"/>
      <c r="C34" s="1666"/>
      <c r="D34" s="1667"/>
      <c r="E34" s="1666"/>
      <c r="F34" s="1668"/>
      <c r="G34" s="1668"/>
      <c r="H34" s="1669"/>
      <c r="I34" s="1639"/>
    </row>
    <row r="35" spans="2:9" x14ac:dyDescent="0.25">
      <c r="B35" s="1638"/>
      <c r="C35" s="1480" t="s">
        <v>433</v>
      </c>
      <c r="I35" s="1639"/>
    </row>
    <row r="36" spans="2:9" ht="13.5" customHeight="1" x14ac:dyDescent="0.25">
      <c r="B36" s="1638"/>
      <c r="C36" s="1670" t="s">
        <v>348</v>
      </c>
      <c r="D36" s="1675" t="s">
        <v>434</v>
      </c>
      <c r="E36" s="1676"/>
      <c r="F36" s="1673" t="s">
        <v>432</v>
      </c>
      <c r="G36" s="1674"/>
      <c r="H36" s="1669"/>
      <c r="I36" s="1639"/>
    </row>
    <row r="37" spans="2:9" x14ac:dyDescent="0.25">
      <c r="B37" s="1638"/>
      <c r="C37" s="1666"/>
      <c r="D37" s="1667"/>
      <c r="E37" s="1666"/>
      <c r="F37" s="1668"/>
      <c r="G37" s="1668"/>
      <c r="H37" s="1669"/>
      <c r="I37" s="1639"/>
    </row>
    <row r="38" spans="2:9" x14ac:dyDescent="0.25">
      <c r="B38" s="1638"/>
      <c r="C38" s="1480" t="s">
        <v>435</v>
      </c>
      <c r="I38" s="1639"/>
    </row>
    <row r="39" spans="2:9" ht="14.25" thickBot="1" x14ac:dyDescent="0.3">
      <c r="B39" s="1638"/>
      <c r="C39" s="1641" t="s">
        <v>436</v>
      </c>
      <c r="D39" s="1511" t="s">
        <v>437</v>
      </c>
      <c r="E39" s="1677"/>
      <c r="F39" s="1678" t="s">
        <v>438</v>
      </c>
      <c r="G39" s="1679" t="s">
        <v>439</v>
      </c>
      <c r="H39" s="1580"/>
      <c r="I39" s="1639"/>
    </row>
    <row r="40" spans="2:9" x14ac:dyDescent="0.25">
      <c r="B40" s="1638"/>
      <c r="C40" s="1680" t="s">
        <v>17</v>
      </c>
      <c r="D40" s="1680" t="s">
        <v>440</v>
      </c>
      <c r="E40" s="1681"/>
      <c r="F40" s="1682">
        <v>4.5</v>
      </c>
      <c r="G40" s="1683">
        <v>2</v>
      </c>
      <c r="H40" s="1684"/>
      <c r="I40" s="1639"/>
    </row>
    <row r="41" spans="2:9" x14ac:dyDescent="0.25">
      <c r="B41" s="1638"/>
      <c r="C41" s="1685"/>
      <c r="D41" s="1685"/>
      <c r="E41" s="1686"/>
      <c r="F41" s="1687">
        <v>4</v>
      </c>
      <c r="G41" s="1688">
        <v>2.5</v>
      </c>
      <c r="H41" s="1689"/>
      <c r="I41" s="1639"/>
    </row>
    <row r="42" spans="2:9" x14ac:dyDescent="0.25">
      <c r="B42" s="1638"/>
      <c r="C42" s="1685"/>
      <c r="D42" s="1685"/>
      <c r="E42" s="1686"/>
      <c r="F42" s="1687">
        <v>4</v>
      </c>
      <c r="G42" s="1688">
        <v>3</v>
      </c>
      <c r="H42" s="1689"/>
      <c r="I42" s="1639"/>
    </row>
    <row r="43" spans="2:9" x14ac:dyDescent="0.25">
      <c r="B43" s="1638"/>
      <c r="C43" s="1685"/>
      <c r="D43" s="1685"/>
      <c r="E43" s="1686"/>
      <c r="F43" s="1687">
        <v>3.5</v>
      </c>
      <c r="G43" s="1688">
        <v>3.5</v>
      </c>
      <c r="H43" s="1689"/>
      <c r="I43" s="1639"/>
    </row>
    <row r="44" spans="2:9" x14ac:dyDescent="0.25">
      <c r="B44" s="1638"/>
      <c r="C44" s="1685"/>
      <c r="D44" s="1685"/>
      <c r="E44" s="1686"/>
      <c r="F44" s="1687">
        <v>4</v>
      </c>
      <c r="G44" s="1688">
        <v>4</v>
      </c>
      <c r="H44" s="1689"/>
      <c r="I44" s="1639"/>
    </row>
    <row r="45" spans="2:9" x14ac:dyDescent="0.25">
      <c r="B45" s="1638"/>
      <c r="C45" s="1685"/>
      <c r="D45" s="1685"/>
      <c r="E45" s="1686"/>
      <c r="F45" s="1687">
        <v>3.75</v>
      </c>
      <c r="G45" s="1688">
        <v>4.5</v>
      </c>
      <c r="H45" s="1689"/>
      <c r="I45" s="1639"/>
    </row>
    <row r="46" spans="2:9" x14ac:dyDescent="0.25">
      <c r="B46" s="1638"/>
      <c r="C46" s="1685"/>
      <c r="D46" s="1685"/>
      <c r="E46" s="1686"/>
      <c r="F46" s="1687">
        <v>3.5</v>
      </c>
      <c r="G46" s="1688">
        <v>5</v>
      </c>
      <c r="H46" s="1689"/>
      <c r="I46" s="1639"/>
    </row>
    <row r="47" spans="2:9" ht="14.25" thickBot="1" x14ac:dyDescent="0.3">
      <c r="B47" s="1638"/>
      <c r="C47" s="1690"/>
      <c r="D47" s="1690"/>
      <c r="E47" s="1691"/>
      <c r="F47" s="1692">
        <v>2.75</v>
      </c>
      <c r="G47" s="1693">
        <v>6.5</v>
      </c>
      <c r="H47" s="1694"/>
      <c r="I47" s="1639"/>
    </row>
    <row r="48" spans="2:9" ht="6.75" customHeight="1" x14ac:dyDescent="0.25">
      <c r="B48" s="1638"/>
      <c r="C48" s="1669"/>
      <c r="D48" s="1669"/>
      <c r="E48" s="1669"/>
      <c r="G48" s="1534"/>
      <c r="H48" s="1534"/>
      <c r="I48" s="1639"/>
    </row>
    <row r="49" spans="2:9" x14ac:dyDescent="0.25">
      <c r="B49" s="1638"/>
      <c r="C49" s="1480" t="s">
        <v>441</v>
      </c>
      <c r="D49" s="1669"/>
      <c r="E49" s="1669"/>
      <c r="G49" s="1534"/>
      <c r="H49" s="1534"/>
      <c r="I49" s="1639"/>
    </row>
    <row r="50" spans="2:9" x14ac:dyDescent="0.25">
      <c r="B50" s="1638"/>
      <c r="C50" s="1641" t="s">
        <v>436</v>
      </c>
      <c r="D50" s="1511" t="s">
        <v>437</v>
      </c>
      <c r="E50" s="1677"/>
      <c r="F50" s="1695">
        <v>0.375</v>
      </c>
      <c r="G50" s="1595"/>
      <c r="H50" s="1603"/>
      <c r="I50" s="1639"/>
    </row>
    <row r="51" spans="2:9" ht="29.25" customHeight="1" x14ac:dyDescent="0.25">
      <c r="B51" s="1638"/>
      <c r="C51" s="1653" t="s">
        <v>442</v>
      </c>
      <c r="D51" s="1696" t="s">
        <v>443</v>
      </c>
      <c r="E51" s="1653" t="s">
        <v>444</v>
      </c>
      <c r="F51" s="1697" t="s">
        <v>445</v>
      </c>
      <c r="G51" s="1670" t="s">
        <v>446</v>
      </c>
      <c r="H51" s="1653" t="s">
        <v>447</v>
      </c>
      <c r="I51" s="1639"/>
    </row>
    <row r="52" spans="2:9" x14ac:dyDescent="0.25">
      <c r="B52" s="1638"/>
      <c r="C52" s="1653">
        <v>1</v>
      </c>
      <c r="D52" s="1698">
        <v>0.5</v>
      </c>
      <c r="E52" s="1699" t="s">
        <v>448</v>
      </c>
      <c r="F52" s="1700">
        <v>2</v>
      </c>
      <c r="G52" s="1641">
        <v>0</v>
      </c>
      <c r="H52" s="1641">
        <f>G52/D52</f>
        <v>0</v>
      </c>
      <c r="I52" s="1639"/>
    </row>
    <row r="53" spans="2:9" x14ac:dyDescent="0.25">
      <c r="B53" s="1638"/>
      <c r="C53" s="1653">
        <v>2</v>
      </c>
      <c r="D53" s="1698">
        <v>0.5</v>
      </c>
      <c r="E53" s="1701" t="s">
        <v>449</v>
      </c>
      <c r="F53" s="1700">
        <v>2.5</v>
      </c>
      <c r="G53" s="1641">
        <v>0</v>
      </c>
      <c r="H53" s="1641">
        <f t="shared" ref="H53:H59" si="0">G53/D53</f>
        <v>0</v>
      </c>
      <c r="I53" s="1639"/>
    </row>
    <row r="54" spans="2:9" x14ac:dyDescent="0.25">
      <c r="B54" s="1638"/>
      <c r="C54" s="1653">
        <v>3</v>
      </c>
      <c r="D54" s="1698">
        <v>0.5</v>
      </c>
      <c r="E54" s="1701" t="s">
        <v>450</v>
      </c>
      <c r="F54" s="1700">
        <v>3</v>
      </c>
      <c r="G54" s="1641">
        <v>0</v>
      </c>
      <c r="H54" s="1641">
        <f t="shared" si="0"/>
        <v>0</v>
      </c>
      <c r="I54" s="1639"/>
    </row>
    <row r="55" spans="2:9" x14ac:dyDescent="0.25">
      <c r="B55" s="1638"/>
      <c r="C55" s="1653">
        <v>4</v>
      </c>
      <c r="D55" s="1698">
        <v>0.5</v>
      </c>
      <c r="E55" s="1701" t="s">
        <v>451</v>
      </c>
      <c r="F55" s="1700">
        <v>3.5</v>
      </c>
      <c r="G55" s="1641">
        <v>34</v>
      </c>
      <c r="H55" s="1641">
        <f t="shared" si="0"/>
        <v>68</v>
      </c>
      <c r="I55" s="1639"/>
    </row>
    <row r="56" spans="2:9" x14ac:dyDescent="0.25">
      <c r="B56" s="1638"/>
      <c r="C56" s="1653">
        <v>5</v>
      </c>
      <c r="D56" s="1698">
        <v>0.5</v>
      </c>
      <c r="E56" s="1701" t="s">
        <v>452</v>
      </c>
      <c r="F56" s="1700">
        <v>4</v>
      </c>
      <c r="G56" s="1641">
        <v>52</v>
      </c>
      <c r="H56" s="1641">
        <f>G56/D56</f>
        <v>104</v>
      </c>
      <c r="I56" s="1639"/>
    </row>
    <row r="57" spans="2:9" x14ac:dyDescent="0.25">
      <c r="B57" s="1638"/>
      <c r="C57" s="1653">
        <v>6</v>
      </c>
      <c r="D57" s="1698">
        <v>0.25</v>
      </c>
      <c r="E57" s="1701" t="s">
        <v>453</v>
      </c>
      <c r="F57" s="1700">
        <v>5</v>
      </c>
      <c r="G57" s="1641">
        <v>64</v>
      </c>
      <c r="H57" s="1641">
        <f t="shared" si="0"/>
        <v>256</v>
      </c>
      <c r="I57" s="1639"/>
    </row>
    <row r="58" spans="2:9" x14ac:dyDescent="0.25">
      <c r="B58" s="1638"/>
      <c r="C58" s="1653">
        <v>7</v>
      </c>
      <c r="D58" s="1698">
        <v>0.1</v>
      </c>
      <c r="E58" s="1701" t="s">
        <v>454</v>
      </c>
      <c r="F58" s="1700">
        <v>6</v>
      </c>
      <c r="G58" s="1641">
        <v>52</v>
      </c>
      <c r="H58" s="1641">
        <f t="shared" si="0"/>
        <v>520</v>
      </c>
      <c r="I58" s="1639"/>
    </row>
    <row r="59" spans="2:9" x14ac:dyDescent="0.25">
      <c r="B59" s="1638"/>
      <c r="C59" s="1653">
        <v>8</v>
      </c>
      <c r="D59" s="1698">
        <v>0.1</v>
      </c>
      <c r="E59" s="1701" t="s">
        <v>455</v>
      </c>
      <c r="F59" s="1700">
        <v>6.5</v>
      </c>
      <c r="G59" s="1641">
        <v>62</v>
      </c>
      <c r="H59" s="1641">
        <f t="shared" si="0"/>
        <v>620</v>
      </c>
      <c r="I59" s="1639"/>
    </row>
    <row r="60" spans="2:9" ht="9" customHeight="1" x14ac:dyDescent="0.25">
      <c r="B60" s="1638"/>
      <c r="C60" s="1669"/>
      <c r="D60" s="1669"/>
      <c r="E60" s="1669"/>
      <c r="G60" s="1534"/>
      <c r="H60" s="1534"/>
      <c r="I60" s="1639"/>
    </row>
    <row r="61" spans="2:9" ht="9" customHeight="1" thickBot="1" x14ac:dyDescent="0.3">
      <c r="B61" s="1702"/>
      <c r="C61" s="1703"/>
      <c r="D61" s="1703"/>
      <c r="E61" s="1703"/>
      <c r="F61" s="1703"/>
      <c r="G61" s="1703"/>
      <c r="H61" s="1703"/>
      <c r="I61" s="1704"/>
    </row>
    <row r="62" spans="2:9" ht="14.25" thickTop="1" x14ac:dyDescent="0.25"/>
  </sheetData>
  <mergeCells count="43">
    <mergeCell ref="G44:H44"/>
    <mergeCell ref="G45:H45"/>
    <mergeCell ref="G46:H46"/>
    <mergeCell ref="G47:H47"/>
    <mergeCell ref="D50:E50"/>
    <mergeCell ref="F50:H50"/>
    <mergeCell ref="D33:E33"/>
    <mergeCell ref="D36:E36"/>
    <mergeCell ref="D39:E39"/>
    <mergeCell ref="G39:H39"/>
    <mergeCell ref="C40:C47"/>
    <mergeCell ref="D40:E47"/>
    <mergeCell ref="G40:H40"/>
    <mergeCell ref="G41:H41"/>
    <mergeCell ref="G42:H42"/>
    <mergeCell ref="G43:H43"/>
    <mergeCell ref="D24:E24"/>
    <mergeCell ref="D25:E25"/>
    <mergeCell ref="D26:E26"/>
    <mergeCell ref="G26:H26"/>
    <mergeCell ref="C29:C30"/>
    <mergeCell ref="D29:D30"/>
    <mergeCell ref="E29:E30"/>
    <mergeCell ref="F29:G30"/>
    <mergeCell ref="H29:H30"/>
    <mergeCell ref="D19:E19"/>
    <mergeCell ref="G19:H19"/>
    <mergeCell ref="D20:E20"/>
    <mergeCell ref="G20:H20"/>
    <mergeCell ref="D22:E22"/>
    <mergeCell ref="D23:E23"/>
    <mergeCell ref="D14:E14"/>
    <mergeCell ref="G14:H14"/>
    <mergeCell ref="D15:E15"/>
    <mergeCell ref="G15:H15"/>
    <mergeCell ref="D16:E16"/>
    <mergeCell ref="G16:H16"/>
    <mergeCell ref="B5:I6"/>
    <mergeCell ref="B7:I7"/>
    <mergeCell ref="B8:I8"/>
    <mergeCell ref="G12:H12"/>
    <mergeCell ref="D13:E13"/>
    <mergeCell ref="G13:H13"/>
  </mergeCells>
  <pageMargins left="0.91" right="0.75" top="0.42" bottom="0.21" header="0" footer="0"/>
  <pageSetup orientation="portrait" horizontalDpi="4294967293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6C6C1-C7C4-4A0B-9023-054A9241D5A0}">
  <sheetPr>
    <tabColor rgb="FFFF0000"/>
  </sheetPr>
  <dimension ref="B1:BC33"/>
  <sheetViews>
    <sheetView tabSelected="1" view="pageBreakPreview" zoomScaleNormal="100" zoomScaleSheetLayoutView="100" workbookViewId="0"/>
  </sheetViews>
  <sheetFormatPr baseColWidth="10" defaultColWidth="12.5703125" defaultRowHeight="15" x14ac:dyDescent="0.25"/>
  <cols>
    <col min="1" max="1" width="5.42578125" style="2" customWidth="1"/>
    <col min="2" max="2" width="11.85546875" style="2" customWidth="1"/>
    <col min="3" max="4" width="11.28515625" style="2" customWidth="1"/>
    <col min="5" max="9" width="8.42578125" style="2" customWidth="1"/>
    <col min="10" max="12" width="11.7109375" style="2" customWidth="1"/>
    <col min="13" max="13" width="11.7109375" style="9" customWidth="1"/>
    <col min="14" max="14" width="11.7109375" style="2" customWidth="1"/>
    <col min="15" max="15" width="20.28515625" style="2" customWidth="1"/>
    <col min="16" max="16" width="23.85546875" style="2" customWidth="1"/>
    <col min="17" max="17" width="12.140625" style="2" customWidth="1"/>
    <col min="18" max="18" width="9.5703125" style="2" customWidth="1"/>
    <col min="19" max="19" width="9" style="2" customWidth="1"/>
    <col min="20" max="21" width="12.5703125" style="2" customWidth="1"/>
    <col min="22" max="16384" width="12.5703125" style="2"/>
  </cols>
  <sheetData>
    <row r="1" spans="2:55" ht="15.75" thickBot="1" x14ac:dyDescent="0.3">
      <c r="B1" s="1705"/>
      <c r="C1" s="1706"/>
      <c r="D1" s="1706"/>
      <c r="E1" s="1706"/>
      <c r="F1" s="1706"/>
      <c r="G1" s="1706"/>
      <c r="H1" s="1706"/>
      <c r="I1" s="1706"/>
      <c r="J1" s="1706"/>
      <c r="K1" s="1706"/>
      <c r="L1" s="1706"/>
      <c r="M1" s="1707"/>
      <c r="N1" s="1706"/>
      <c r="O1" s="1706"/>
      <c r="P1" s="1708"/>
    </row>
    <row r="2" spans="2:55" ht="34.5" customHeight="1" x14ac:dyDescent="0.25">
      <c r="B2" s="1709"/>
      <c r="C2" s="1710"/>
      <c r="D2" s="1710"/>
      <c r="E2" s="1710"/>
      <c r="F2" s="1711" t="s">
        <v>77</v>
      </c>
      <c r="G2" s="1712"/>
      <c r="H2" s="1712"/>
      <c r="I2" s="1712"/>
      <c r="J2" s="1712"/>
      <c r="K2" s="1712"/>
      <c r="L2" s="1712"/>
      <c r="M2" s="1712"/>
      <c r="N2" s="1712"/>
      <c r="O2" s="1712"/>
      <c r="P2" s="1713"/>
      <c r="R2" s="49" t="s">
        <v>76</v>
      </c>
      <c r="S2" s="49" t="s">
        <v>75</v>
      </c>
      <c r="T2" s="51"/>
    </row>
    <row r="3" spans="2:55" ht="34.5" customHeight="1" x14ac:dyDescent="0.25">
      <c r="B3" s="1714"/>
      <c r="C3" s="1297"/>
      <c r="D3" s="1297"/>
      <c r="E3" s="1297"/>
      <c r="F3" s="1287" t="s">
        <v>456</v>
      </c>
      <c r="G3" s="1288"/>
      <c r="H3" s="1288"/>
      <c r="I3" s="1288"/>
      <c r="J3" s="1288"/>
      <c r="K3" s="1288"/>
      <c r="L3" s="1288"/>
      <c r="M3" s="1288"/>
      <c r="N3" s="1288"/>
      <c r="O3" s="1288"/>
      <c r="P3" s="1715"/>
      <c r="R3" s="50">
        <v>1</v>
      </c>
      <c r="S3" s="49">
        <v>1</v>
      </c>
      <c r="T3" s="49">
        <f>R3*S3</f>
        <v>1</v>
      </c>
    </row>
    <row r="4" spans="2:55" ht="14.25" customHeight="1" thickBot="1" x14ac:dyDescent="0.3">
      <c r="B4" s="1716"/>
      <c r="C4" s="1300"/>
      <c r="D4" s="1300"/>
      <c r="E4" s="1300"/>
      <c r="F4" s="1290"/>
      <c r="G4" s="1291"/>
      <c r="H4" s="1291"/>
      <c r="I4" s="1291"/>
      <c r="J4" s="1291"/>
      <c r="K4" s="1291"/>
      <c r="L4" s="1291"/>
      <c r="M4" s="1291"/>
      <c r="N4" s="1291"/>
      <c r="O4" s="1291"/>
      <c r="P4" s="1717"/>
    </row>
    <row r="5" spans="2:55" ht="8.25" customHeight="1" thickBot="1" x14ac:dyDescent="0.3">
      <c r="B5" s="1718"/>
      <c r="C5" s="1278"/>
      <c r="D5" s="1278"/>
      <c r="E5" s="1278"/>
      <c r="F5" s="1278"/>
      <c r="G5" s="1278"/>
      <c r="H5" s="1278"/>
      <c r="I5" s="1278"/>
      <c r="J5" s="1278"/>
      <c r="K5" s="1278"/>
      <c r="L5" s="1278"/>
      <c r="M5" s="1278"/>
      <c r="N5" s="1278"/>
      <c r="O5" s="1278"/>
      <c r="P5" s="1719"/>
    </row>
    <row r="6" spans="2:55" ht="98.25" customHeight="1" x14ac:dyDescent="0.25">
      <c r="B6" s="1720" t="s">
        <v>0</v>
      </c>
      <c r="C6" s="1721"/>
      <c r="D6" s="1282">
        <f>'GRAV ESP MAT SITU (2)'!C8</f>
        <v>0</v>
      </c>
      <c r="E6" s="1282"/>
      <c r="F6" s="1282"/>
      <c r="G6" s="1282"/>
      <c r="H6" s="1282"/>
      <c r="I6" s="1282"/>
      <c r="J6" s="1282"/>
      <c r="K6" s="1282"/>
      <c r="L6" s="1282"/>
      <c r="M6" s="1282"/>
      <c r="N6" s="1282"/>
      <c r="O6" s="1282"/>
      <c r="P6" s="1722"/>
      <c r="Q6" s="48"/>
      <c r="R6" s="48"/>
      <c r="S6" s="47"/>
      <c r="U6" s="1302" t="e">
        <f>#REF!</f>
        <v>#REF!</v>
      </c>
      <c r="V6" s="1302"/>
      <c r="W6" s="1302"/>
      <c r="X6" s="1302"/>
      <c r="Y6" s="1302"/>
      <c r="Z6" s="1302"/>
      <c r="AA6" s="1302"/>
      <c r="AB6" s="1302"/>
      <c r="AC6" s="1302"/>
      <c r="AD6" s="1302"/>
      <c r="AE6" s="1302"/>
      <c r="AF6" s="1302"/>
      <c r="AG6" s="1723"/>
      <c r="AH6" s="1723"/>
      <c r="AI6" s="1723"/>
      <c r="AJ6" s="1723"/>
      <c r="AK6" s="1723"/>
      <c r="AL6" s="1723"/>
      <c r="AM6" s="1723"/>
      <c r="AN6" s="1723"/>
      <c r="AO6" s="1723"/>
      <c r="AP6" s="1723"/>
      <c r="AQ6" s="1723"/>
      <c r="AR6" s="1723"/>
      <c r="AS6" s="1723"/>
      <c r="AT6" s="1723"/>
      <c r="AU6" s="1723"/>
      <c r="AV6" s="1724"/>
      <c r="AW6" s="4"/>
      <c r="AX6" s="4"/>
      <c r="AY6" s="4"/>
      <c r="AZ6" s="4"/>
      <c r="BA6" s="4"/>
      <c r="BB6" s="4"/>
      <c r="BC6" s="5"/>
    </row>
    <row r="7" spans="2:55" ht="22.5" customHeight="1" x14ac:dyDescent="0.25">
      <c r="B7" s="1725" t="s">
        <v>7</v>
      </c>
      <c r="C7" s="1726"/>
      <c r="D7" s="1305">
        <f>'GRAV ESP MAT SITU (2)'!C10</f>
        <v>0</v>
      </c>
      <c r="E7" s="1305"/>
      <c r="F7" s="1305"/>
      <c r="G7" s="1305"/>
      <c r="H7" s="1305"/>
      <c r="I7" s="1305"/>
      <c r="J7" s="1305"/>
      <c r="K7" s="1305"/>
      <c r="L7" s="1305"/>
      <c r="M7" s="1305"/>
      <c r="N7" s="1305"/>
      <c r="O7" s="1305"/>
      <c r="P7" s="1727"/>
      <c r="Q7" s="3"/>
      <c r="R7" s="3"/>
      <c r="S7" s="4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8"/>
    </row>
    <row r="8" spans="2:55" ht="32.25" customHeight="1" x14ac:dyDescent="0.25">
      <c r="B8" s="1728" t="s">
        <v>8</v>
      </c>
      <c r="C8" s="1308"/>
      <c r="D8" s="1305">
        <f>'GRAV ESP MAT SITU (2)'!C12</f>
        <v>0</v>
      </c>
      <c r="E8" s="1305"/>
      <c r="F8" s="1305"/>
      <c r="G8" s="1305"/>
      <c r="H8" s="1305"/>
      <c r="I8" s="1305"/>
      <c r="J8" s="1305"/>
      <c r="K8" s="1305"/>
      <c r="L8" s="1305"/>
      <c r="M8" s="1305"/>
      <c r="N8" s="1305"/>
      <c r="O8" s="1305"/>
      <c r="P8" s="1727"/>
      <c r="Q8" s="6"/>
      <c r="R8" s="6"/>
      <c r="S8" s="45"/>
      <c r="U8" s="1729" t="s">
        <v>74</v>
      </c>
      <c r="V8" s="1729"/>
      <c r="W8" s="1729"/>
      <c r="X8" s="1729"/>
      <c r="Y8" s="1729"/>
      <c r="Z8" s="1729"/>
      <c r="AA8" s="1729"/>
      <c r="AB8" s="1729"/>
      <c r="AC8" s="1729"/>
      <c r="AD8" s="1729"/>
      <c r="AE8" s="1729"/>
      <c r="AF8" s="1729"/>
      <c r="AG8" s="1729"/>
      <c r="AH8" s="1729"/>
      <c r="AI8" s="1729"/>
      <c r="AJ8" s="1729"/>
      <c r="AK8" s="1729"/>
      <c r="AL8" s="1729"/>
      <c r="AM8" s="1729"/>
      <c r="AN8" s="1729"/>
      <c r="AO8" s="1729"/>
      <c r="AP8" s="1729"/>
      <c r="AQ8" s="1729"/>
      <c r="AR8" s="1729"/>
      <c r="AS8" s="1729"/>
      <c r="AT8" s="1729"/>
      <c r="AU8" s="1730"/>
    </row>
    <row r="9" spans="2:55" ht="31.5" customHeight="1" thickBot="1" x14ac:dyDescent="0.3">
      <c r="B9" s="1731" t="s">
        <v>9</v>
      </c>
      <c r="C9" s="1732"/>
      <c r="D9" s="1324"/>
      <c r="E9" s="1324"/>
      <c r="F9" s="1733" t="s">
        <v>10</v>
      </c>
      <c r="G9" s="1733"/>
      <c r="H9" s="1326"/>
      <c r="I9" s="1326"/>
      <c r="J9" s="1326"/>
      <c r="K9" s="1733" t="s">
        <v>11</v>
      </c>
      <c r="L9" s="1733"/>
      <c r="M9" s="1309" t="s">
        <v>78</v>
      </c>
      <c r="N9" s="1309"/>
      <c r="O9" s="1309"/>
      <c r="P9" s="1734"/>
      <c r="Q9" s="44"/>
      <c r="R9" s="44"/>
      <c r="S9" s="43"/>
      <c r="U9" s="1735"/>
      <c r="V9" s="1735"/>
      <c r="W9" s="1735"/>
      <c r="X9" s="1735"/>
      <c r="Y9" s="1735"/>
      <c r="Z9" s="1735"/>
      <c r="AA9" s="1735"/>
    </row>
    <row r="10" spans="2:55" ht="6" customHeight="1" thickBot="1" x14ac:dyDescent="0.3">
      <c r="B10" s="1736"/>
      <c r="C10" s="1312"/>
      <c r="D10" s="1312"/>
      <c r="E10" s="1312"/>
      <c r="F10" s="1312"/>
      <c r="G10" s="1312"/>
      <c r="H10" s="1312"/>
      <c r="I10" s="1312"/>
      <c r="J10" s="1312"/>
      <c r="K10" s="1312"/>
      <c r="L10" s="1312"/>
      <c r="M10" s="1312"/>
      <c r="N10" s="1312"/>
      <c r="O10" s="1312"/>
      <c r="P10" s="1737"/>
    </row>
    <row r="11" spans="2:55" ht="24" customHeight="1" x14ac:dyDescent="0.25">
      <c r="B11" s="1738" t="s">
        <v>457</v>
      </c>
      <c r="C11" s="1316" t="s">
        <v>72</v>
      </c>
      <c r="D11" s="1317"/>
      <c r="E11" s="1318" t="s">
        <v>57</v>
      </c>
      <c r="F11" s="1318" t="s">
        <v>71</v>
      </c>
      <c r="G11" s="1318" t="s">
        <v>70</v>
      </c>
      <c r="H11" s="1318" t="s">
        <v>458</v>
      </c>
      <c r="I11" s="1320" t="s">
        <v>69</v>
      </c>
      <c r="J11" s="1318" t="s">
        <v>58</v>
      </c>
      <c r="K11" s="1318" t="s">
        <v>68</v>
      </c>
      <c r="L11" s="1318" t="s">
        <v>67</v>
      </c>
      <c r="M11" s="1333" t="s">
        <v>66</v>
      </c>
      <c r="N11" s="1318" t="s">
        <v>59</v>
      </c>
      <c r="O11" s="1335" t="s">
        <v>60</v>
      </c>
      <c r="P11" s="1739"/>
      <c r="Q11" s="10"/>
      <c r="R11" s="10"/>
      <c r="S11" s="10"/>
    </row>
    <row r="12" spans="2:55" ht="30.6" customHeight="1" thickBot="1" x14ac:dyDescent="0.3">
      <c r="B12" s="1740"/>
      <c r="C12" s="1741" t="s">
        <v>61</v>
      </c>
      <c r="D12" s="1741" t="s">
        <v>64</v>
      </c>
      <c r="E12" s="1742"/>
      <c r="F12" s="1742"/>
      <c r="G12" s="1742"/>
      <c r="H12" s="1742"/>
      <c r="I12" s="1743"/>
      <c r="J12" s="1742"/>
      <c r="K12" s="1742"/>
      <c r="L12" s="1742"/>
      <c r="M12" s="1744"/>
      <c r="N12" s="1742"/>
      <c r="O12" s="1745"/>
      <c r="P12" s="1746"/>
      <c r="Q12" s="10">
        <v>0</v>
      </c>
      <c r="R12" s="10">
        <v>0</v>
      </c>
      <c r="S12" s="10"/>
    </row>
    <row r="13" spans="2:55" ht="28.5" customHeight="1" x14ac:dyDescent="0.25">
      <c r="B13" s="1747">
        <v>1</v>
      </c>
      <c r="C13" s="1748">
        <f>D9</f>
        <v>0</v>
      </c>
      <c r="D13" s="1749">
        <f t="shared" ref="D13:D15" si="0">C13+E13</f>
        <v>0</v>
      </c>
      <c r="E13" s="1750"/>
      <c r="F13" s="1751"/>
      <c r="G13" s="1751"/>
      <c r="H13" s="1751"/>
      <c r="I13" s="1752">
        <f>((F13/2)^2)*PI()</f>
        <v>0</v>
      </c>
      <c r="J13" s="1753"/>
      <c r="K13" s="1754" t="str">
        <f>IF(J13="","",J13/(((F13/10)/2)^2*PI()))</f>
        <v/>
      </c>
      <c r="L13" s="1796"/>
      <c r="M13" s="1755" t="e">
        <f>K13/27</f>
        <v>#VALUE!</v>
      </c>
      <c r="N13" s="1754" t="str">
        <f>IF(K13="","",AVERAGE(K13:K13))</f>
        <v/>
      </c>
      <c r="O13" s="1756">
        <f>D8</f>
        <v>0</v>
      </c>
      <c r="P13" s="1757"/>
      <c r="Q13" s="35">
        <v>7</v>
      </c>
      <c r="R13" s="34" t="str">
        <f>N13</f>
        <v/>
      </c>
      <c r="S13" s="10"/>
    </row>
    <row r="14" spans="2:55" ht="28.5" customHeight="1" x14ac:dyDescent="0.25">
      <c r="B14" s="1758">
        <f>B13+1</f>
        <v>2</v>
      </c>
      <c r="C14" s="1759">
        <f>C13</f>
        <v>0</v>
      </c>
      <c r="D14" s="1760">
        <f t="shared" si="0"/>
        <v>0</v>
      </c>
      <c r="E14" s="1761"/>
      <c r="F14" s="1762"/>
      <c r="G14" s="1762"/>
      <c r="H14" s="1762"/>
      <c r="I14" s="1763">
        <f>((F14/2)^2)*PI()</f>
        <v>0</v>
      </c>
      <c r="J14" s="1764"/>
      <c r="K14" s="1765" t="str">
        <f t="shared" ref="K14:K15" si="1">IF(J14="","",J14/(((F14/10)/2)^2*PI()))</f>
        <v/>
      </c>
      <c r="L14" s="1797"/>
      <c r="M14" s="1766" t="e">
        <f t="shared" ref="M14" si="2">K14/7</f>
        <v>#VALUE!</v>
      </c>
      <c r="N14" s="1767" t="str">
        <f>IF(K14="","",AVERAGE(K14:K15))</f>
        <v/>
      </c>
      <c r="O14" s="1768">
        <f>O13</f>
        <v>0</v>
      </c>
      <c r="P14" s="1769"/>
      <c r="S14" s="10"/>
    </row>
    <row r="15" spans="2:55" ht="28.5" customHeight="1" thickBot="1" x14ac:dyDescent="0.3">
      <c r="B15" s="1770">
        <f t="shared" ref="B15" si="3">B14+1</f>
        <v>3</v>
      </c>
      <c r="C15" s="1771">
        <f t="shared" ref="C15" si="4">C14</f>
        <v>0</v>
      </c>
      <c r="D15" s="1772">
        <f t="shared" si="0"/>
        <v>0</v>
      </c>
      <c r="E15" s="1773"/>
      <c r="F15" s="1774"/>
      <c r="G15" s="1774"/>
      <c r="H15" s="1774"/>
      <c r="I15" s="1775">
        <f t="shared" ref="I15" si="5">((F15/2)^2)*PI()</f>
        <v>0</v>
      </c>
      <c r="J15" s="1776"/>
      <c r="K15" s="1777" t="str">
        <f t="shared" si="1"/>
        <v/>
      </c>
      <c r="L15" s="1798"/>
      <c r="M15" s="1778" t="e">
        <f>K15/7</f>
        <v>#VALUE!</v>
      </c>
      <c r="N15" s="1779"/>
      <c r="O15" s="1780">
        <f>O14</f>
        <v>0</v>
      </c>
      <c r="P15" s="1781"/>
      <c r="Q15" s="11"/>
      <c r="S15" s="10"/>
    </row>
    <row r="16" spans="2:55" ht="5.25" customHeight="1" thickBot="1" x14ac:dyDescent="0.3">
      <c r="B16" s="1782"/>
      <c r="C16" s="1348"/>
      <c r="D16" s="1348"/>
      <c r="E16" s="1348"/>
      <c r="F16" s="1348"/>
      <c r="G16" s="1348"/>
      <c r="H16" s="1348"/>
      <c r="I16" s="1348"/>
      <c r="J16" s="1348"/>
      <c r="K16" s="1348"/>
      <c r="L16" s="1348"/>
      <c r="M16" s="1348"/>
      <c r="N16" s="1348"/>
      <c r="O16" s="1348"/>
      <c r="P16" s="1783"/>
    </row>
    <row r="17" spans="2:18" ht="21.75" customHeight="1" x14ac:dyDescent="0.25">
      <c r="B17" s="1784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1785"/>
    </row>
    <row r="18" spans="2:18" ht="21.75" customHeight="1" x14ac:dyDescent="0.25">
      <c r="B18" s="1786"/>
      <c r="C18" s="443"/>
      <c r="D18" s="443"/>
      <c r="E18" s="443"/>
      <c r="F18" s="443"/>
      <c r="G18" s="443"/>
      <c r="H18" s="443"/>
      <c r="I18" s="443"/>
      <c r="J18" s="443"/>
      <c r="K18" s="443"/>
      <c r="L18" s="443"/>
      <c r="M18" s="443"/>
      <c r="N18" s="443"/>
      <c r="O18" s="443"/>
      <c r="P18" s="1787"/>
    </row>
    <row r="19" spans="2:18" ht="21.75" customHeight="1" x14ac:dyDescent="0.25">
      <c r="B19" s="1786"/>
      <c r="C19" s="443"/>
      <c r="D19" s="443"/>
      <c r="E19" s="443"/>
      <c r="F19" s="443"/>
      <c r="G19" s="443"/>
      <c r="H19" s="443"/>
      <c r="I19" s="443"/>
      <c r="J19" s="443"/>
      <c r="K19" s="443"/>
      <c r="L19" s="443"/>
      <c r="M19" s="443"/>
      <c r="N19" s="443"/>
      <c r="O19" s="443"/>
      <c r="P19" s="1787"/>
    </row>
    <row r="20" spans="2:18" ht="21.75" customHeight="1" thickBot="1" x14ac:dyDescent="0.3">
      <c r="B20" s="1788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1789"/>
    </row>
    <row r="21" spans="2:18" ht="27" customHeight="1" x14ac:dyDescent="0.25">
      <c r="B21" s="1790">
        <f>H9</f>
        <v>0</v>
      </c>
      <c r="C21" s="506"/>
      <c r="D21" s="506"/>
      <c r="E21" s="506"/>
      <c r="F21" s="506"/>
      <c r="G21" s="506"/>
      <c r="H21" s="506"/>
      <c r="I21" s="506"/>
      <c r="J21" s="506"/>
      <c r="K21" s="506" t="str">
        <f>[10]Granulometría!R54</f>
        <v>ING FRANCISCO GRANADOS</v>
      </c>
      <c r="L21" s="506"/>
      <c r="M21" s="506"/>
      <c r="N21" s="506"/>
      <c r="O21" s="506"/>
      <c r="P21" s="1791"/>
      <c r="Q21" s="18"/>
      <c r="R21" s="17"/>
    </row>
    <row r="22" spans="2:18" ht="27" customHeight="1" thickBot="1" x14ac:dyDescent="0.3">
      <c r="B22" s="1792" t="str">
        <f>[10]Granulometría!A55</f>
        <v xml:space="preserve">Tecnico de Laboratorio de suelos y Materiales. </v>
      </c>
      <c r="C22" s="1793"/>
      <c r="D22" s="1793"/>
      <c r="E22" s="1793"/>
      <c r="F22" s="1793"/>
      <c r="G22" s="1793"/>
      <c r="H22" s="1793"/>
      <c r="I22" s="1793"/>
      <c r="J22" s="1793"/>
      <c r="K22" s="1793" t="str">
        <f>[10]Granulometría!R55</f>
        <v xml:space="preserve">Jefe Técnico de Laboratorio de suelos y Materiales. </v>
      </c>
      <c r="L22" s="1793"/>
      <c r="M22" s="1793"/>
      <c r="N22" s="1793"/>
      <c r="O22" s="1793"/>
      <c r="P22" s="1794"/>
      <c r="Q22" s="16"/>
      <c r="R22" s="15"/>
    </row>
    <row r="29" spans="2:18" x14ac:dyDescent="0.25">
      <c r="D29" s="14" t="s">
        <v>63</v>
      </c>
      <c r="E29" s="14" t="s">
        <v>54</v>
      </c>
    </row>
    <row r="30" spans="2:18" x14ac:dyDescent="0.25">
      <c r="D30" s="1795">
        <v>0</v>
      </c>
      <c r="E30" s="1795">
        <v>7</v>
      </c>
    </row>
    <row r="31" spans="2:18" x14ac:dyDescent="0.25">
      <c r="D31" s="1795">
        <v>27</v>
      </c>
      <c r="E31" s="1795">
        <f>E30</f>
        <v>7</v>
      </c>
    </row>
    <row r="32" spans="2:18" x14ac:dyDescent="0.25">
      <c r="D32" s="1795">
        <f>D31</f>
        <v>27</v>
      </c>
      <c r="E32" s="1795">
        <v>0</v>
      </c>
    </row>
    <row r="33" spans="4:5" x14ac:dyDescent="0.25">
      <c r="D33" s="1795">
        <f>D32</f>
        <v>27</v>
      </c>
      <c r="E33" s="1795">
        <f>E31</f>
        <v>7</v>
      </c>
    </row>
  </sheetData>
  <autoFilter ref="C12:D15" xr:uid="{00000000-0009-0000-0000-000000000000}"/>
  <mergeCells count="42">
    <mergeCell ref="B22:J22"/>
    <mergeCell ref="K22:P22"/>
    <mergeCell ref="L13:L15"/>
    <mergeCell ref="N14:N15"/>
    <mergeCell ref="O14:P14"/>
    <mergeCell ref="O15:P15"/>
    <mergeCell ref="B16:P16"/>
    <mergeCell ref="B21:J21"/>
    <mergeCell ref="K21:P21"/>
    <mergeCell ref="K11:K12"/>
    <mergeCell ref="L11:L12"/>
    <mergeCell ref="M11:M12"/>
    <mergeCell ref="N11:N12"/>
    <mergeCell ref="O11:P12"/>
    <mergeCell ref="O13:P13"/>
    <mergeCell ref="M9:P9"/>
    <mergeCell ref="B10:P10"/>
    <mergeCell ref="B11:B12"/>
    <mergeCell ref="C11:D11"/>
    <mergeCell ref="E11:E12"/>
    <mergeCell ref="F11:F12"/>
    <mergeCell ref="G11:G12"/>
    <mergeCell ref="H11:H12"/>
    <mergeCell ref="I11:I12"/>
    <mergeCell ref="J11:J12"/>
    <mergeCell ref="U6:AF6"/>
    <mergeCell ref="B7:C7"/>
    <mergeCell ref="D7:P7"/>
    <mergeCell ref="B8:C8"/>
    <mergeCell ref="D8:P8"/>
    <mergeCell ref="B9:C9"/>
    <mergeCell ref="D9:E9"/>
    <mergeCell ref="F9:G9"/>
    <mergeCell ref="H9:J9"/>
    <mergeCell ref="K9:L9"/>
    <mergeCell ref="B2:E4"/>
    <mergeCell ref="F2:P2"/>
    <mergeCell ref="F3:P3"/>
    <mergeCell ref="F4:P4"/>
    <mergeCell ref="B5:P5"/>
    <mergeCell ref="B6:C6"/>
    <mergeCell ref="D6:P6"/>
  </mergeCells>
  <printOptions horizontalCentered="1" verticalCentered="1"/>
  <pageMargins left="0.11811023622047245" right="7.874015748031496E-2" top="0.31496062992125984" bottom="0.15748031496062992" header="0.23622047244094491" footer="0"/>
  <pageSetup scale="70" fitToHeight="3" orientation="landscape" horizontalDpi="4294967294" verticalDpi="300" r:id="rId1"/>
  <headerFooter alignWithMargins="0">
    <oddFooter>&amp;C&amp;"Calibri,Cursiva"&amp;K00-024&amp;P de &amp;N</oddFooter>
  </headerFooter>
  <colBreaks count="1" manualBreakCount="1">
    <brk id="16" max="1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73DC-0BA5-493D-A379-19498EF520B8}">
  <sheetPr>
    <tabColor rgb="FF00B0F0"/>
  </sheetPr>
  <dimension ref="A1:CI56"/>
  <sheetViews>
    <sheetView view="pageBreakPreview" topLeftCell="F1" zoomScaleNormal="100" zoomScaleSheetLayoutView="100" workbookViewId="0">
      <selection activeCell="H1" sqref="H1"/>
    </sheetView>
  </sheetViews>
  <sheetFormatPr baseColWidth="10" defaultColWidth="12.7109375" defaultRowHeight="20.100000000000001" customHeight="1" x14ac:dyDescent="0.2"/>
  <cols>
    <col min="1" max="1" width="13.28515625" style="444" customWidth="1"/>
    <col min="2" max="6" width="12.7109375" style="444" customWidth="1"/>
    <col min="7" max="7" width="18" style="444" customWidth="1"/>
    <col min="8" max="8" width="0.7109375" style="444" customWidth="1"/>
    <col min="9" max="12" width="2.28515625" style="444" customWidth="1"/>
    <col min="13" max="13" width="3" style="444" customWidth="1"/>
    <col min="14" max="14" width="2.28515625" style="444" customWidth="1"/>
    <col min="15" max="15" width="2" style="444" customWidth="1"/>
    <col min="16" max="30" width="2.28515625" style="444" customWidth="1"/>
    <col min="31" max="31" width="2.7109375" style="444" customWidth="1"/>
    <col min="32" max="32" width="3.7109375" style="444" customWidth="1"/>
    <col min="33" max="34" width="2.28515625" style="444" customWidth="1"/>
    <col min="35" max="35" width="2.85546875" style="444" customWidth="1"/>
    <col min="36" max="36" width="2.28515625" style="444" customWidth="1"/>
    <col min="37" max="37" width="3" style="444" customWidth="1"/>
    <col min="38" max="39" width="2.85546875" style="444" customWidth="1"/>
    <col min="40" max="40" width="2.7109375" style="444" customWidth="1"/>
    <col min="41" max="41" width="3" style="444" customWidth="1"/>
    <col min="42" max="42" width="3.7109375" style="444" customWidth="1"/>
    <col min="43" max="44" width="2.28515625" style="444" customWidth="1"/>
    <col min="45" max="45" width="0.85546875" style="444" customWidth="1"/>
    <col min="46" max="46" width="2.7109375" style="444" customWidth="1"/>
    <col min="47" max="47" width="2.42578125" style="444" customWidth="1"/>
    <col min="48" max="48" width="2.85546875" style="444" customWidth="1"/>
    <col min="49" max="49" width="2.140625" style="444" customWidth="1"/>
    <col min="50" max="16384" width="12.7109375" style="444"/>
  </cols>
  <sheetData>
    <row r="1" spans="1:87" ht="6.75" customHeight="1" thickBot="1" x14ac:dyDescent="0.25"/>
    <row r="2" spans="1:87" ht="21" customHeight="1" x14ac:dyDescent="0.2">
      <c r="A2" s="444" t="s">
        <v>128</v>
      </c>
      <c r="B2" s="444" t="s">
        <v>129</v>
      </c>
      <c r="C2" s="444" t="s">
        <v>130</v>
      </c>
      <c r="D2" s="444" t="s">
        <v>131</v>
      </c>
      <c r="E2" s="444" t="s">
        <v>132</v>
      </c>
      <c r="H2" s="445"/>
      <c r="I2" s="805"/>
      <c r="J2" s="806"/>
      <c r="K2" s="806"/>
      <c r="L2" s="806"/>
      <c r="M2" s="806"/>
      <c r="N2" s="806"/>
      <c r="O2" s="806"/>
      <c r="P2" s="806"/>
      <c r="Q2" s="806"/>
      <c r="R2" s="806"/>
      <c r="S2" s="811" t="s">
        <v>6</v>
      </c>
      <c r="T2" s="812"/>
      <c r="U2" s="812"/>
      <c r="V2" s="812"/>
      <c r="W2" s="812"/>
      <c r="X2" s="812"/>
      <c r="Y2" s="812"/>
      <c r="Z2" s="812"/>
      <c r="AA2" s="812"/>
      <c r="AB2" s="812"/>
      <c r="AC2" s="812"/>
      <c r="AD2" s="812"/>
      <c r="AE2" s="812"/>
      <c r="AF2" s="812"/>
      <c r="AG2" s="812"/>
      <c r="AH2" s="812"/>
      <c r="AI2" s="812"/>
      <c r="AJ2" s="812"/>
      <c r="AK2" s="812"/>
      <c r="AL2" s="812"/>
      <c r="AM2" s="812"/>
      <c r="AN2" s="812"/>
      <c r="AO2" s="812"/>
      <c r="AP2" s="812"/>
      <c r="AQ2" s="812"/>
      <c r="AR2" s="813"/>
      <c r="AS2" s="446"/>
    </row>
    <row r="3" spans="1:87" ht="21.75" customHeight="1" thickBot="1" x14ac:dyDescent="0.25">
      <c r="A3" s="447">
        <f>U19</f>
        <v>0</v>
      </c>
      <c r="B3" s="448" t="e">
        <f>+LOG(A3)</f>
        <v>#NUM!</v>
      </c>
      <c r="C3" s="114" t="e">
        <f>U25</f>
        <v>#DIV/0!</v>
      </c>
      <c r="D3" s="449" t="e">
        <f>+LOG(A3)</f>
        <v>#NUM!</v>
      </c>
      <c r="E3" s="114" t="e">
        <f>+$C$7*D3+$C$8</f>
        <v>#DIV/0!</v>
      </c>
      <c r="F3" s="450"/>
      <c r="H3" s="445"/>
      <c r="I3" s="807"/>
      <c r="J3" s="808"/>
      <c r="K3" s="808"/>
      <c r="L3" s="808"/>
      <c r="M3" s="808"/>
      <c r="N3" s="808"/>
      <c r="O3" s="808"/>
      <c r="P3" s="808"/>
      <c r="Q3" s="808"/>
      <c r="R3" s="808"/>
      <c r="S3" s="814"/>
      <c r="T3" s="815"/>
      <c r="U3" s="815"/>
      <c r="V3" s="815"/>
      <c r="W3" s="815"/>
      <c r="X3" s="815"/>
      <c r="Y3" s="815"/>
      <c r="Z3" s="815"/>
      <c r="AA3" s="815"/>
      <c r="AB3" s="815"/>
      <c r="AC3" s="815"/>
      <c r="AD3" s="815"/>
      <c r="AE3" s="815"/>
      <c r="AF3" s="815"/>
      <c r="AG3" s="815"/>
      <c r="AH3" s="815"/>
      <c r="AI3" s="815"/>
      <c r="AJ3" s="815"/>
      <c r="AK3" s="815"/>
      <c r="AL3" s="815"/>
      <c r="AM3" s="815"/>
      <c r="AN3" s="815"/>
      <c r="AO3" s="815"/>
      <c r="AP3" s="815"/>
      <c r="AQ3" s="815"/>
      <c r="AR3" s="816"/>
      <c r="AS3" s="446"/>
    </row>
    <row r="4" spans="1:87" ht="21.75" customHeight="1" x14ac:dyDescent="0.2">
      <c r="A4" s="447">
        <f>X19</f>
        <v>0</v>
      </c>
      <c r="B4" s="448" t="e">
        <f>+LOG(A4)</f>
        <v>#NUM!</v>
      </c>
      <c r="C4" s="114" t="e">
        <f>X25</f>
        <v>#DIV/0!</v>
      </c>
      <c r="D4" s="449" t="e">
        <f>+LOG(A4)</f>
        <v>#NUM!</v>
      </c>
      <c r="E4" s="114" t="e">
        <f>+$C$7*D4+$C$8</f>
        <v>#DIV/0!</v>
      </c>
      <c r="F4" s="450"/>
      <c r="H4" s="445"/>
      <c r="I4" s="807"/>
      <c r="J4" s="808"/>
      <c r="K4" s="808"/>
      <c r="L4" s="808"/>
      <c r="M4" s="808"/>
      <c r="N4" s="808"/>
      <c r="O4" s="808"/>
      <c r="P4" s="808"/>
      <c r="Q4" s="808"/>
      <c r="R4" s="808"/>
      <c r="S4" s="811" t="s">
        <v>133</v>
      </c>
      <c r="T4" s="812"/>
      <c r="U4" s="812"/>
      <c r="V4" s="812"/>
      <c r="W4" s="812"/>
      <c r="X4" s="812"/>
      <c r="Y4" s="812"/>
      <c r="Z4" s="812"/>
      <c r="AA4" s="812"/>
      <c r="AB4" s="812"/>
      <c r="AC4" s="812"/>
      <c r="AD4" s="812"/>
      <c r="AE4" s="812"/>
      <c r="AF4" s="812"/>
      <c r="AG4" s="812"/>
      <c r="AH4" s="812"/>
      <c r="AI4" s="812"/>
      <c r="AJ4" s="812"/>
      <c r="AK4" s="812"/>
      <c r="AL4" s="812"/>
      <c r="AM4" s="812"/>
      <c r="AN4" s="812"/>
      <c r="AO4" s="812"/>
      <c r="AP4" s="812"/>
      <c r="AQ4" s="812"/>
      <c r="AR4" s="813"/>
      <c r="AS4" s="446"/>
      <c r="AV4" s="451"/>
      <c r="AW4" s="451"/>
      <c r="AX4" s="451"/>
      <c r="AY4" s="451"/>
      <c r="AZ4" s="451"/>
      <c r="BA4" s="451"/>
      <c r="BB4" s="451"/>
      <c r="BC4" s="451"/>
      <c r="BD4" s="451"/>
      <c r="BE4" s="451"/>
      <c r="BF4" s="451"/>
      <c r="BG4" s="451"/>
      <c r="BH4" s="451"/>
      <c r="BI4" s="451"/>
      <c r="BJ4" s="451"/>
      <c r="BK4" s="451"/>
      <c r="BL4" s="451"/>
      <c r="BM4" s="451"/>
      <c r="BN4" s="451"/>
      <c r="BO4" s="451"/>
    </row>
    <row r="5" spans="1:87" ht="18" customHeight="1" thickBot="1" x14ac:dyDescent="0.25">
      <c r="A5" s="447">
        <f>AA19</f>
        <v>0</v>
      </c>
      <c r="B5" s="448" t="e">
        <f>+LOG(A5)</f>
        <v>#NUM!</v>
      </c>
      <c r="C5" s="114" t="e">
        <f>AA25</f>
        <v>#DIV/0!</v>
      </c>
      <c r="D5" s="449" t="e">
        <f>+LOG(A5)</f>
        <v>#NUM!</v>
      </c>
      <c r="E5" s="114" t="e">
        <f>+$C$7*D5+$C$8</f>
        <v>#DIV/0!</v>
      </c>
      <c r="F5" s="450"/>
      <c r="H5" s="445"/>
      <c r="I5" s="809"/>
      <c r="J5" s="810"/>
      <c r="K5" s="810"/>
      <c r="L5" s="810"/>
      <c r="M5" s="810"/>
      <c r="N5" s="810"/>
      <c r="O5" s="810"/>
      <c r="P5" s="810"/>
      <c r="Q5" s="810"/>
      <c r="R5" s="810"/>
      <c r="S5" s="817"/>
      <c r="T5" s="818"/>
      <c r="U5" s="818"/>
      <c r="V5" s="818"/>
      <c r="W5" s="818"/>
      <c r="X5" s="818"/>
      <c r="Y5" s="818"/>
      <c r="Z5" s="818"/>
      <c r="AA5" s="818"/>
      <c r="AB5" s="818"/>
      <c r="AC5" s="818"/>
      <c r="AD5" s="818"/>
      <c r="AE5" s="818"/>
      <c r="AF5" s="818"/>
      <c r="AG5" s="818"/>
      <c r="AH5" s="818"/>
      <c r="AI5" s="818"/>
      <c r="AJ5" s="818"/>
      <c r="AK5" s="818"/>
      <c r="AL5" s="818"/>
      <c r="AM5" s="818"/>
      <c r="AN5" s="818"/>
      <c r="AO5" s="818"/>
      <c r="AP5" s="818"/>
      <c r="AQ5" s="818"/>
      <c r="AR5" s="819"/>
      <c r="AS5" s="446"/>
      <c r="AV5" s="452"/>
      <c r="AW5" s="452"/>
      <c r="AX5" s="452"/>
      <c r="AY5" s="452"/>
      <c r="AZ5" s="452"/>
      <c r="BA5" s="452"/>
      <c r="BB5" s="452"/>
      <c r="BC5" s="452"/>
      <c r="BD5" s="452"/>
      <c r="BE5" s="452"/>
      <c r="BF5" s="452"/>
      <c r="BG5" s="452"/>
      <c r="BH5" s="452"/>
      <c r="BI5" s="452"/>
      <c r="BJ5" s="452"/>
      <c r="BK5" s="452"/>
      <c r="BL5" s="452"/>
      <c r="BM5" s="452"/>
      <c r="BN5" s="452"/>
      <c r="BO5" s="452"/>
      <c r="BP5" s="452"/>
    </row>
    <row r="6" spans="1:87" ht="6" customHeight="1" x14ac:dyDescent="0.2">
      <c r="A6" s="453"/>
      <c r="B6" s="448"/>
      <c r="C6" s="114"/>
      <c r="D6" s="449"/>
      <c r="E6" s="114"/>
      <c r="H6" s="445"/>
      <c r="I6" s="454"/>
      <c r="J6" s="454"/>
      <c r="K6" s="454"/>
      <c r="L6" s="454"/>
      <c r="M6" s="454"/>
      <c r="N6" s="454"/>
      <c r="O6" s="454"/>
      <c r="P6" s="454"/>
      <c r="Q6" s="454"/>
      <c r="R6" s="454"/>
      <c r="S6" s="454"/>
      <c r="T6" s="454"/>
      <c r="U6" s="454"/>
      <c r="V6" s="454"/>
      <c r="W6" s="454"/>
      <c r="X6" s="454"/>
      <c r="Y6" s="454"/>
      <c r="Z6" s="454"/>
      <c r="AA6" s="454"/>
      <c r="AB6" s="454"/>
      <c r="AC6" s="454"/>
      <c r="AD6" s="454"/>
      <c r="AE6" s="454"/>
      <c r="AF6" s="454"/>
      <c r="AG6" s="454"/>
      <c r="AH6" s="454"/>
      <c r="AI6" s="454"/>
      <c r="AJ6" s="454"/>
      <c r="AK6" s="454"/>
      <c r="AL6" s="454"/>
      <c r="AM6" s="455"/>
      <c r="AN6" s="455"/>
      <c r="AO6" s="455"/>
      <c r="AP6" s="455"/>
      <c r="AQ6" s="455"/>
      <c r="AR6" s="455"/>
      <c r="AS6" s="446"/>
      <c r="AV6" s="452"/>
      <c r="AW6" s="452"/>
      <c r="AX6" s="820"/>
      <c r="AY6" s="820"/>
      <c r="AZ6" s="820"/>
      <c r="BA6" s="456"/>
      <c r="BB6" s="821">
        <f>[3]Clasificación!BB5</f>
        <v>0</v>
      </c>
      <c r="BC6" s="821"/>
      <c r="BD6" s="821"/>
      <c r="BE6" s="821"/>
      <c r="BF6" s="821"/>
      <c r="BG6" s="821"/>
      <c r="BH6" s="821"/>
      <c r="BI6" s="821"/>
      <c r="BJ6" s="821"/>
      <c r="BK6" s="821"/>
      <c r="BL6" s="821"/>
      <c r="BM6" s="821"/>
      <c r="BN6" s="821"/>
      <c r="BO6" s="821"/>
      <c r="BP6" s="821"/>
      <c r="BQ6" s="821"/>
      <c r="BR6" s="821"/>
      <c r="BS6" s="821"/>
      <c r="BT6" s="821"/>
      <c r="BU6" s="821"/>
      <c r="BV6" s="821"/>
      <c r="BW6" s="821"/>
      <c r="BX6" s="821"/>
      <c r="BY6" s="821"/>
      <c r="BZ6" s="821"/>
      <c r="CA6" s="821"/>
      <c r="CB6" s="821"/>
      <c r="CC6" s="821"/>
    </row>
    <row r="7" spans="1:87" ht="14.25" customHeight="1" x14ac:dyDescent="0.2">
      <c r="A7" s="457" t="s">
        <v>134</v>
      </c>
      <c r="C7" s="458" t="e">
        <f>SLOPE(C3:C6,B3:B6)</f>
        <v>#DIV/0!</v>
      </c>
      <c r="D7" s="444" t="s">
        <v>135</v>
      </c>
      <c r="E7" s="444" t="s">
        <v>131</v>
      </c>
      <c r="F7" s="444" t="s">
        <v>132</v>
      </c>
      <c r="H7" s="445"/>
      <c r="I7" s="822" t="s">
        <v>0</v>
      </c>
      <c r="J7" s="823"/>
      <c r="K7" s="823"/>
      <c r="L7" s="823"/>
      <c r="M7" s="824"/>
      <c r="N7" s="825">
        <f>Granulometría!E4</f>
        <v>0</v>
      </c>
      <c r="O7" s="826"/>
      <c r="P7" s="826"/>
      <c r="Q7" s="826"/>
      <c r="R7" s="826"/>
      <c r="S7" s="826"/>
      <c r="T7" s="826"/>
      <c r="U7" s="826"/>
      <c r="V7" s="826"/>
      <c r="W7" s="826"/>
      <c r="X7" s="826"/>
      <c r="Y7" s="826"/>
      <c r="Z7" s="826"/>
      <c r="AA7" s="826"/>
      <c r="AB7" s="826"/>
      <c r="AC7" s="826"/>
      <c r="AD7" s="826"/>
      <c r="AE7" s="826"/>
      <c r="AF7" s="826"/>
      <c r="AG7" s="826"/>
      <c r="AH7" s="826"/>
      <c r="AI7" s="826"/>
      <c r="AJ7" s="826"/>
      <c r="AK7" s="826"/>
      <c r="AL7" s="826"/>
      <c r="AM7" s="826"/>
      <c r="AN7" s="826"/>
      <c r="AO7" s="826"/>
      <c r="AP7" s="826"/>
      <c r="AQ7" s="826"/>
      <c r="AR7" s="827"/>
      <c r="AS7" s="446"/>
      <c r="AV7" s="452"/>
      <c r="AW7" s="452"/>
      <c r="AX7" s="452"/>
      <c r="AY7" s="452"/>
      <c r="AZ7" s="452"/>
      <c r="BA7" s="452"/>
      <c r="BB7" s="452"/>
      <c r="BC7" s="452"/>
      <c r="BD7" s="452"/>
      <c r="BE7" s="452"/>
      <c r="BF7" s="452"/>
      <c r="BG7" s="452"/>
      <c r="BH7" s="452"/>
      <c r="BI7" s="452"/>
      <c r="BJ7" s="452"/>
      <c r="BK7" s="452"/>
      <c r="BL7" s="452"/>
      <c r="BM7" s="452"/>
      <c r="BN7" s="452"/>
      <c r="BO7" s="452"/>
      <c r="BP7" s="452"/>
    </row>
    <row r="8" spans="1:87" ht="18" customHeight="1" x14ac:dyDescent="0.2">
      <c r="A8" s="457" t="s">
        <v>136</v>
      </c>
      <c r="C8" s="458" t="e">
        <f>INTERCEPT(C3:C6,B3:B6)</f>
        <v>#DIV/0!</v>
      </c>
      <c r="D8" s="444">
        <v>25</v>
      </c>
      <c r="E8" s="448">
        <f>+LOG(D8)</f>
        <v>1.3979400086720377</v>
      </c>
      <c r="F8" s="114" t="e">
        <f>+C7*E8+C8</f>
        <v>#DIV/0!</v>
      </c>
      <c r="H8" s="445"/>
      <c r="I8" s="766"/>
      <c r="J8" s="767"/>
      <c r="K8" s="767"/>
      <c r="L8" s="767"/>
      <c r="M8" s="768"/>
      <c r="N8" s="772"/>
      <c r="O8" s="773"/>
      <c r="P8" s="773"/>
      <c r="Q8" s="773"/>
      <c r="R8" s="773"/>
      <c r="S8" s="773"/>
      <c r="T8" s="773"/>
      <c r="U8" s="773"/>
      <c r="V8" s="773"/>
      <c r="W8" s="773"/>
      <c r="X8" s="773"/>
      <c r="Y8" s="773"/>
      <c r="Z8" s="773"/>
      <c r="AA8" s="773"/>
      <c r="AB8" s="773"/>
      <c r="AC8" s="773"/>
      <c r="AD8" s="773"/>
      <c r="AE8" s="773"/>
      <c r="AF8" s="773"/>
      <c r="AG8" s="773"/>
      <c r="AH8" s="773"/>
      <c r="AI8" s="773"/>
      <c r="AJ8" s="773"/>
      <c r="AK8" s="773"/>
      <c r="AL8" s="773"/>
      <c r="AM8" s="773"/>
      <c r="AN8" s="773"/>
      <c r="AO8" s="773"/>
      <c r="AP8" s="773"/>
      <c r="AQ8" s="773"/>
      <c r="AR8" s="774"/>
      <c r="AS8" s="446"/>
      <c r="AV8" s="828"/>
      <c r="AW8" s="828"/>
      <c r="AX8" s="828"/>
      <c r="AY8" s="828"/>
      <c r="AZ8" s="828"/>
      <c r="BA8" s="828"/>
      <c r="BB8" s="828"/>
      <c r="BC8" s="828"/>
      <c r="BD8" s="828"/>
      <c r="BE8" s="828"/>
      <c r="BF8" s="828"/>
      <c r="BG8" s="828"/>
      <c r="BH8" s="828"/>
      <c r="BI8" s="828"/>
      <c r="BJ8" s="828"/>
      <c r="BK8" s="828"/>
      <c r="BL8" s="828"/>
      <c r="BM8" s="828"/>
      <c r="BN8" s="828"/>
      <c r="BO8" s="828"/>
      <c r="BP8" s="828"/>
      <c r="BQ8" s="828"/>
      <c r="BR8" s="828"/>
      <c r="BS8" s="828"/>
      <c r="BT8" s="828"/>
      <c r="BU8" s="828"/>
      <c r="BV8" s="828"/>
      <c r="BW8" s="828"/>
      <c r="BX8" s="828"/>
      <c r="BY8" s="828"/>
      <c r="BZ8" s="828"/>
      <c r="CA8" s="828"/>
      <c r="CB8" s="828"/>
      <c r="CC8" s="828"/>
      <c r="CD8" s="828"/>
      <c r="CE8" s="828"/>
      <c r="CF8" s="828"/>
      <c r="CG8" s="828"/>
      <c r="CH8" s="828"/>
      <c r="CI8" s="828"/>
    </row>
    <row r="9" spans="1:87" ht="15" customHeight="1" x14ac:dyDescent="0.2">
      <c r="A9" s="444" t="s">
        <v>137</v>
      </c>
      <c r="C9" s="459" t="e">
        <f>CORREL(C3:C6,B3:B6)</f>
        <v>#DIV/0!</v>
      </c>
      <c r="H9" s="445"/>
      <c r="I9" s="763" t="s">
        <v>7</v>
      </c>
      <c r="J9" s="764"/>
      <c r="K9" s="764"/>
      <c r="L9" s="764"/>
      <c r="M9" s="765"/>
      <c r="N9" s="769">
        <f>Granulometría!E5</f>
        <v>0</v>
      </c>
      <c r="O9" s="770"/>
      <c r="P9" s="770"/>
      <c r="Q9" s="770"/>
      <c r="R9" s="770"/>
      <c r="S9" s="770"/>
      <c r="T9" s="770"/>
      <c r="U9" s="770"/>
      <c r="V9" s="770"/>
      <c r="W9" s="770"/>
      <c r="X9" s="770"/>
      <c r="Y9" s="770"/>
      <c r="Z9" s="770"/>
      <c r="AA9" s="770"/>
      <c r="AB9" s="770"/>
      <c r="AC9" s="770"/>
      <c r="AD9" s="770"/>
      <c r="AE9" s="770"/>
      <c r="AF9" s="770"/>
      <c r="AG9" s="770"/>
      <c r="AH9" s="770"/>
      <c r="AI9" s="770"/>
      <c r="AJ9" s="770"/>
      <c r="AK9" s="770"/>
      <c r="AL9" s="770"/>
      <c r="AM9" s="770"/>
      <c r="AN9" s="770"/>
      <c r="AO9" s="770"/>
      <c r="AP9" s="770"/>
      <c r="AQ9" s="770"/>
      <c r="AR9" s="771"/>
      <c r="AS9" s="446"/>
      <c r="AV9" s="828"/>
      <c r="AW9" s="828"/>
      <c r="AX9" s="828"/>
      <c r="AY9" s="828"/>
      <c r="AZ9" s="828"/>
      <c r="BA9" s="828"/>
      <c r="BB9" s="828"/>
      <c r="BC9" s="828"/>
      <c r="BD9" s="828"/>
      <c r="BE9" s="828"/>
      <c r="BF9" s="828"/>
      <c r="BG9" s="828"/>
      <c r="BH9" s="828"/>
      <c r="BI9" s="828"/>
      <c r="BJ9" s="828"/>
      <c r="BK9" s="828"/>
      <c r="BL9" s="828"/>
      <c r="BM9" s="828"/>
      <c r="BN9" s="828"/>
      <c r="BO9" s="828"/>
      <c r="BP9" s="828"/>
      <c r="BQ9" s="828"/>
      <c r="BR9" s="828"/>
      <c r="BS9" s="828"/>
      <c r="BT9" s="828"/>
      <c r="BU9" s="828"/>
      <c r="BV9" s="828"/>
      <c r="BW9" s="828"/>
      <c r="BX9" s="828"/>
      <c r="BY9" s="828"/>
      <c r="BZ9" s="828"/>
      <c r="CA9" s="828"/>
      <c r="CB9" s="828"/>
      <c r="CC9" s="828"/>
      <c r="CD9" s="828"/>
      <c r="CE9" s="828"/>
      <c r="CF9" s="828"/>
      <c r="CG9" s="828"/>
      <c r="CH9" s="828"/>
      <c r="CI9" s="828"/>
    </row>
    <row r="10" spans="1:87" ht="7.5" customHeight="1" x14ac:dyDescent="0.2">
      <c r="D10" s="444" t="s">
        <v>135</v>
      </c>
      <c r="E10" s="444" t="s">
        <v>132</v>
      </c>
      <c r="H10" s="445"/>
      <c r="I10" s="766"/>
      <c r="J10" s="767"/>
      <c r="K10" s="767"/>
      <c r="L10" s="767"/>
      <c r="M10" s="768"/>
      <c r="N10" s="772"/>
      <c r="O10" s="773"/>
      <c r="P10" s="773"/>
      <c r="Q10" s="773"/>
      <c r="R10" s="773"/>
      <c r="S10" s="773"/>
      <c r="T10" s="773"/>
      <c r="U10" s="773"/>
      <c r="V10" s="773"/>
      <c r="W10" s="773"/>
      <c r="X10" s="773"/>
      <c r="Y10" s="773"/>
      <c r="Z10" s="773"/>
      <c r="AA10" s="773"/>
      <c r="AB10" s="773"/>
      <c r="AC10" s="773"/>
      <c r="AD10" s="773"/>
      <c r="AE10" s="773"/>
      <c r="AF10" s="773"/>
      <c r="AG10" s="773"/>
      <c r="AH10" s="773"/>
      <c r="AI10" s="773"/>
      <c r="AJ10" s="773"/>
      <c r="AK10" s="773"/>
      <c r="AL10" s="773"/>
      <c r="AM10" s="773"/>
      <c r="AN10" s="773"/>
      <c r="AO10" s="773"/>
      <c r="AP10" s="773"/>
      <c r="AQ10" s="773"/>
      <c r="AR10" s="774"/>
      <c r="AS10" s="446"/>
      <c r="AV10" s="828"/>
      <c r="AW10" s="828"/>
      <c r="AX10" s="828"/>
      <c r="AY10" s="828"/>
      <c r="AZ10" s="828"/>
      <c r="BA10" s="828"/>
      <c r="BB10" s="828"/>
      <c r="BC10" s="828"/>
      <c r="BD10" s="828"/>
      <c r="BE10" s="828"/>
      <c r="BF10" s="828"/>
      <c r="BG10" s="828"/>
      <c r="BH10" s="828"/>
      <c r="BI10" s="828"/>
      <c r="BJ10" s="828"/>
      <c r="BK10" s="828"/>
      <c r="BL10" s="828"/>
      <c r="BM10" s="828"/>
      <c r="BN10" s="828"/>
      <c r="BO10" s="828"/>
      <c r="BP10" s="828"/>
      <c r="BQ10" s="828"/>
      <c r="BR10" s="828"/>
      <c r="BS10" s="828"/>
      <c r="BT10" s="828"/>
      <c r="BU10" s="828"/>
      <c r="BV10" s="828"/>
      <c r="BW10" s="828"/>
      <c r="BX10" s="828"/>
      <c r="BY10" s="828"/>
      <c r="BZ10" s="828"/>
      <c r="CA10" s="828"/>
      <c r="CB10" s="828"/>
      <c r="CC10" s="828"/>
      <c r="CD10" s="828"/>
      <c r="CE10" s="828"/>
      <c r="CF10" s="828"/>
      <c r="CG10" s="828"/>
      <c r="CH10" s="828"/>
      <c r="CI10" s="828"/>
    </row>
    <row r="11" spans="1:87" ht="11.25" customHeight="1" thickBot="1" x14ac:dyDescent="0.25">
      <c r="D11" s="444">
        <v>25</v>
      </c>
      <c r="E11" s="460"/>
      <c r="H11" s="445"/>
      <c r="I11" s="775" t="s">
        <v>8</v>
      </c>
      <c r="J11" s="776"/>
      <c r="K11" s="776"/>
      <c r="L11" s="776"/>
      <c r="M11" s="776"/>
      <c r="N11" s="777"/>
      <c r="O11" s="781">
        <f>Granulometría!M6</f>
        <v>0</v>
      </c>
      <c r="P11" s="782"/>
      <c r="Q11" s="782"/>
      <c r="R11" s="782"/>
      <c r="S11" s="782"/>
      <c r="T11" s="782"/>
      <c r="U11" s="782"/>
      <c r="V11" s="782"/>
      <c r="W11" s="782"/>
      <c r="X11" s="782"/>
      <c r="Y11" s="782"/>
      <c r="Z11" s="782"/>
      <c r="AA11" s="782"/>
      <c r="AB11" s="782"/>
      <c r="AC11" s="782"/>
      <c r="AD11" s="782"/>
      <c r="AE11" s="782"/>
      <c r="AF11" s="782"/>
      <c r="AG11" s="782"/>
      <c r="AH11" s="782"/>
      <c r="AI11" s="782"/>
      <c r="AJ11" s="782"/>
      <c r="AK11" s="782"/>
      <c r="AL11" s="782"/>
      <c r="AM11" s="782"/>
      <c r="AN11" s="782"/>
      <c r="AO11" s="782"/>
      <c r="AP11" s="782"/>
      <c r="AQ11" s="782"/>
      <c r="AR11" s="783"/>
      <c r="AS11" s="446"/>
      <c r="AW11" s="461"/>
      <c r="AX11" s="461"/>
      <c r="AY11" s="461"/>
      <c r="AZ11" s="461"/>
      <c r="BA11" s="461"/>
      <c r="BB11" s="461"/>
      <c r="BC11" s="461"/>
    </row>
    <row r="12" spans="1:87" ht="13.5" customHeight="1" thickBot="1" x14ac:dyDescent="0.25">
      <c r="D12" s="444">
        <v>25</v>
      </c>
      <c r="E12" s="462" t="e">
        <f>+F8</f>
        <v>#DIV/0!</v>
      </c>
      <c r="H12" s="445"/>
      <c r="I12" s="778"/>
      <c r="J12" s="779"/>
      <c r="K12" s="779"/>
      <c r="L12" s="779"/>
      <c r="M12" s="779"/>
      <c r="N12" s="780"/>
      <c r="O12" s="784"/>
      <c r="P12" s="785"/>
      <c r="Q12" s="785"/>
      <c r="R12" s="785"/>
      <c r="S12" s="785"/>
      <c r="T12" s="785"/>
      <c r="U12" s="785"/>
      <c r="V12" s="785"/>
      <c r="W12" s="785"/>
      <c r="X12" s="785"/>
      <c r="Y12" s="785"/>
      <c r="Z12" s="785"/>
      <c r="AA12" s="785"/>
      <c r="AB12" s="785"/>
      <c r="AC12" s="785"/>
      <c r="AD12" s="785"/>
      <c r="AE12" s="785"/>
      <c r="AF12" s="785"/>
      <c r="AG12" s="785"/>
      <c r="AH12" s="785"/>
      <c r="AI12" s="785"/>
      <c r="AJ12" s="785"/>
      <c r="AK12" s="785"/>
      <c r="AL12" s="785"/>
      <c r="AM12" s="785"/>
      <c r="AN12" s="785"/>
      <c r="AO12" s="785"/>
      <c r="AP12" s="785"/>
      <c r="AQ12" s="785"/>
      <c r="AR12" s="786"/>
      <c r="AS12" s="446"/>
      <c r="AW12" s="461"/>
      <c r="AX12" s="461"/>
      <c r="AY12" s="461"/>
      <c r="AZ12" s="461"/>
      <c r="BA12" s="461"/>
      <c r="BB12" s="461"/>
      <c r="BC12" s="461"/>
    </row>
    <row r="13" spans="1:87" ht="12" customHeight="1" x14ac:dyDescent="0.2">
      <c r="H13" s="445"/>
      <c r="I13" s="787" t="s">
        <v>9</v>
      </c>
      <c r="J13" s="788"/>
      <c r="K13" s="788"/>
      <c r="L13" s="788"/>
      <c r="M13" s="788"/>
      <c r="N13" s="788"/>
      <c r="O13" s="791"/>
      <c r="P13" s="791"/>
      <c r="Q13" s="791"/>
      <c r="R13" s="791"/>
      <c r="S13" s="791"/>
      <c r="T13" s="792"/>
      <c r="U13" s="795" t="s">
        <v>10</v>
      </c>
      <c r="V13" s="796"/>
      <c r="W13" s="796"/>
      <c r="X13" s="796"/>
      <c r="Y13" s="796"/>
      <c r="Z13" s="796"/>
      <c r="AA13" s="799"/>
      <c r="AB13" s="799"/>
      <c r="AC13" s="799"/>
      <c r="AD13" s="799"/>
      <c r="AE13" s="799"/>
      <c r="AF13" s="800"/>
      <c r="AG13" s="795" t="s">
        <v>11</v>
      </c>
      <c r="AH13" s="796"/>
      <c r="AI13" s="796"/>
      <c r="AJ13" s="782" t="str">
        <f>[4]Granulometría!V8</f>
        <v>ING MICHELLE ZELAYA</v>
      </c>
      <c r="AK13" s="782"/>
      <c r="AL13" s="782"/>
      <c r="AM13" s="782"/>
      <c r="AN13" s="782"/>
      <c r="AO13" s="782"/>
      <c r="AP13" s="782"/>
      <c r="AQ13" s="782"/>
      <c r="AR13" s="783"/>
      <c r="AS13" s="446"/>
    </row>
    <row r="14" spans="1:87" ht="12.75" customHeight="1" x14ac:dyDescent="0.2">
      <c r="D14" s="444" t="s">
        <v>135</v>
      </c>
      <c r="E14" s="444" t="s">
        <v>132</v>
      </c>
      <c r="H14" s="445"/>
      <c r="I14" s="789"/>
      <c r="J14" s="790"/>
      <c r="K14" s="790"/>
      <c r="L14" s="790"/>
      <c r="M14" s="790"/>
      <c r="N14" s="790"/>
      <c r="O14" s="793"/>
      <c r="P14" s="793"/>
      <c r="Q14" s="793"/>
      <c r="R14" s="793"/>
      <c r="S14" s="793"/>
      <c r="T14" s="794"/>
      <c r="U14" s="797"/>
      <c r="V14" s="798"/>
      <c r="W14" s="798"/>
      <c r="X14" s="798"/>
      <c r="Y14" s="798"/>
      <c r="Z14" s="798"/>
      <c r="AA14" s="801"/>
      <c r="AB14" s="801"/>
      <c r="AC14" s="801"/>
      <c r="AD14" s="801"/>
      <c r="AE14" s="801"/>
      <c r="AF14" s="802"/>
      <c r="AG14" s="797"/>
      <c r="AH14" s="798"/>
      <c r="AI14" s="798"/>
      <c r="AJ14" s="803"/>
      <c r="AK14" s="803"/>
      <c r="AL14" s="803"/>
      <c r="AM14" s="803"/>
      <c r="AN14" s="803"/>
      <c r="AO14" s="803"/>
      <c r="AP14" s="803"/>
      <c r="AQ14" s="803"/>
      <c r="AR14" s="804"/>
      <c r="AS14" s="446"/>
    </row>
    <row r="15" spans="1:87" ht="7.5" customHeight="1" x14ac:dyDescent="0.2">
      <c r="D15" s="463">
        <v>1.1066237839776663</v>
      </c>
      <c r="E15" s="464" t="e">
        <f>+F8</f>
        <v>#DIV/0!</v>
      </c>
      <c r="H15" s="445"/>
      <c r="I15" s="454"/>
      <c r="J15" s="454"/>
      <c r="K15" s="454"/>
      <c r="L15" s="454"/>
      <c r="M15" s="454"/>
      <c r="N15" s="454"/>
      <c r="O15" s="454"/>
      <c r="P15" s="454"/>
      <c r="Q15" s="454"/>
      <c r="R15" s="454"/>
      <c r="S15" s="454"/>
      <c r="T15" s="454"/>
      <c r="U15" s="454"/>
      <c r="V15" s="454"/>
      <c r="W15" s="454"/>
      <c r="X15" s="454"/>
      <c r="Y15" s="454"/>
      <c r="Z15" s="454"/>
      <c r="AA15" s="454"/>
      <c r="AB15" s="454"/>
      <c r="AC15" s="454"/>
      <c r="AD15" s="454"/>
      <c r="AE15" s="454"/>
      <c r="AF15" s="454"/>
      <c r="AG15" s="754"/>
      <c r="AH15" s="754"/>
      <c r="AI15" s="754"/>
      <c r="AJ15" s="754"/>
      <c r="AK15" s="755"/>
      <c r="AL15" s="755"/>
      <c r="AM15" s="755"/>
      <c r="AN15" s="755"/>
      <c r="AO15" s="755"/>
      <c r="AP15" s="755"/>
      <c r="AQ15" s="755"/>
      <c r="AR15" s="755"/>
      <c r="AS15" s="446"/>
    </row>
    <row r="16" spans="1:87" ht="14.25" customHeight="1" x14ac:dyDescent="0.2">
      <c r="D16" s="444">
        <v>25</v>
      </c>
      <c r="E16" s="464" t="e">
        <f>+E15</f>
        <v>#DIV/0!</v>
      </c>
      <c r="H16" s="445"/>
      <c r="I16" s="756" t="s">
        <v>138</v>
      </c>
      <c r="J16" s="757"/>
      <c r="K16" s="757"/>
      <c r="L16" s="757"/>
      <c r="M16" s="757"/>
      <c r="N16" s="757"/>
      <c r="O16" s="757"/>
      <c r="P16" s="757"/>
      <c r="Q16" s="757"/>
      <c r="R16" s="757"/>
      <c r="S16" s="757"/>
      <c r="T16" s="758"/>
      <c r="U16" s="759" t="s">
        <v>139</v>
      </c>
      <c r="V16" s="760"/>
      <c r="W16" s="760"/>
      <c r="X16" s="760"/>
      <c r="Y16" s="760"/>
      <c r="Z16" s="760"/>
      <c r="AA16" s="760"/>
      <c r="AB16" s="760"/>
      <c r="AC16" s="760"/>
      <c r="AD16" s="760"/>
      <c r="AE16" s="760"/>
      <c r="AF16" s="761"/>
      <c r="AG16" s="759" t="s">
        <v>140</v>
      </c>
      <c r="AH16" s="760"/>
      <c r="AI16" s="760"/>
      <c r="AJ16" s="760"/>
      <c r="AK16" s="760"/>
      <c r="AL16" s="760"/>
      <c r="AM16" s="760"/>
      <c r="AN16" s="760"/>
      <c r="AO16" s="760"/>
      <c r="AP16" s="760"/>
      <c r="AQ16" s="760"/>
      <c r="AR16" s="761"/>
      <c r="AS16" s="446"/>
      <c r="AV16" s="762"/>
      <c r="AW16" s="762"/>
      <c r="AX16" s="762"/>
      <c r="AY16" s="762"/>
    </row>
    <row r="17" spans="8:53" ht="15.95" customHeight="1" x14ac:dyDescent="0.2">
      <c r="H17" s="445"/>
      <c r="I17" s="749" t="s">
        <v>141</v>
      </c>
      <c r="J17" s="750"/>
      <c r="K17" s="750"/>
      <c r="L17" s="750"/>
      <c r="M17" s="750"/>
      <c r="N17" s="750"/>
      <c r="O17" s="750"/>
      <c r="P17" s="750"/>
      <c r="Q17" s="750"/>
      <c r="R17" s="750"/>
      <c r="S17" s="750"/>
      <c r="T17" s="751"/>
      <c r="U17" s="752"/>
      <c r="V17" s="743"/>
      <c r="W17" s="743"/>
      <c r="X17" s="743"/>
      <c r="Y17" s="743"/>
      <c r="Z17" s="743"/>
      <c r="AA17" s="743"/>
      <c r="AB17" s="743"/>
      <c r="AC17" s="743"/>
      <c r="AD17" s="743"/>
      <c r="AE17" s="743"/>
      <c r="AF17" s="753"/>
      <c r="AG17" s="752"/>
      <c r="AH17" s="743"/>
      <c r="AI17" s="743"/>
      <c r="AJ17" s="743"/>
      <c r="AK17" s="743"/>
      <c r="AL17" s="743"/>
      <c r="AM17" s="744"/>
      <c r="AN17" s="745"/>
      <c r="AO17" s="746"/>
      <c r="AP17" s="744"/>
      <c r="AQ17" s="745"/>
      <c r="AR17" s="747"/>
      <c r="AS17" s="446"/>
    </row>
    <row r="18" spans="8:53" ht="15.95" customHeight="1" x14ac:dyDescent="0.2">
      <c r="H18" s="445"/>
      <c r="I18" s="703" t="s">
        <v>142</v>
      </c>
      <c r="J18" s="704"/>
      <c r="K18" s="704"/>
      <c r="L18" s="704"/>
      <c r="M18" s="704"/>
      <c r="N18" s="704"/>
      <c r="O18" s="704"/>
      <c r="P18" s="704"/>
      <c r="Q18" s="704"/>
      <c r="R18" s="704"/>
      <c r="S18" s="704"/>
      <c r="T18" s="705"/>
      <c r="U18" s="748"/>
      <c r="V18" s="738"/>
      <c r="W18" s="738"/>
      <c r="X18" s="738"/>
      <c r="Y18" s="738"/>
      <c r="Z18" s="738"/>
      <c r="AA18" s="738"/>
      <c r="AB18" s="738"/>
      <c r="AC18" s="738"/>
      <c r="AD18" s="738"/>
      <c r="AE18" s="738"/>
      <c r="AF18" s="739"/>
      <c r="AG18" s="748"/>
      <c r="AH18" s="738"/>
      <c r="AI18" s="738"/>
      <c r="AJ18" s="738"/>
      <c r="AK18" s="738"/>
      <c r="AL18" s="738"/>
      <c r="AM18" s="727"/>
      <c r="AN18" s="728"/>
      <c r="AO18" s="729"/>
      <c r="AP18" s="727"/>
      <c r="AQ18" s="728"/>
      <c r="AR18" s="730"/>
      <c r="AS18" s="446"/>
    </row>
    <row r="19" spans="8:53" ht="15.95" customHeight="1" x14ac:dyDescent="0.2">
      <c r="H19" s="445"/>
      <c r="I19" s="731" t="s">
        <v>143</v>
      </c>
      <c r="J19" s="732"/>
      <c r="K19" s="732"/>
      <c r="L19" s="732"/>
      <c r="M19" s="732"/>
      <c r="N19" s="732"/>
      <c r="O19" s="732"/>
      <c r="P19" s="732"/>
      <c r="Q19" s="732"/>
      <c r="R19" s="732"/>
      <c r="S19" s="732"/>
      <c r="T19" s="733"/>
      <c r="U19" s="734"/>
      <c r="V19" s="735"/>
      <c r="W19" s="736"/>
      <c r="X19" s="737"/>
      <c r="Y19" s="735"/>
      <c r="Z19" s="736"/>
      <c r="AA19" s="737"/>
      <c r="AB19" s="735"/>
      <c r="AC19" s="736"/>
      <c r="AD19" s="738"/>
      <c r="AE19" s="738"/>
      <c r="AF19" s="739"/>
      <c r="AG19" s="740"/>
      <c r="AH19" s="741"/>
      <c r="AI19" s="741"/>
      <c r="AJ19" s="741"/>
      <c r="AK19" s="741"/>
      <c r="AL19" s="741"/>
      <c r="AM19" s="724"/>
      <c r="AN19" s="725"/>
      <c r="AO19" s="742"/>
      <c r="AP19" s="724"/>
      <c r="AQ19" s="725"/>
      <c r="AR19" s="726"/>
      <c r="AS19" s="446"/>
      <c r="AY19" s="465">
        <v>21.73</v>
      </c>
      <c r="AZ19" s="465"/>
      <c r="BA19" s="465"/>
    </row>
    <row r="20" spans="8:53" ht="15.95" customHeight="1" x14ac:dyDescent="0.2">
      <c r="H20" s="445"/>
      <c r="I20" s="703" t="s">
        <v>144</v>
      </c>
      <c r="J20" s="704"/>
      <c r="K20" s="704"/>
      <c r="L20" s="704"/>
      <c r="M20" s="704"/>
      <c r="N20" s="704"/>
      <c r="O20" s="704"/>
      <c r="P20" s="704"/>
      <c r="Q20" s="704"/>
      <c r="R20" s="704"/>
      <c r="S20" s="704"/>
      <c r="T20" s="705"/>
      <c r="U20" s="718"/>
      <c r="V20" s="719"/>
      <c r="W20" s="719"/>
      <c r="X20" s="719"/>
      <c r="Y20" s="719"/>
      <c r="Z20" s="719"/>
      <c r="AA20" s="719"/>
      <c r="AB20" s="719"/>
      <c r="AC20" s="719"/>
      <c r="AD20" s="719"/>
      <c r="AE20" s="719"/>
      <c r="AF20" s="720"/>
      <c r="AG20" s="718"/>
      <c r="AH20" s="719"/>
      <c r="AI20" s="719"/>
      <c r="AJ20" s="719"/>
      <c r="AK20" s="719"/>
      <c r="AL20" s="719"/>
      <c r="AM20" s="700"/>
      <c r="AN20" s="701"/>
      <c r="AO20" s="721"/>
      <c r="AP20" s="700"/>
      <c r="AQ20" s="701"/>
      <c r="AR20" s="702"/>
      <c r="AS20" s="446"/>
      <c r="AY20" s="465">
        <v>18.670000000000002</v>
      </c>
      <c r="AZ20" s="465"/>
      <c r="BA20" s="465"/>
    </row>
    <row r="21" spans="8:53" ht="15.95" customHeight="1" x14ac:dyDescent="0.2">
      <c r="H21" s="445"/>
      <c r="I21" s="703" t="s">
        <v>145</v>
      </c>
      <c r="J21" s="704"/>
      <c r="K21" s="704"/>
      <c r="L21" s="704"/>
      <c r="M21" s="704"/>
      <c r="N21" s="704"/>
      <c r="O21" s="704"/>
      <c r="P21" s="704"/>
      <c r="Q21" s="704"/>
      <c r="R21" s="704"/>
      <c r="S21" s="704"/>
      <c r="T21" s="705"/>
      <c r="U21" s="718"/>
      <c r="V21" s="719"/>
      <c r="W21" s="719"/>
      <c r="X21" s="719"/>
      <c r="Y21" s="719"/>
      <c r="Z21" s="719"/>
      <c r="AA21" s="719"/>
      <c r="AB21" s="719"/>
      <c r="AC21" s="719"/>
      <c r="AD21" s="719"/>
      <c r="AE21" s="719"/>
      <c r="AF21" s="720"/>
      <c r="AG21" s="718"/>
      <c r="AH21" s="719"/>
      <c r="AI21" s="719"/>
      <c r="AJ21" s="719"/>
      <c r="AK21" s="719"/>
      <c r="AL21" s="719"/>
      <c r="AM21" s="700"/>
      <c r="AN21" s="701"/>
      <c r="AO21" s="721"/>
      <c r="AP21" s="700"/>
      <c r="AQ21" s="701"/>
      <c r="AR21" s="702"/>
      <c r="AS21" s="446"/>
    </row>
    <row r="22" spans="8:53" ht="15.95" customHeight="1" x14ac:dyDescent="0.2">
      <c r="H22" s="445"/>
      <c r="I22" s="703" t="s">
        <v>146</v>
      </c>
      <c r="J22" s="704"/>
      <c r="K22" s="704"/>
      <c r="L22" s="704"/>
      <c r="M22" s="704"/>
      <c r="N22" s="704"/>
      <c r="O22" s="704"/>
      <c r="P22" s="704"/>
      <c r="Q22" s="704"/>
      <c r="R22" s="704"/>
      <c r="S22" s="704"/>
      <c r="T22" s="705"/>
      <c r="U22" s="722">
        <f>U20-U21</f>
        <v>0</v>
      </c>
      <c r="V22" s="707"/>
      <c r="W22" s="707"/>
      <c r="X22" s="723">
        <f>X20-X21</f>
        <v>0</v>
      </c>
      <c r="Y22" s="707"/>
      <c r="Z22" s="707"/>
      <c r="AA22" s="723">
        <f>AA20-AA21</f>
        <v>0</v>
      </c>
      <c r="AB22" s="707"/>
      <c r="AC22" s="707"/>
      <c r="AD22" s="723"/>
      <c r="AE22" s="707"/>
      <c r="AF22" s="708"/>
      <c r="AG22" s="723">
        <f>+AG20-AG21</f>
        <v>0</v>
      </c>
      <c r="AH22" s="707"/>
      <c r="AI22" s="707"/>
      <c r="AJ22" s="723">
        <f>+AJ20-AJ21</f>
        <v>0</v>
      </c>
      <c r="AK22" s="707"/>
      <c r="AL22" s="707"/>
      <c r="AM22" s="712"/>
      <c r="AN22" s="713"/>
      <c r="AO22" s="714"/>
      <c r="AP22" s="715"/>
      <c r="AQ22" s="716"/>
      <c r="AR22" s="717"/>
      <c r="AS22" s="446"/>
    </row>
    <row r="23" spans="8:53" ht="15.95" customHeight="1" x14ac:dyDescent="0.2">
      <c r="H23" s="445"/>
      <c r="I23" s="703" t="s">
        <v>147</v>
      </c>
      <c r="J23" s="704"/>
      <c r="K23" s="704"/>
      <c r="L23" s="704"/>
      <c r="M23" s="704"/>
      <c r="N23" s="704"/>
      <c r="O23" s="704"/>
      <c r="P23" s="704"/>
      <c r="Q23" s="704"/>
      <c r="R23" s="704"/>
      <c r="S23" s="704"/>
      <c r="T23" s="705"/>
      <c r="U23" s="718"/>
      <c r="V23" s="719"/>
      <c r="W23" s="719"/>
      <c r="X23" s="719"/>
      <c r="Y23" s="719"/>
      <c r="Z23" s="719"/>
      <c r="AA23" s="719"/>
      <c r="AB23" s="719"/>
      <c r="AC23" s="719"/>
      <c r="AD23" s="719"/>
      <c r="AE23" s="719"/>
      <c r="AF23" s="720"/>
      <c r="AG23" s="718"/>
      <c r="AH23" s="719"/>
      <c r="AI23" s="719"/>
      <c r="AJ23" s="719"/>
      <c r="AK23" s="719"/>
      <c r="AL23" s="719"/>
      <c r="AM23" s="700"/>
      <c r="AN23" s="701"/>
      <c r="AO23" s="721"/>
      <c r="AP23" s="700"/>
      <c r="AQ23" s="701"/>
      <c r="AR23" s="702"/>
      <c r="AS23" s="446"/>
    </row>
    <row r="24" spans="8:53" ht="15.95" customHeight="1" x14ac:dyDescent="0.2">
      <c r="H24" s="445"/>
      <c r="I24" s="703" t="s">
        <v>148</v>
      </c>
      <c r="J24" s="704"/>
      <c r="K24" s="704"/>
      <c r="L24" s="704"/>
      <c r="M24" s="704"/>
      <c r="N24" s="704"/>
      <c r="O24" s="704"/>
      <c r="P24" s="704"/>
      <c r="Q24" s="704"/>
      <c r="R24" s="704"/>
      <c r="S24" s="704"/>
      <c r="T24" s="705"/>
      <c r="U24" s="706">
        <f>U21-U23</f>
        <v>0</v>
      </c>
      <c r="V24" s="707"/>
      <c r="W24" s="707"/>
      <c r="X24" s="707">
        <f>X21-X23</f>
        <v>0</v>
      </c>
      <c r="Y24" s="707"/>
      <c r="Z24" s="707"/>
      <c r="AA24" s="707">
        <f>AA21-AA23</f>
        <v>0</v>
      </c>
      <c r="AB24" s="707"/>
      <c r="AC24" s="707"/>
      <c r="AD24" s="707"/>
      <c r="AE24" s="707"/>
      <c r="AF24" s="708"/>
      <c r="AG24" s="707">
        <f>+AG21-AG23</f>
        <v>0</v>
      </c>
      <c r="AH24" s="707"/>
      <c r="AI24" s="707"/>
      <c r="AJ24" s="707">
        <f>+AJ21-AJ23</f>
        <v>0</v>
      </c>
      <c r="AK24" s="707"/>
      <c r="AL24" s="707"/>
      <c r="AM24" s="709"/>
      <c r="AN24" s="710"/>
      <c r="AO24" s="711"/>
      <c r="AP24" s="700"/>
      <c r="AQ24" s="701"/>
      <c r="AR24" s="702"/>
      <c r="AS24" s="446"/>
    </row>
    <row r="25" spans="8:53" ht="15.95" customHeight="1" x14ac:dyDescent="0.2">
      <c r="H25" s="445"/>
      <c r="I25" s="694" t="s">
        <v>149</v>
      </c>
      <c r="J25" s="695"/>
      <c r="K25" s="695"/>
      <c r="L25" s="695"/>
      <c r="M25" s="695"/>
      <c r="N25" s="695"/>
      <c r="O25" s="695"/>
      <c r="P25" s="695"/>
      <c r="Q25" s="695"/>
      <c r="R25" s="695"/>
      <c r="S25" s="695"/>
      <c r="T25" s="696"/>
      <c r="U25" s="697" t="e">
        <f>U22/U24</f>
        <v>#DIV/0!</v>
      </c>
      <c r="V25" s="684"/>
      <c r="W25" s="684"/>
      <c r="X25" s="684" t="e">
        <f>X22/X24</f>
        <v>#DIV/0!</v>
      </c>
      <c r="Y25" s="684"/>
      <c r="Z25" s="684"/>
      <c r="AA25" s="684" t="e">
        <f>AA22/AA24</f>
        <v>#DIV/0!</v>
      </c>
      <c r="AB25" s="684"/>
      <c r="AC25" s="684"/>
      <c r="AD25" s="698"/>
      <c r="AE25" s="698"/>
      <c r="AF25" s="699"/>
      <c r="AG25" s="684" t="e">
        <f>+AG22/AG24</f>
        <v>#DIV/0!</v>
      </c>
      <c r="AH25" s="684"/>
      <c r="AI25" s="684"/>
      <c r="AJ25" s="684" t="e">
        <f>+AJ22/AJ24</f>
        <v>#DIV/0!</v>
      </c>
      <c r="AK25" s="684"/>
      <c r="AL25" s="684"/>
      <c r="AM25" s="685"/>
      <c r="AN25" s="686"/>
      <c r="AO25" s="687"/>
      <c r="AP25" s="688"/>
      <c r="AQ25" s="689"/>
      <c r="AR25" s="690"/>
      <c r="AS25" s="446"/>
    </row>
    <row r="26" spans="8:53" ht="15" customHeight="1" x14ac:dyDescent="0.2">
      <c r="H26" s="445"/>
      <c r="I26" s="466"/>
      <c r="J26" s="466"/>
      <c r="K26" s="466"/>
      <c r="L26" s="466"/>
      <c r="M26" s="466"/>
      <c r="N26" s="466"/>
      <c r="O26" s="466"/>
      <c r="P26" s="466"/>
      <c r="Q26" s="466"/>
      <c r="R26" s="466"/>
      <c r="S26" s="466"/>
      <c r="T26" s="466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446"/>
    </row>
    <row r="27" spans="8:53" ht="12.75" customHeight="1" x14ac:dyDescent="0.2">
      <c r="H27" s="445"/>
      <c r="I27" s="454"/>
      <c r="J27" s="454"/>
      <c r="K27" s="454"/>
      <c r="L27" s="454"/>
      <c r="M27" s="454"/>
      <c r="N27" s="454"/>
      <c r="O27" s="454"/>
      <c r="P27" s="454"/>
      <c r="Q27" s="454"/>
      <c r="R27" s="454"/>
      <c r="S27" s="454"/>
      <c r="T27" s="454"/>
      <c r="U27" s="454"/>
      <c r="V27" s="454"/>
      <c r="W27" s="454"/>
      <c r="X27" s="454"/>
      <c r="Y27" s="454"/>
      <c r="Z27" s="454"/>
      <c r="AA27" s="454"/>
      <c r="AB27" s="454"/>
      <c r="AC27" s="454"/>
      <c r="AD27" s="454"/>
      <c r="AE27" s="454"/>
      <c r="AF27" s="454"/>
      <c r="AG27" s="454"/>
      <c r="AH27" s="454"/>
      <c r="AI27" s="454"/>
      <c r="AJ27" s="454"/>
      <c r="AK27" s="454"/>
      <c r="AL27" s="454"/>
      <c r="AM27" s="454"/>
      <c r="AN27" s="454"/>
      <c r="AO27" s="454"/>
      <c r="AP27" s="454"/>
      <c r="AQ27" s="454"/>
      <c r="AR27" s="454"/>
      <c r="AS27" s="446"/>
    </row>
    <row r="28" spans="8:53" ht="12" customHeight="1" x14ac:dyDescent="0.2">
      <c r="H28" s="445"/>
      <c r="I28" s="454"/>
      <c r="J28" s="454"/>
      <c r="K28" s="454"/>
      <c r="L28" s="454"/>
      <c r="M28" s="454"/>
      <c r="N28" s="454"/>
      <c r="O28" s="454"/>
      <c r="P28" s="454"/>
      <c r="Q28" s="454"/>
      <c r="R28" s="454"/>
      <c r="S28" s="454"/>
      <c r="T28" s="454"/>
      <c r="U28" s="454"/>
      <c r="V28" s="454"/>
      <c r="W28" s="454"/>
      <c r="X28" s="454"/>
      <c r="Y28" s="454"/>
      <c r="Z28" s="454"/>
      <c r="AA28" s="454"/>
      <c r="AB28" s="454"/>
      <c r="AC28" s="454"/>
      <c r="AD28" s="454"/>
      <c r="AE28" s="454"/>
      <c r="AF28" s="454"/>
      <c r="AG28" s="454"/>
      <c r="AH28" s="454"/>
      <c r="AI28" s="454"/>
      <c r="AJ28" s="467"/>
      <c r="AK28" s="467"/>
      <c r="AL28" s="467"/>
      <c r="AM28" s="467"/>
      <c r="AN28" s="467"/>
      <c r="AO28" s="467"/>
      <c r="AP28" s="467"/>
      <c r="AQ28" s="467"/>
      <c r="AR28" s="467"/>
      <c r="AS28" s="446"/>
    </row>
    <row r="29" spans="8:53" ht="12" customHeight="1" x14ac:dyDescent="0.2">
      <c r="H29" s="445"/>
      <c r="I29" s="454"/>
      <c r="J29" s="454"/>
      <c r="K29" s="454"/>
      <c r="L29" s="454"/>
      <c r="M29" s="454"/>
      <c r="N29" s="454"/>
      <c r="O29" s="454"/>
      <c r="P29" s="454"/>
      <c r="Q29" s="454"/>
      <c r="R29" s="454"/>
      <c r="S29" s="454"/>
      <c r="T29" s="454"/>
      <c r="U29" s="454"/>
      <c r="V29" s="454"/>
      <c r="W29" s="454"/>
      <c r="X29" s="454"/>
      <c r="Y29" s="454"/>
      <c r="Z29" s="454"/>
      <c r="AA29" s="454"/>
      <c r="AB29" s="454"/>
      <c r="AC29" s="454"/>
      <c r="AD29" s="454"/>
      <c r="AE29" s="454"/>
      <c r="AF29" s="454"/>
      <c r="AG29" s="454"/>
      <c r="AH29" s="454"/>
      <c r="AI29" s="454"/>
      <c r="AJ29" s="468"/>
      <c r="AK29" s="468"/>
      <c r="AL29" s="468"/>
      <c r="AM29" s="468"/>
      <c r="AN29" s="468"/>
      <c r="AO29" s="468"/>
      <c r="AP29" s="468"/>
      <c r="AQ29" s="468"/>
      <c r="AR29" s="468"/>
      <c r="AS29" s="446"/>
    </row>
    <row r="30" spans="8:53" ht="10.5" customHeight="1" x14ac:dyDescent="0.2">
      <c r="H30" s="445"/>
      <c r="I30" s="454"/>
      <c r="J30" s="454"/>
      <c r="K30" s="454"/>
      <c r="L30" s="454"/>
      <c r="M30" s="454"/>
      <c r="N30" s="454"/>
      <c r="O30" s="454"/>
      <c r="P30" s="454"/>
      <c r="Q30" s="454"/>
      <c r="R30" s="454"/>
      <c r="S30" s="454"/>
      <c r="T30" s="454"/>
      <c r="U30" s="454"/>
      <c r="V30" s="454"/>
      <c r="W30" s="454"/>
      <c r="X30" s="454"/>
      <c r="Y30" s="454"/>
      <c r="Z30" s="454"/>
      <c r="AA30" s="454"/>
      <c r="AB30" s="454"/>
      <c r="AC30" s="454"/>
      <c r="AD30" s="454"/>
      <c r="AE30" s="454"/>
      <c r="AF30" s="454"/>
      <c r="AG30" s="454"/>
      <c r="AH30" s="454"/>
      <c r="AI30" s="454"/>
      <c r="AJ30" s="468"/>
      <c r="AK30" s="468"/>
      <c r="AL30" s="468"/>
      <c r="AM30" s="468"/>
      <c r="AN30" s="468"/>
      <c r="AO30" s="468"/>
      <c r="AP30" s="468"/>
      <c r="AQ30" s="468"/>
      <c r="AR30" s="468"/>
      <c r="AS30" s="446"/>
    </row>
    <row r="31" spans="8:53" ht="11.25" customHeight="1" x14ac:dyDescent="0.2">
      <c r="H31" s="445"/>
      <c r="I31" s="454"/>
      <c r="J31" s="454"/>
      <c r="K31" s="454"/>
      <c r="L31" s="454"/>
      <c r="M31" s="454"/>
      <c r="N31" s="454"/>
      <c r="O31" s="454"/>
      <c r="P31" s="454"/>
      <c r="Q31" s="454"/>
      <c r="R31" s="454"/>
      <c r="S31" s="454"/>
      <c r="T31" s="454"/>
      <c r="U31" s="454"/>
      <c r="V31" s="454"/>
      <c r="W31" s="454"/>
      <c r="X31" s="454"/>
      <c r="Y31" s="454"/>
      <c r="Z31" s="454"/>
      <c r="AA31" s="454"/>
      <c r="AB31" s="454"/>
      <c r="AC31" s="454"/>
      <c r="AD31" s="454"/>
      <c r="AE31" s="454"/>
      <c r="AF31" s="454"/>
      <c r="AG31" s="454"/>
      <c r="AH31" s="454"/>
      <c r="AI31" s="454"/>
      <c r="AJ31" s="469"/>
      <c r="AK31" s="469"/>
      <c r="AL31" s="469"/>
      <c r="AM31" s="469"/>
      <c r="AN31" s="469"/>
      <c r="AO31" s="469"/>
      <c r="AP31" s="469"/>
      <c r="AQ31" s="469"/>
      <c r="AR31" s="469"/>
      <c r="AS31" s="446"/>
    </row>
    <row r="32" spans="8:53" ht="12" customHeight="1" x14ac:dyDescent="0.2">
      <c r="H32" s="445"/>
      <c r="I32" s="454"/>
      <c r="J32" s="454"/>
      <c r="K32" s="454"/>
      <c r="L32" s="454"/>
      <c r="M32" s="454"/>
      <c r="N32" s="454"/>
      <c r="O32" s="454"/>
      <c r="P32" s="454"/>
      <c r="Q32" s="454"/>
      <c r="R32" s="454"/>
      <c r="S32" s="454"/>
      <c r="T32" s="454"/>
      <c r="U32" s="454"/>
      <c r="V32" s="454"/>
      <c r="W32" s="454"/>
      <c r="X32" s="454"/>
      <c r="Y32" s="454"/>
      <c r="Z32" s="454"/>
      <c r="AA32" s="454"/>
      <c r="AB32" s="454"/>
      <c r="AC32" s="454"/>
      <c r="AD32" s="454"/>
      <c r="AE32" s="454"/>
      <c r="AF32" s="454"/>
      <c r="AG32" s="454"/>
      <c r="AH32" s="454"/>
      <c r="AI32" s="454"/>
      <c r="AJ32" s="469"/>
      <c r="AK32" s="469"/>
      <c r="AL32" s="469"/>
      <c r="AM32" s="469"/>
      <c r="AN32" s="469"/>
      <c r="AO32" s="469"/>
      <c r="AP32" s="469"/>
      <c r="AQ32" s="469"/>
      <c r="AR32" s="469"/>
      <c r="AS32" s="446"/>
    </row>
    <row r="33" spans="8:53" ht="9.75" customHeight="1" x14ac:dyDescent="0.2">
      <c r="H33" s="445"/>
      <c r="I33" s="454"/>
      <c r="J33" s="454"/>
      <c r="K33" s="454"/>
      <c r="L33" s="454"/>
      <c r="M33" s="454"/>
      <c r="N33" s="454"/>
      <c r="O33" s="454"/>
      <c r="P33" s="454"/>
      <c r="Q33" s="454"/>
      <c r="R33" s="454"/>
      <c r="S33" s="454"/>
      <c r="T33" s="454"/>
      <c r="U33" s="454"/>
      <c r="V33" s="454"/>
      <c r="W33" s="454"/>
      <c r="X33" s="454"/>
      <c r="Y33" s="454"/>
      <c r="Z33" s="454"/>
      <c r="AA33" s="454"/>
      <c r="AB33" s="454"/>
      <c r="AC33" s="454"/>
      <c r="AD33" s="454"/>
      <c r="AE33" s="454"/>
      <c r="AF33" s="454"/>
      <c r="AG33" s="454"/>
      <c r="AH33" s="454"/>
      <c r="AI33" s="454"/>
      <c r="AJ33" s="469"/>
      <c r="AK33" s="469"/>
      <c r="AL33" s="469"/>
      <c r="AM33" s="469"/>
      <c r="AN33" s="469"/>
      <c r="AO33" s="469"/>
      <c r="AP33" s="469"/>
      <c r="AQ33" s="469"/>
      <c r="AR33" s="469"/>
      <c r="AS33" s="446"/>
      <c r="BA33" s="444" t="s">
        <v>150</v>
      </c>
    </row>
    <row r="34" spans="8:53" ht="11.25" customHeight="1" x14ac:dyDescent="0.2">
      <c r="H34" s="445"/>
      <c r="I34" s="454"/>
      <c r="J34" s="454"/>
      <c r="K34" s="454"/>
      <c r="L34" s="454"/>
      <c r="M34" s="454"/>
      <c r="N34" s="454"/>
      <c r="O34" s="454"/>
      <c r="P34" s="454"/>
      <c r="Q34" s="454"/>
      <c r="R34" s="454"/>
      <c r="S34" s="454"/>
      <c r="T34" s="454"/>
      <c r="U34" s="454"/>
      <c r="V34" s="454"/>
      <c r="W34" s="454"/>
      <c r="X34" s="454"/>
      <c r="Y34" s="454"/>
      <c r="Z34" s="454"/>
      <c r="AA34" s="454"/>
      <c r="AB34" s="454"/>
      <c r="AC34" s="454"/>
      <c r="AD34" s="454"/>
      <c r="AE34" s="454"/>
      <c r="AF34" s="454"/>
      <c r="AG34" s="454"/>
      <c r="AH34" s="454"/>
      <c r="AI34" s="454"/>
      <c r="AJ34" s="470"/>
      <c r="AK34" s="470"/>
      <c r="AL34" s="470"/>
      <c r="AM34" s="470"/>
      <c r="AN34" s="470"/>
      <c r="AO34" s="470"/>
      <c r="AP34" s="470"/>
      <c r="AQ34" s="470"/>
      <c r="AR34" s="470"/>
      <c r="AS34" s="446"/>
    </row>
    <row r="35" spans="8:53" ht="11.25" customHeight="1" x14ac:dyDescent="0.2">
      <c r="H35" s="445"/>
      <c r="I35" s="454"/>
      <c r="J35" s="454"/>
      <c r="K35" s="454"/>
      <c r="L35" s="454"/>
      <c r="M35" s="454"/>
      <c r="N35" s="454"/>
      <c r="O35" s="454"/>
      <c r="P35" s="454"/>
      <c r="Q35" s="454"/>
      <c r="R35" s="454"/>
      <c r="S35" s="454"/>
      <c r="T35" s="454"/>
      <c r="U35" s="454"/>
      <c r="V35" s="454"/>
      <c r="W35" s="454"/>
      <c r="X35" s="454"/>
      <c r="Y35" s="454"/>
      <c r="Z35" s="454"/>
      <c r="AA35" s="454"/>
      <c r="AB35" s="454"/>
      <c r="AC35" s="454"/>
      <c r="AD35" s="454"/>
      <c r="AE35" s="454"/>
      <c r="AF35" s="454"/>
      <c r="AG35" s="454"/>
      <c r="AH35" s="454"/>
      <c r="AI35" s="454"/>
      <c r="AJ35" s="468"/>
      <c r="AK35" s="468"/>
      <c r="AL35" s="468"/>
      <c r="AM35" s="468"/>
      <c r="AN35" s="468"/>
      <c r="AO35" s="468"/>
      <c r="AP35" s="468"/>
      <c r="AQ35" s="468"/>
      <c r="AR35" s="468"/>
      <c r="AS35" s="446"/>
    </row>
    <row r="36" spans="8:53" ht="14.25" customHeight="1" x14ac:dyDescent="0.2">
      <c r="H36" s="445"/>
      <c r="I36" s="454"/>
      <c r="J36" s="454"/>
      <c r="K36" s="454"/>
      <c r="L36" s="454"/>
      <c r="M36" s="454"/>
      <c r="N36" s="454"/>
      <c r="O36" s="454"/>
      <c r="P36" s="454"/>
      <c r="Q36" s="454"/>
      <c r="R36" s="454"/>
      <c r="S36" s="454"/>
      <c r="T36" s="454"/>
      <c r="U36" s="454"/>
      <c r="V36" s="454"/>
      <c r="W36" s="454"/>
      <c r="X36" s="454"/>
      <c r="Y36" s="454"/>
      <c r="Z36" s="454"/>
      <c r="AA36" s="454"/>
      <c r="AB36" s="454"/>
      <c r="AC36" s="454"/>
      <c r="AD36" s="454"/>
      <c r="AE36" s="454"/>
      <c r="AF36" s="454"/>
      <c r="AG36" s="454"/>
      <c r="AH36" s="454"/>
      <c r="AI36" s="454"/>
      <c r="AJ36" s="468"/>
      <c r="AK36" s="468"/>
      <c r="AL36" s="468"/>
      <c r="AM36" s="468"/>
      <c r="AN36" s="468"/>
      <c r="AO36" s="468"/>
      <c r="AP36" s="468"/>
      <c r="AQ36" s="468"/>
      <c r="AR36" s="468"/>
      <c r="AS36" s="446"/>
    </row>
    <row r="37" spans="8:53" ht="14.25" customHeight="1" x14ac:dyDescent="0.2">
      <c r="H37" s="445"/>
      <c r="I37" s="454"/>
      <c r="J37" s="454"/>
      <c r="K37" s="454"/>
      <c r="L37" s="454"/>
      <c r="M37" s="454"/>
      <c r="N37" s="454"/>
      <c r="O37" s="454"/>
      <c r="P37" s="454"/>
      <c r="Q37" s="454"/>
      <c r="R37" s="454"/>
      <c r="S37" s="454"/>
      <c r="T37" s="454"/>
      <c r="U37" s="454"/>
      <c r="V37" s="454"/>
      <c r="W37" s="454"/>
      <c r="X37" s="454"/>
      <c r="Y37" s="454"/>
      <c r="Z37" s="454"/>
      <c r="AA37" s="454"/>
      <c r="AB37" s="454"/>
      <c r="AC37" s="454"/>
      <c r="AD37" s="454"/>
      <c r="AE37" s="454"/>
      <c r="AF37" s="454"/>
      <c r="AG37" s="454"/>
      <c r="AH37" s="454"/>
      <c r="AI37" s="454"/>
      <c r="AJ37" s="471"/>
      <c r="AK37" s="471"/>
      <c r="AL37" s="471"/>
      <c r="AM37" s="471"/>
      <c r="AN37" s="471"/>
      <c r="AO37" s="471"/>
      <c r="AP37" s="471"/>
      <c r="AQ37" s="471"/>
      <c r="AR37" s="471"/>
      <c r="AS37" s="446"/>
    </row>
    <row r="38" spans="8:53" ht="13.5" customHeight="1" x14ac:dyDescent="0.2">
      <c r="H38" s="445"/>
      <c r="I38" s="454"/>
      <c r="J38" s="454"/>
      <c r="K38" s="454"/>
      <c r="L38" s="454"/>
      <c r="M38" s="454"/>
      <c r="N38" s="454"/>
      <c r="O38" s="454"/>
      <c r="P38" s="454"/>
      <c r="Q38" s="454"/>
      <c r="R38" s="454"/>
      <c r="S38" s="454"/>
      <c r="T38" s="454"/>
      <c r="U38" s="454"/>
      <c r="V38" s="454"/>
      <c r="W38" s="454"/>
      <c r="X38" s="454"/>
      <c r="Y38" s="454"/>
      <c r="Z38" s="454"/>
      <c r="AA38" s="454"/>
      <c r="AB38" s="454"/>
      <c r="AC38" s="454"/>
      <c r="AD38" s="454"/>
      <c r="AE38" s="454"/>
      <c r="AF38" s="454"/>
      <c r="AG38" s="454"/>
      <c r="AH38" s="454"/>
      <c r="AI38" s="454"/>
      <c r="AJ38" s="471"/>
      <c r="AK38" s="471"/>
      <c r="AL38" s="471"/>
      <c r="AM38" s="471"/>
      <c r="AN38" s="471"/>
      <c r="AO38" s="471"/>
      <c r="AP38" s="471"/>
      <c r="AQ38" s="471"/>
      <c r="AR38" s="471"/>
      <c r="AS38" s="446"/>
    </row>
    <row r="39" spans="8:53" ht="9.75" customHeight="1" x14ac:dyDescent="0.2">
      <c r="H39" s="445"/>
      <c r="I39" s="454"/>
      <c r="J39" s="454"/>
      <c r="K39" s="454"/>
      <c r="L39" s="454"/>
      <c r="M39" s="454"/>
      <c r="N39" s="454"/>
      <c r="O39" s="454"/>
      <c r="P39" s="454"/>
      <c r="Q39" s="454"/>
      <c r="R39" s="454"/>
      <c r="S39" s="454"/>
      <c r="T39" s="454"/>
      <c r="U39" s="454"/>
      <c r="V39" s="454"/>
      <c r="W39" s="454"/>
      <c r="X39" s="454"/>
      <c r="Y39" s="454"/>
      <c r="Z39" s="454"/>
      <c r="AA39" s="454"/>
      <c r="AB39" s="454"/>
      <c r="AC39" s="454"/>
      <c r="AD39" s="454"/>
      <c r="AE39" s="454"/>
      <c r="AF39" s="454"/>
      <c r="AG39" s="454"/>
      <c r="AH39" s="454"/>
      <c r="AI39" s="454"/>
      <c r="AJ39" s="471"/>
      <c r="AK39" s="471"/>
      <c r="AL39" s="471"/>
      <c r="AM39" s="471"/>
      <c r="AN39" s="471"/>
      <c r="AO39" s="471"/>
      <c r="AP39" s="471"/>
      <c r="AQ39" s="471"/>
      <c r="AR39" s="471"/>
      <c r="AS39" s="446"/>
    </row>
    <row r="40" spans="8:53" ht="12" customHeight="1" x14ac:dyDescent="0.2">
      <c r="H40" s="445"/>
      <c r="I40" s="454"/>
      <c r="J40" s="454"/>
      <c r="K40" s="454"/>
      <c r="L40" s="454"/>
      <c r="M40" s="454"/>
      <c r="N40" s="454"/>
      <c r="O40" s="454"/>
      <c r="P40" s="454"/>
      <c r="Q40" s="454"/>
      <c r="R40" s="454"/>
      <c r="S40" s="454"/>
      <c r="T40" s="454"/>
      <c r="U40" s="454"/>
      <c r="V40" s="454"/>
      <c r="W40" s="454"/>
      <c r="X40" s="454"/>
      <c r="Y40" s="454"/>
      <c r="Z40" s="454"/>
      <c r="AA40" s="454"/>
      <c r="AB40" s="454"/>
      <c r="AC40" s="454"/>
      <c r="AD40" s="454"/>
      <c r="AE40" s="454"/>
      <c r="AF40" s="454"/>
      <c r="AG40" s="454"/>
      <c r="AH40" s="454"/>
      <c r="AI40" s="454"/>
      <c r="AJ40" s="470"/>
      <c r="AK40" s="470"/>
      <c r="AL40" s="470"/>
      <c r="AM40" s="470"/>
      <c r="AN40" s="470"/>
      <c r="AO40" s="470"/>
      <c r="AP40" s="470"/>
      <c r="AQ40" s="470"/>
      <c r="AR40" s="470"/>
      <c r="AS40" s="446"/>
    </row>
    <row r="41" spans="8:53" ht="12" customHeight="1" x14ac:dyDescent="0.2">
      <c r="H41" s="445"/>
      <c r="I41" s="454"/>
      <c r="J41" s="454"/>
      <c r="K41" s="454"/>
      <c r="L41" s="454"/>
      <c r="M41" s="454"/>
      <c r="N41" s="454"/>
      <c r="O41" s="454"/>
      <c r="P41" s="454"/>
      <c r="Q41" s="454"/>
      <c r="R41" s="454"/>
      <c r="S41" s="454"/>
      <c r="T41" s="454"/>
      <c r="U41" s="454"/>
      <c r="V41" s="454"/>
      <c r="W41" s="454"/>
      <c r="X41" s="454"/>
      <c r="Y41" s="454"/>
      <c r="Z41" s="454"/>
      <c r="AA41" s="454"/>
      <c r="AB41" s="454"/>
      <c r="AC41" s="454"/>
      <c r="AD41" s="454"/>
      <c r="AE41" s="454"/>
      <c r="AF41" s="454"/>
      <c r="AG41" s="454"/>
      <c r="AH41" s="454"/>
      <c r="AI41" s="454"/>
      <c r="AJ41" s="468"/>
      <c r="AK41" s="468"/>
      <c r="AL41" s="468"/>
      <c r="AM41" s="468"/>
      <c r="AN41" s="468"/>
      <c r="AO41" s="468"/>
      <c r="AP41" s="468"/>
      <c r="AQ41" s="468"/>
      <c r="AR41" s="468"/>
      <c r="AS41" s="446"/>
      <c r="AV41" s="444" t="s">
        <v>53</v>
      </c>
    </row>
    <row r="42" spans="8:53" ht="11.25" customHeight="1" x14ac:dyDescent="0.2">
      <c r="H42" s="445"/>
      <c r="I42" s="454"/>
      <c r="J42" s="454"/>
      <c r="K42" s="454"/>
      <c r="L42" s="454"/>
      <c r="M42" s="454"/>
      <c r="N42" s="454"/>
      <c r="O42" s="454"/>
      <c r="P42" s="454"/>
      <c r="Q42" s="454"/>
      <c r="R42" s="454"/>
      <c r="S42" s="454"/>
      <c r="T42" s="454"/>
      <c r="U42" s="454"/>
      <c r="V42" s="454"/>
      <c r="W42" s="454"/>
      <c r="X42" s="454"/>
      <c r="Y42" s="454"/>
      <c r="Z42" s="454"/>
      <c r="AA42" s="454"/>
      <c r="AB42" s="454"/>
      <c r="AC42" s="454"/>
      <c r="AD42" s="454"/>
      <c r="AE42" s="454"/>
      <c r="AF42" s="454"/>
      <c r="AG42" s="454"/>
      <c r="AH42" s="454"/>
      <c r="AI42" s="454"/>
      <c r="AJ42" s="468"/>
      <c r="AK42" s="468"/>
      <c r="AL42" s="468"/>
      <c r="AM42" s="468"/>
      <c r="AN42" s="468"/>
      <c r="AO42" s="468"/>
      <c r="AP42" s="468"/>
      <c r="AQ42" s="468"/>
      <c r="AR42" s="468"/>
      <c r="AS42" s="446"/>
    </row>
    <row r="43" spans="8:53" ht="9" customHeight="1" x14ac:dyDescent="0.2">
      <c r="H43" s="445"/>
      <c r="I43" s="454"/>
      <c r="J43" s="454"/>
      <c r="K43" s="454"/>
      <c r="L43" s="454"/>
      <c r="M43" s="454"/>
      <c r="N43" s="454"/>
      <c r="O43" s="454"/>
      <c r="P43" s="454"/>
      <c r="Q43" s="454"/>
      <c r="R43" s="454"/>
      <c r="S43" s="454"/>
      <c r="T43" s="454"/>
      <c r="U43" s="454"/>
      <c r="V43" s="454"/>
      <c r="W43" s="454"/>
      <c r="X43" s="454"/>
      <c r="Y43" s="454"/>
      <c r="Z43" s="454"/>
      <c r="AA43" s="454"/>
      <c r="AB43" s="454"/>
      <c r="AC43" s="454"/>
      <c r="AD43" s="454"/>
      <c r="AE43" s="454"/>
      <c r="AF43" s="454"/>
      <c r="AG43" s="454"/>
      <c r="AH43" s="454"/>
      <c r="AI43" s="454"/>
      <c r="AJ43" s="454"/>
      <c r="AK43" s="454"/>
      <c r="AL43" s="454"/>
      <c r="AM43" s="454"/>
      <c r="AN43" s="454"/>
      <c r="AO43" s="454"/>
      <c r="AP43" s="454"/>
      <c r="AQ43" s="454"/>
      <c r="AR43" s="454"/>
      <c r="AS43" s="446"/>
    </row>
    <row r="44" spans="8:53" ht="8.25" customHeight="1" x14ac:dyDescent="0.2">
      <c r="H44" s="445"/>
      <c r="I44" s="454"/>
      <c r="J44" s="454"/>
      <c r="K44" s="454"/>
      <c r="L44" s="454"/>
      <c r="M44" s="454"/>
      <c r="N44" s="454"/>
      <c r="O44" s="454"/>
      <c r="P44" s="454"/>
      <c r="Q44" s="454"/>
      <c r="R44" s="454"/>
      <c r="S44" s="454"/>
      <c r="T44" s="454"/>
      <c r="U44" s="454"/>
      <c r="V44" s="454"/>
      <c r="W44" s="454"/>
      <c r="X44" s="454"/>
      <c r="Y44" s="454"/>
      <c r="Z44" s="454"/>
      <c r="AA44" s="454"/>
      <c r="AB44" s="454"/>
      <c r="AC44" s="454"/>
      <c r="AD44" s="454"/>
      <c r="AE44" s="454"/>
      <c r="AF44" s="454"/>
      <c r="AG44" s="454"/>
      <c r="AH44" s="472"/>
      <c r="AI44" s="472"/>
      <c r="AJ44" s="472"/>
      <c r="AK44" s="472"/>
      <c r="AL44" s="472"/>
      <c r="AM44" s="472"/>
      <c r="AN44" s="472"/>
      <c r="AO44" s="472"/>
      <c r="AP44" s="472"/>
      <c r="AQ44" s="472"/>
      <c r="AR44" s="472"/>
      <c r="AS44" s="472"/>
    </row>
    <row r="45" spans="8:53" ht="9" customHeight="1" x14ac:dyDescent="0.2">
      <c r="H45" s="445"/>
      <c r="I45" s="454"/>
      <c r="J45" s="454"/>
      <c r="K45" s="454"/>
      <c r="L45" s="454"/>
      <c r="M45" s="454"/>
      <c r="N45" s="454"/>
      <c r="O45" s="454"/>
      <c r="P45" s="454"/>
      <c r="Q45" s="454"/>
      <c r="R45" s="454"/>
      <c r="S45" s="454"/>
      <c r="T45" s="454"/>
      <c r="U45" s="454"/>
      <c r="V45" s="454"/>
      <c r="W45" s="454"/>
      <c r="X45" s="454"/>
      <c r="Y45" s="454"/>
      <c r="Z45" s="454"/>
      <c r="AA45" s="454"/>
      <c r="AB45" s="454"/>
      <c r="AC45" s="454"/>
      <c r="AD45" s="454"/>
      <c r="AE45" s="454"/>
      <c r="AF45" s="454"/>
      <c r="AG45" s="454"/>
      <c r="AH45" s="472"/>
      <c r="AI45" s="472"/>
      <c r="AJ45" s="472"/>
      <c r="AK45" s="472"/>
      <c r="AL45" s="472"/>
      <c r="AM45" s="472"/>
      <c r="AN45" s="472"/>
      <c r="AO45" s="472"/>
      <c r="AP45" s="472"/>
      <c r="AQ45" s="472"/>
      <c r="AR45" s="472"/>
      <c r="AS45" s="472"/>
    </row>
    <row r="46" spans="8:53" ht="21.95" customHeight="1" x14ac:dyDescent="0.2">
      <c r="H46" s="445"/>
      <c r="I46" s="454"/>
      <c r="J46" s="454"/>
      <c r="K46" s="454"/>
      <c r="L46" s="454"/>
      <c r="M46" s="691" t="s">
        <v>139</v>
      </c>
      <c r="N46" s="692"/>
      <c r="O46" s="692"/>
      <c r="P46" s="692"/>
      <c r="Q46" s="692"/>
      <c r="R46" s="692"/>
      <c r="S46" s="692"/>
      <c r="T46" s="692"/>
      <c r="U46" s="692"/>
      <c r="V46" s="692"/>
      <c r="W46" s="692"/>
      <c r="X46" s="692"/>
      <c r="Y46" s="693"/>
      <c r="Z46" s="683" t="e">
        <f>E12</f>
        <v>#DIV/0!</v>
      </c>
      <c r="AA46" s="683"/>
      <c r="AB46" s="683"/>
      <c r="AC46" s="683"/>
      <c r="AD46" s="683"/>
      <c r="AE46" s="683"/>
      <c r="AF46" s="683"/>
      <c r="AG46" s="683"/>
      <c r="AH46" s="683"/>
      <c r="AI46" s="683"/>
      <c r="AJ46" s="683"/>
      <c r="AK46" s="454"/>
      <c r="AL46" s="454"/>
      <c r="AM46" s="454"/>
      <c r="AN46" s="454"/>
      <c r="AO46" s="454"/>
      <c r="AP46" s="454"/>
      <c r="AQ46" s="454"/>
      <c r="AR46" s="454"/>
      <c r="AS46" s="446"/>
    </row>
    <row r="47" spans="8:53" ht="21.95" customHeight="1" x14ac:dyDescent="0.2">
      <c r="H47" s="445"/>
      <c r="I47" s="454"/>
      <c r="J47" s="473"/>
      <c r="K47" s="473"/>
      <c r="L47" s="473"/>
      <c r="M47" s="680" t="s">
        <v>140</v>
      </c>
      <c r="N47" s="681"/>
      <c r="O47" s="681"/>
      <c r="P47" s="681"/>
      <c r="Q47" s="681"/>
      <c r="R47" s="681"/>
      <c r="S47" s="681"/>
      <c r="T47" s="681"/>
      <c r="U47" s="681"/>
      <c r="V47" s="681"/>
      <c r="W47" s="681"/>
      <c r="X47" s="681"/>
      <c r="Y47" s="682"/>
      <c r="Z47" s="683" t="e">
        <f>AVERAGE(AG25:AL25)</f>
        <v>#DIV/0!</v>
      </c>
      <c r="AA47" s="683"/>
      <c r="AB47" s="683"/>
      <c r="AC47" s="683"/>
      <c r="AD47" s="683"/>
      <c r="AE47" s="683"/>
      <c r="AF47" s="683"/>
      <c r="AG47" s="683"/>
      <c r="AH47" s="683"/>
      <c r="AI47" s="683"/>
      <c r="AJ47" s="683"/>
      <c r="AK47" s="454"/>
      <c r="AL47" s="454"/>
      <c r="AM47" s="454"/>
      <c r="AN47" s="454"/>
      <c r="AO47" s="454"/>
      <c r="AP47" s="454"/>
      <c r="AQ47" s="454"/>
      <c r="AR47" s="454"/>
      <c r="AS47" s="446"/>
    </row>
    <row r="48" spans="8:53" ht="21.95" customHeight="1" x14ac:dyDescent="0.2">
      <c r="H48" s="445"/>
      <c r="I48" s="454"/>
      <c r="J48" s="473"/>
      <c r="K48" s="473"/>
      <c r="L48" s="473"/>
      <c r="M48" s="680" t="s">
        <v>151</v>
      </c>
      <c r="N48" s="681"/>
      <c r="O48" s="681"/>
      <c r="P48" s="681"/>
      <c r="Q48" s="681"/>
      <c r="R48" s="681"/>
      <c r="S48" s="681"/>
      <c r="T48" s="681"/>
      <c r="U48" s="681"/>
      <c r="V48" s="681"/>
      <c r="W48" s="681"/>
      <c r="X48" s="681"/>
      <c r="Y48" s="682"/>
      <c r="Z48" s="683" t="e">
        <f>Z46-Z47</f>
        <v>#DIV/0!</v>
      </c>
      <c r="AA48" s="683"/>
      <c r="AB48" s="683"/>
      <c r="AC48" s="683"/>
      <c r="AD48" s="683"/>
      <c r="AE48" s="683"/>
      <c r="AF48" s="683"/>
      <c r="AG48" s="683"/>
      <c r="AH48" s="683"/>
      <c r="AI48" s="683"/>
      <c r="AJ48" s="683"/>
      <c r="AK48" s="454"/>
      <c r="AL48" s="454"/>
      <c r="AM48" s="454"/>
      <c r="AN48" s="454"/>
      <c r="AO48" s="454"/>
      <c r="AP48" s="454"/>
      <c r="AQ48" s="454"/>
      <c r="AR48" s="454"/>
      <c r="AS48" s="446"/>
    </row>
    <row r="49" spans="1:45" ht="18.75" customHeight="1" x14ac:dyDescent="0.2">
      <c r="H49" s="445"/>
      <c r="I49" s="454"/>
      <c r="J49" s="473"/>
      <c r="K49" s="473"/>
      <c r="L49" s="473"/>
      <c r="M49" s="473"/>
      <c r="N49" s="473"/>
      <c r="O49" s="454"/>
      <c r="P49" s="454"/>
      <c r="Q49" s="454"/>
      <c r="R49" s="454"/>
      <c r="S49" s="454"/>
      <c r="T49" s="454"/>
      <c r="U49" s="454"/>
      <c r="V49" s="454"/>
      <c r="W49" s="454"/>
      <c r="X49" s="454"/>
      <c r="Y49" s="454"/>
      <c r="Z49" s="454"/>
      <c r="AA49" s="454"/>
      <c r="AB49" s="454"/>
      <c r="AC49" s="454"/>
      <c r="AD49" s="454"/>
      <c r="AE49" s="454"/>
      <c r="AF49" s="454"/>
      <c r="AG49" s="454"/>
      <c r="AH49" s="454"/>
      <c r="AI49" s="454"/>
      <c r="AJ49" s="454"/>
      <c r="AK49" s="454"/>
      <c r="AL49" s="454"/>
      <c r="AM49" s="454"/>
      <c r="AN49" s="454"/>
      <c r="AO49" s="454"/>
      <c r="AP49" s="454"/>
      <c r="AQ49" s="454"/>
      <c r="AR49" s="454"/>
      <c r="AS49" s="446"/>
    </row>
    <row r="50" spans="1:45" ht="22.5" customHeight="1" x14ac:dyDescent="0.2">
      <c r="H50" s="445"/>
      <c r="I50" s="454"/>
      <c r="J50" s="473"/>
      <c r="K50" s="473"/>
      <c r="L50" s="473"/>
      <c r="M50" s="473"/>
      <c r="N50" s="473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54"/>
      <c r="AB50" s="454"/>
      <c r="AC50" s="454"/>
      <c r="AD50" s="454"/>
      <c r="AE50" s="454"/>
      <c r="AF50" s="454"/>
      <c r="AG50" s="454"/>
      <c r="AH50" s="454"/>
      <c r="AI50" s="454"/>
      <c r="AJ50" s="454"/>
      <c r="AK50" s="454"/>
      <c r="AL50" s="454"/>
      <c r="AM50" s="454"/>
      <c r="AN50" s="454"/>
      <c r="AO50" s="454"/>
      <c r="AP50" s="454"/>
      <c r="AQ50" s="454"/>
      <c r="AR50" s="454"/>
      <c r="AS50" s="446"/>
    </row>
    <row r="51" spans="1:45" ht="12.75" customHeight="1" x14ac:dyDescent="0.2">
      <c r="H51" s="445"/>
      <c r="I51" s="678"/>
      <c r="J51" s="678"/>
      <c r="K51" s="678"/>
      <c r="L51" s="678"/>
      <c r="M51" s="678"/>
      <c r="N51" s="678"/>
      <c r="O51" s="678"/>
      <c r="P51" s="678"/>
      <c r="Q51" s="678"/>
      <c r="R51" s="678"/>
      <c r="S51" s="678"/>
      <c r="T51" s="678"/>
      <c r="U51" s="678"/>
      <c r="V51" s="678"/>
      <c r="W51" s="678"/>
      <c r="X51" s="678"/>
      <c r="Y51" s="678"/>
      <c r="Z51" s="678"/>
      <c r="AA51" s="678"/>
      <c r="AB51" s="678"/>
      <c r="AC51" s="678"/>
      <c r="AD51" s="678"/>
      <c r="AE51" s="678"/>
      <c r="AF51" s="678"/>
      <c r="AG51" s="678"/>
      <c r="AH51" s="678"/>
      <c r="AI51" s="678"/>
      <c r="AJ51" s="678"/>
      <c r="AK51" s="678"/>
      <c r="AL51" s="678"/>
      <c r="AM51" s="678"/>
      <c r="AN51" s="678"/>
      <c r="AO51" s="678"/>
      <c r="AP51" s="678"/>
      <c r="AQ51" s="678"/>
      <c r="AR51" s="678"/>
      <c r="AS51" s="446"/>
    </row>
    <row r="52" spans="1:45" s="474" customFormat="1" ht="14.25" customHeight="1" x14ac:dyDescent="0.2">
      <c r="A52" s="1"/>
      <c r="B52" s="1"/>
      <c r="C52" s="1"/>
      <c r="D52" s="1"/>
      <c r="E52" s="1"/>
      <c r="F52" s="1"/>
      <c r="G52" s="1"/>
      <c r="H52" s="1"/>
      <c r="I52" s="506">
        <f>AA13</f>
        <v>0</v>
      </c>
      <c r="J52" s="506"/>
      <c r="K52" s="506"/>
      <c r="L52" s="506"/>
      <c r="M52" s="506"/>
      <c r="N52" s="506"/>
      <c r="O52" s="506"/>
      <c r="P52" s="506"/>
      <c r="Q52" s="506"/>
      <c r="R52" s="506"/>
      <c r="S52" s="506"/>
      <c r="T52" s="506"/>
      <c r="U52" s="506"/>
      <c r="V52" s="506"/>
      <c r="W52" s="506"/>
      <c r="X52" s="506"/>
      <c r="Y52" s="506"/>
      <c r="Z52" s="506"/>
      <c r="AA52" s="506" t="str">
        <f>[4]Granulometría!R54</f>
        <v>ING FRANCISCO GRANADOS</v>
      </c>
      <c r="AB52" s="506"/>
      <c r="AC52" s="506"/>
      <c r="AD52" s="506"/>
      <c r="AE52" s="506"/>
      <c r="AF52" s="506"/>
      <c r="AG52" s="506"/>
      <c r="AH52" s="506"/>
      <c r="AI52" s="506"/>
      <c r="AJ52" s="506"/>
      <c r="AK52" s="506"/>
      <c r="AL52" s="506"/>
      <c r="AM52" s="506"/>
      <c r="AN52" s="506"/>
      <c r="AO52" s="506"/>
      <c r="AP52" s="506"/>
      <c r="AQ52" s="506"/>
      <c r="AR52" s="506"/>
      <c r="AS52" s="439"/>
    </row>
    <row r="53" spans="1:45" s="474" customFormat="1" ht="14.25" customHeight="1" x14ac:dyDescent="0.2">
      <c r="A53" s="1"/>
      <c r="B53" s="1"/>
      <c r="C53" s="1"/>
      <c r="D53" s="1"/>
      <c r="E53" s="1"/>
      <c r="F53" s="1"/>
      <c r="G53" s="1"/>
      <c r="H53" s="1"/>
      <c r="I53" s="506" t="str">
        <f>[4]Granulometría!A55</f>
        <v>Tecnico de laboratorio de suelos y materiales</v>
      </c>
      <c r="J53" s="506"/>
      <c r="K53" s="506"/>
      <c r="L53" s="506"/>
      <c r="M53" s="506"/>
      <c r="N53" s="506"/>
      <c r="O53" s="506"/>
      <c r="P53" s="506"/>
      <c r="Q53" s="506"/>
      <c r="R53" s="506"/>
      <c r="S53" s="506"/>
      <c r="T53" s="506"/>
      <c r="U53" s="506"/>
      <c r="V53" s="506"/>
      <c r="W53" s="506"/>
      <c r="X53" s="506"/>
      <c r="Y53" s="506"/>
      <c r="Z53" s="506"/>
      <c r="AA53" s="506" t="str">
        <f>[4]Granulometría!R55</f>
        <v>Jefe técnico de laboratorio de suelos y materiales</v>
      </c>
      <c r="AB53" s="506"/>
      <c r="AC53" s="506"/>
      <c r="AD53" s="506"/>
      <c r="AE53" s="506"/>
      <c r="AF53" s="506"/>
      <c r="AG53" s="506"/>
      <c r="AH53" s="506"/>
      <c r="AI53" s="506"/>
      <c r="AJ53" s="506"/>
      <c r="AK53" s="506"/>
      <c r="AL53" s="506"/>
      <c r="AM53" s="506"/>
      <c r="AN53" s="506"/>
      <c r="AO53" s="506"/>
      <c r="AP53" s="506"/>
      <c r="AQ53" s="506"/>
      <c r="AR53" s="506"/>
      <c r="AS53" s="439"/>
    </row>
    <row r="54" spans="1:45" ht="13.5" customHeight="1" x14ac:dyDescent="0.2">
      <c r="H54" s="445"/>
      <c r="I54" s="676"/>
      <c r="J54" s="676"/>
      <c r="K54" s="676"/>
      <c r="L54" s="676"/>
      <c r="M54" s="676"/>
      <c r="N54" s="676"/>
      <c r="O54" s="676"/>
      <c r="P54" s="676"/>
      <c r="Q54" s="676"/>
      <c r="R54" s="676"/>
      <c r="S54" s="676"/>
      <c r="T54" s="676"/>
      <c r="U54" s="676"/>
      <c r="V54" s="676"/>
      <c r="W54" s="676"/>
      <c r="X54" s="676"/>
      <c r="Y54" s="676"/>
      <c r="Z54" s="676"/>
      <c r="AA54" s="677"/>
      <c r="AB54" s="677"/>
      <c r="AC54" s="677"/>
      <c r="AD54" s="677"/>
      <c r="AE54" s="677"/>
      <c r="AF54" s="677"/>
      <c r="AG54" s="677"/>
      <c r="AH54" s="677"/>
      <c r="AI54" s="677"/>
      <c r="AJ54" s="677"/>
      <c r="AK54" s="677"/>
      <c r="AL54" s="677"/>
      <c r="AM54" s="677"/>
      <c r="AN54" s="677"/>
      <c r="AO54" s="677"/>
      <c r="AP54" s="677"/>
      <c r="AQ54" s="677"/>
      <c r="AR54" s="677"/>
      <c r="AS54" s="446"/>
    </row>
    <row r="55" spans="1:45" ht="12" customHeight="1" x14ac:dyDescent="0.2">
      <c r="H55" s="445"/>
      <c r="I55" s="678"/>
      <c r="J55" s="678"/>
      <c r="K55" s="678"/>
      <c r="L55" s="678"/>
      <c r="M55" s="679"/>
      <c r="N55" s="679"/>
      <c r="O55" s="679"/>
      <c r="P55" s="679"/>
      <c r="Q55" s="679"/>
      <c r="R55" s="679"/>
      <c r="S55" s="679"/>
      <c r="T55" s="679"/>
      <c r="U55" s="679"/>
      <c r="V55" s="679"/>
      <c r="W55" s="679"/>
      <c r="X55" s="679"/>
      <c r="Y55" s="679"/>
      <c r="Z55" s="679"/>
      <c r="AA55" s="678"/>
      <c r="AB55" s="678"/>
      <c r="AC55" s="678"/>
      <c r="AD55" s="678"/>
      <c r="AE55" s="679"/>
      <c r="AF55" s="679"/>
      <c r="AG55" s="679"/>
      <c r="AH55" s="679"/>
      <c r="AI55" s="679"/>
      <c r="AJ55" s="679"/>
      <c r="AK55" s="679"/>
      <c r="AL55" s="679"/>
      <c r="AM55" s="679"/>
      <c r="AN55" s="679"/>
      <c r="AO55" s="679"/>
      <c r="AP55" s="679"/>
      <c r="AQ55" s="679"/>
      <c r="AR55" s="679"/>
      <c r="AS55" s="446"/>
    </row>
    <row r="56" spans="1:45" ht="20.100000000000001" customHeight="1" x14ac:dyDescent="0.2">
      <c r="H56" s="475"/>
      <c r="I56" s="475"/>
      <c r="J56" s="475"/>
      <c r="K56" s="475"/>
      <c r="L56" s="475"/>
      <c r="M56" s="475"/>
      <c r="N56" s="475"/>
      <c r="O56" s="475"/>
      <c r="P56" s="475"/>
      <c r="Q56" s="475"/>
      <c r="R56" s="475"/>
      <c r="S56" s="475"/>
      <c r="T56" s="475"/>
      <c r="U56" s="475"/>
      <c r="V56" s="475"/>
      <c r="W56" s="475"/>
      <c r="X56" s="475"/>
      <c r="Y56" s="475"/>
      <c r="Z56" s="475"/>
      <c r="AA56" s="475"/>
      <c r="AB56" s="475"/>
      <c r="AC56" s="475"/>
      <c r="AD56" s="475"/>
      <c r="AE56" s="475"/>
      <c r="AF56" s="475"/>
      <c r="AG56" s="475"/>
      <c r="AH56" s="475"/>
      <c r="AI56" s="475"/>
      <c r="AJ56" s="475"/>
      <c r="AK56" s="475"/>
      <c r="AL56" s="475"/>
      <c r="AM56" s="475"/>
      <c r="AN56" s="475"/>
      <c r="AO56" s="475"/>
      <c r="AP56" s="475"/>
      <c r="AQ56" s="475"/>
      <c r="AR56" s="475"/>
      <c r="AS56" s="475"/>
    </row>
  </sheetData>
  <mergeCells count="125">
    <mergeCell ref="I2:R5"/>
    <mergeCell ref="S2:AR3"/>
    <mergeCell ref="S4:AR5"/>
    <mergeCell ref="AX6:AZ6"/>
    <mergeCell ref="BB6:CC6"/>
    <mergeCell ref="I7:M8"/>
    <mergeCell ref="N7:AR8"/>
    <mergeCell ref="AV8:BK10"/>
    <mergeCell ref="BL8:BW10"/>
    <mergeCell ref="BX8:CI10"/>
    <mergeCell ref="AG15:AJ15"/>
    <mergeCell ref="AK15:AR15"/>
    <mergeCell ref="I16:T16"/>
    <mergeCell ref="U16:AF16"/>
    <mergeCell ref="AG16:AR16"/>
    <mergeCell ref="AV16:AY16"/>
    <mergeCell ref="I9:M10"/>
    <mergeCell ref="N9:AR10"/>
    <mergeCell ref="I11:N12"/>
    <mergeCell ref="O11:AR12"/>
    <mergeCell ref="I13:N14"/>
    <mergeCell ref="O13:T14"/>
    <mergeCell ref="U13:Z14"/>
    <mergeCell ref="AA13:AF14"/>
    <mergeCell ref="AG13:AI14"/>
    <mergeCell ref="AJ13:AR14"/>
    <mergeCell ref="AJ17:AL17"/>
    <mergeCell ref="AM17:AO17"/>
    <mergeCell ref="AP17:AR17"/>
    <mergeCell ref="I18:T18"/>
    <mergeCell ref="U18:W18"/>
    <mergeCell ref="X18:Z18"/>
    <mergeCell ref="AA18:AC18"/>
    <mergeCell ref="AD18:AF18"/>
    <mergeCell ref="AG18:AI18"/>
    <mergeCell ref="AJ18:AL18"/>
    <mergeCell ref="I17:T17"/>
    <mergeCell ref="U17:W17"/>
    <mergeCell ref="X17:Z17"/>
    <mergeCell ref="AA17:AC17"/>
    <mergeCell ref="AD17:AF17"/>
    <mergeCell ref="AG17:AI17"/>
    <mergeCell ref="AM18:AO18"/>
    <mergeCell ref="AP18:AR18"/>
    <mergeCell ref="I19:T19"/>
    <mergeCell ref="U19:W19"/>
    <mergeCell ref="X19:Z19"/>
    <mergeCell ref="AA19:AC19"/>
    <mergeCell ref="AD19:AF19"/>
    <mergeCell ref="AG19:AI19"/>
    <mergeCell ref="AJ19:AL19"/>
    <mergeCell ref="AM19:AO19"/>
    <mergeCell ref="AP19:AR19"/>
    <mergeCell ref="I20:T20"/>
    <mergeCell ref="U20:W20"/>
    <mergeCell ref="X20:Z20"/>
    <mergeCell ref="AA20:AC20"/>
    <mergeCell ref="AD20:AF20"/>
    <mergeCell ref="AG20:AI20"/>
    <mergeCell ref="AJ20:AL20"/>
    <mergeCell ref="AM20:AO20"/>
    <mergeCell ref="AP20:AR20"/>
    <mergeCell ref="AJ21:AL21"/>
    <mergeCell ref="AM21:AO21"/>
    <mergeCell ref="AP21:AR21"/>
    <mergeCell ref="I22:T22"/>
    <mergeCell ref="U22:W22"/>
    <mergeCell ref="X22:Z22"/>
    <mergeCell ref="AA22:AC22"/>
    <mergeCell ref="AD22:AF22"/>
    <mergeCell ref="AG22:AI22"/>
    <mergeCell ref="AJ22:AL22"/>
    <mergeCell ref="I21:T21"/>
    <mergeCell ref="U21:W21"/>
    <mergeCell ref="X21:Z21"/>
    <mergeCell ref="AA21:AC21"/>
    <mergeCell ref="AD21:AF21"/>
    <mergeCell ref="AG21:AI21"/>
    <mergeCell ref="AM22:AO22"/>
    <mergeCell ref="AP22:AR22"/>
    <mergeCell ref="I23:T23"/>
    <mergeCell ref="U23:W23"/>
    <mergeCell ref="X23:Z23"/>
    <mergeCell ref="AA23:AC23"/>
    <mergeCell ref="AD23:AF23"/>
    <mergeCell ref="AG23:AI23"/>
    <mergeCell ref="AJ23:AL23"/>
    <mergeCell ref="AM23:AO23"/>
    <mergeCell ref="AP23:AR23"/>
    <mergeCell ref="I24:T24"/>
    <mergeCell ref="U24:W24"/>
    <mergeCell ref="X24:Z24"/>
    <mergeCell ref="AA24:AC24"/>
    <mergeCell ref="AD24:AF24"/>
    <mergeCell ref="AG24:AI24"/>
    <mergeCell ref="AJ24:AL24"/>
    <mergeCell ref="AM24:AO24"/>
    <mergeCell ref="AP24:AR24"/>
    <mergeCell ref="AJ25:AL25"/>
    <mergeCell ref="AM25:AO25"/>
    <mergeCell ref="AP25:AR25"/>
    <mergeCell ref="M46:Y46"/>
    <mergeCell ref="Z46:AJ46"/>
    <mergeCell ref="M47:Y47"/>
    <mergeCell ref="Z47:AJ47"/>
    <mergeCell ref="I25:T25"/>
    <mergeCell ref="U25:W25"/>
    <mergeCell ref="X25:Z25"/>
    <mergeCell ref="AA25:AC25"/>
    <mergeCell ref="AD25:AF25"/>
    <mergeCell ref="AG25:AI25"/>
    <mergeCell ref="I53:Z53"/>
    <mergeCell ref="AA53:AR53"/>
    <mergeCell ref="I54:Z54"/>
    <mergeCell ref="AA54:AR54"/>
    <mergeCell ref="I55:L55"/>
    <mergeCell ref="M55:Z55"/>
    <mergeCell ref="AA55:AD55"/>
    <mergeCell ref="AE55:AR55"/>
    <mergeCell ref="M48:Y48"/>
    <mergeCell ref="Z48:AJ48"/>
    <mergeCell ref="I51:Z51"/>
    <mergeCell ref="AA51:AR51"/>
    <mergeCell ref="I52:Z52"/>
    <mergeCell ref="AA52:AR52"/>
  </mergeCells>
  <printOptions horizontalCentered="1" verticalCentered="1"/>
  <pageMargins left="1.0236220472440944" right="0.55118110236220474" top="0.55118110236220474" bottom="0.59055118110236227" header="0.51181102362204722" footer="0.51181102362204722"/>
  <pageSetup scale="94" orientation="portrait" horizontalDpi="4294967294" verticalDpi="300" r:id="rId1"/>
  <headerFooter alignWithMargins="0"/>
  <colBreaks count="1" manualBreakCount="1">
    <brk id="7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CD619-A3A2-41E7-98C0-E30C2514DA09}">
  <sheetPr codeName="Hoja31">
    <tabColor rgb="FF00B050"/>
  </sheetPr>
  <dimension ref="A1:CE57"/>
  <sheetViews>
    <sheetView showGridLines="0" view="pageBreakPreview" zoomScaleNormal="100" zoomScaleSheetLayoutView="100" workbookViewId="0"/>
  </sheetViews>
  <sheetFormatPr baseColWidth="10" defaultColWidth="2.7109375" defaultRowHeight="14.25" customHeight="1" x14ac:dyDescent="0.2"/>
  <cols>
    <col min="1" max="2" width="3.5703125" style="53" customWidth="1"/>
    <col min="3" max="3" width="4.7109375" style="53" customWidth="1"/>
    <col min="4" max="8" width="2.7109375" style="53"/>
    <col min="9" max="9" width="3.5703125" style="53" customWidth="1"/>
    <col min="10" max="10" width="2.7109375" style="53"/>
    <col min="11" max="11" width="4.140625" style="53" customWidth="1"/>
    <col min="12" max="15" width="3.5703125" style="53" customWidth="1"/>
    <col min="16" max="23" width="2.7109375" style="53"/>
    <col min="24" max="26" width="2.7109375" style="53" customWidth="1"/>
    <col min="27" max="28" width="2.7109375" style="53"/>
    <col min="29" max="29" width="2.7109375" style="53" customWidth="1"/>
    <col min="30" max="32" width="3" style="53" customWidth="1"/>
    <col min="33" max="33" width="5.5703125" style="53" customWidth="1"/>
    <col min="34" max="34" width="8" style="62" customWidth="1"/>
    <col min="35" max="35" width="10.140625" style="62" customWidth="1"/>
    <col min="36" max="36" width="10.140625" style="53" customWidth="1"/>
    <col min="37" max="256" width="2.7109375" style="53"/>
    <col min="257" max="259" width="3.5703125" style="53" customWidth="1"/>
    <col min="260" max="264" width="2.7109375" style="53"/>
    <col min="265" max="265" width="3.5703125" style="53" customWidth="1"/>
    <col min="266" max="266" width="2.7109375" style="53"/>
    <col min="267" max="267" width="4.140625" style="53" customWidth="1"/>
    <col min="268" max="271" width="3.5703125" style="53" customWidth="1"/>
    <col min="272" max="279" width="2.7109375" style="53"/>
    <col min="280" max="282" width="2.7109375" style="53" customWidth="1"/>
    <col min="283" max="284" width="2.7109375" style="53"/>
    <col min="285" max="285" width="2.7109375" style="53" customWidth="1"/>
    <col min="286" max="288" width="3" style="53" customWidth="1"/>
    <col min="289" max="289" width="5.5703125" style="53" customWidth="1"/>
    <col min="290" max="290" width="8" style="53" customWidth="1"/>
    <col min="291" max="292" width="10.140625" style="53" customWidth="1"/>
    <col min="293" max="512" width="2.7109375" style="53"/>
    <col min="513" max="515" width="3.5703125" style="53" customWidth="1"/>
    <col min="516" max="520" width="2.7109375" style="53"/>
    <col min="521" max="521" width="3.5703125" style="53" customWidth="1"/>
    <col min="522" max="522" width="2.7109375" style="53"/>
    <col min="523" max="523" width="4.140625" style="53" customWidth="1"/>
    <col min="524" max="527" width="3.5703125" style="53" customWidth="1"/>
    <col min="528" max="535" width="2.7109375" style="53"/>
    <col min="536" max="538" width="2.7109375" style="53" customWidth="1"/>
    <col min="539" max="540" width="2.7109375" style="53"/>
    <col min="541" max="541" width="2.7109375" style="53" customWidth="1"/>
    <col min="542" max="544" width="3" style="53" customWidth="1"/>
    <col min="545" max="545" width="5.5703125" style="53" customWidth="1"/>
    <col min="546" max="546" width="8" style="53" customWidth="1"/>
    <col min="547" max="548" width="10.140625" style="53" customWidth="1"/>
    <col min="549" max="768" width="2.7109375" style="53"/>
    <col min="769" max="771" width="3.5703125" style="53" customWidth="1"/>
    <col min="772" max="776" width="2.7109375" style="53"/>
    <col min="777" max="777" width="3.5703125" style="53" customWidth="1"/>
    <col min="778" max="778" width="2.7109375" style="53"/>
    <col min="779" max="779" width="4.140625" style="53" customWidth="1"/>
    <col min="780" max="783" width="3.5703125" style="53" customWidth="1"/>
    <col min="784" max="791" width="2.7109375" style="53"/>
    <col min="792" max="794" width="2.7109375" style="53" customWidth="1"/>
    <col min="795" max="796" width="2.7109375" style="53"/>
    <col min="797" max="797" width="2.7109375" style="53" customWidth="1"/>
    <col min="798" max="800" width="3" style="53" customWidth="1"/>
    <col min="801" max="801" width="5.5703125" style="53" customWidth="1"/>
    <col min="802" max="802" width="8" style="53" customWidth="1"/>
    <col min="803" max="804" width="10.140625" style="53" customWidth="1"/>
    <col min="805" max="1024" width="2.7109375" style="53"/>
    <col min="1025" max="1027" width="3.5703125" style="53" customWidth="1"/>
    <col min="1028" max="1032" width="2.7109375" style="53"/>
    <col min="1033" max="1033" width="3.5703125" style="53" customWidth="1"/>
    <col min="1034" max="1034" width="2.7109375" style="53"/>
    <col min="1035" max="1035" width="4.140625" style="53" customWidth="1"/>
    <col min="1036" max="1039" width="3.5703125" style="53" customWidth="1"/>
    <col min="1040" max="1047" width="2.7109375" style="53"/>
    <col min="1048" max="1050" width="2.7109375" style="53" customWidth="1"/>
    <col min="1051" max="1052" width="2.7109375" style="53"/>
    <col min="1053" max="1053" width="2.7109375" style="53" customWidth="1"/>
    <col min="1054" max="1056" width="3" style="53" customWidth="1"/>
    <col min="1057" max="1057" width="5.5703125" style="53" customWidth="1"/>
    <col min="1058" max="1058" width="8" style="53" customWidth="1"/>
    <col min="1059" max="1060" width="10.140625" style="53" customWidth="1"/>
    <col min="1061" max="1280" width="2.7109375" style="53"/>
    <col min="1281" max="1283" width="3.5703125" style="53" customWidth="1"/>
    <col min="1284" max="1288" width="2.7109375" style="53"/>
    <col min="1289" max="1289" width="3.5703125" style="53" customWidth="1"/>
    <col min="1290" max="1290" width="2.7109375" style="53"/>
    <col min="1291" max="1291" width="4.140625" style="53" customWidth="1"/>
    <col min="1292" max="1295" width="3.5703125" style="53" customWidth="1"/>
    <col min="1296" max="1303" width="2.7109375" style="53"/>
    <col min="1304" max="1306" width="2.7109375" style="53" customWidth="1"/>
    <col min="1307" max="1308" width="2.7109375" style="53"/>
    <col min="1309" max="1309" width="2.7109375" style="53" customWidth="1"/>
    <col min="1310" max="1312" width="3" style="53" customWidth="1"/>
    <col min="1313" max="1313" width="5.5703125" style="53" customWidth="1"/>
    <col min="1314" max="1314" width="8" style="53" customWidth="1"/>
    <col min="1315" max="1316" width="10.140625" style="53" customWidth="1"/>
    <col min="1317" max="1536" width="2.7109375" style="53"/>
    <col min="1537" max="1539" width="3.5703125" style="53" customWidth="1"/>
    <col min="1540" max="1544" width="2.7109375" style="53"/>
    <col min="1545" max="1545" width="3.5703125" style="53" customWidth="1"/>
    <col min="1546" max="1546" width="2.7109375" style="53"/>
    <col min="1547" max="1547" width="4.140625" style="53" customWidth="1"/>
    <col min="1548" max="1551" width="3.5703125" style="53" customWidth="1"/>
    <col min="1552" max="1559" width="2.7109375" style="53"/>
    <col min="1560" max="1562" width="2.7109375" style="53" customWidth="1"/>
    <col min="1563" max="1564" width="2.7109375" style="53"/>
    <col min="1565" max="1565" width="2.7109375" style="53" customWidth="1"/>
    <col min="1566" max="1568" width="3" style="53" customWidth="1"/>
    <col min="1569" max="1569" width="5.5703125" style="53" customWidth="1"/>
    <col min="1570" max="1570" width="8" style="53" customWidth="1"/>
    <col min="1571" max="1572" width="10.140625" style="53" customWidth="1"/>
    <col min="1573" max="1792" width="2.7109375" style="53"/>
    <col min="1793" max="1795" width="3.5703125" style="53" customWidth="1"/>
    <col min="1796" max="1800" width="2.7109375" style="53"/>
    <col min="1801" max="1801" width="3.5703125" style="53" customWidth="1"/>
    <col min="1802" max="1802" width="2.7109375" style="53"/>
    <col min="1803" max="1803" width="4.140625" style="53" customWidth="1"/>
    <col min="1804" max="1807" width="3.5703125" style="53" customWidth="1"/>
    <col min="1808" max="1815" width="2.7109375" style="53"/>
    <col min="1816" max="1818" width="2.7109375" style="53" customWidth="1"/>
    <col min="1819" max="1820" width="2.7109375" style="53"/>
    <col min="1821" max="1821" width="2.7109375" style="53" customWidth="1"/>
    <col min="1822" max="1824" width="3" style="53" customWidth="1"/>
    <col min="1825" max="1825" width="5.5703125" style="53" customWidth="1"/>
    <col min="1826" max="1826" width="8" style="53" customWidth="1"/>
    <col min="1827" max="1828" width="10.140625" style="53" customWidth="1"/>
    <col min="1829" max="2048" width="2.7109375" style="53"/>
    <col min="2049" max="2051" width="3.5703125" style="53" customWidth="1"/>
    <col min="2052" max="2056" width="2.7109375" style="53"/>
    <col min="2057" max="2057" width="3.5703125" style="53" customWidth="1"/>
    <col min="2058" max="2058" width="2.7109375" style="53"/>
    <col min="2059" max="2059" width="4.140625" style="53" customWidth="1"/>
    <col min="2060" max="2063" width="3.5703125" style="53" customWidth="1"/>
    <col min="2064" max="2071" width="2.7109375" style="53"/>
    <col min="2072" max="2074" width="2.7109375" style="53" customWidth="1"/>
    <col min="2075" max="2076" width="2.7109375" style="53"/>
    <col min="2077" max="2077" width="2.7109375" style="53" customWidth="1"/>
    <col min="2078" max="2080" width="3" style="53" customWidth="1"/>
    <col min="2081" max="2081" width="5.5703125" style="53" customWidth="1"/>
    <col min="2082" max="2082" width="8" style="53" customWidth="1"/>
    <col min="2083" max="2084" width="10.140625" style="53" customWidth="1"/>
    <col min="2085" max="2304" width="2.7109375" style="53"/>
    <col min="2305" max="2307" width="3.5703125" style="53" customWidth="1"/>
    <col min="2308" max="2312" width="2.7109375" style="53"/>
    <col min="2313" max="2313" width="3.5703125" style="53" customWidth="1"/>
    <col min="2314" max="2314" width="2.7109375" style="53"/>
    <col min="2315" max="2315" width="4.140625" style="53" customWidth="1"/>
    <col min="2316" max="2319" width="3.5703125" style="53" customWidth="1"/>
    <col min="2320" max="2327" width="2.7109375" style="53"/>
    <col min="2328" max="2330" width="2.7109375" style="53" customWidth="1"/>
    <col min="2331" max="2332" width="2.7109375" style="53"/>
    <col min="2333" max="2333" width="2.7109375" style="53" customWidth="1"/>
    <col min="2334" max="2336" width="3" style="53" customWidth="1"/>
    <col min="2337" max="2337" width="5.5703125" style="53" customWidth="1"/>
    <col min="2338" max="2338" width="8" style="53" customWidth="1"/>
    <col min="2339" max="2340" width="10.140625" style="53" customWidth="1"/>
    <col min="2341" max="2560" width="2.7109375" style="53"/>
    <col min="2561" max="2563" width="3.5703125" style="53" customWidth="1"/>
    <col min="2564" max="2568" width="2.7109375" style="53"/>
    <col min="2569" max="2569" width="3.5703125" style="53" customWidth="1"/>
    <col min="2570" max="2570" width="2.7109375" style="53"/>
    <col min="2571" max="2571" width="4.140625" style="53" customWidth="1"/>
    <col min="2572" max="2575" width="3.5703125" style="53" customWidth="1"/>
    <col min="2576" max="2583" width="2.7109375" style="53"/>
    <col min="2584" max="2586" width="2.7109375" style="53" customWidth="1"/>
    <col min="2587" max="2588" width="2.7109375" style="53"/>
    <col min="2589" max="2589" width="2.7109375" style="53" customWidth="1"/>
    <col min="2590" max="2592" width="3" style="53" customWidth="1"/>
    <col min="2593" max="2593" width="5.5703125" style="53" customWidth="1"/>
    <col min="2594" max="2594" width="8" style="53" customWidth="1"/>
    <col min="2595" max="2596" width="10.140625" style="53" customWidth="1"/>
    <col min="2597" max="2816" width="2.7109375" style="53"/>
    <col min="2817" max="2819" width="3.5703125" style="53" customWidth="1"/>
    <col min="2820" max="2824" width="2.7109375" style="53"/>
    <col min="2825" max="2825" width="3.5703125" style="53" customWidth="1"/>
    <col min="2826" max="2826" width="2.7109375" style="53"/>
    <col min="2827" max="2827" width="4.140625" style="53" customWidth="1"/>
    <col min="2828" max="2831" width="3.5703125" style="53" customWidth="1"/>
    <col min="2832" max="2839" width="2.7109375" style="53"/>
    <col min="2840" max="2842" width="2.7109375" style="53" customWidth="1"/>
    <col min="2843" max="2844" width="2.7109375" style="53"/>
    <col min="2845" max="2845" width="2.7109375" style="53" customWidth="1"/>
    <col min="2846" max="2848" width="3" style="53" customWidth="1"/>
    <col min="2849" max="2849" width="5.5703125" style="53" customWidth="1"/>
    <col min="2850" max="2850" width="8" style="53" customWidth="1"/>
    <col min="2851" max="2852" width="10.140625" style="53" customWidth="1"/>
    <col min="2853" max="3072" width="2.7109375" style="53"/>
    <col min="3073" max="3075" width="3.5703125" style="53" customWidth="1"/>
    <col min="3076" max="3080" width="2.7109375" style="53"/>
    <col min="3081" max="3081" width="3.5703125" style="53" customWidth="1"/>
    <col min="3082" max="3082" width="2.7109375" style="53"/>
    <col min="3083" max="3083" width="4.140625" style="53" customWidth="1"/>
    <col min="3084" max="3087" width="3.5703125" style="53" customWidth="1"/>
    <col min="3088" max="3095" width="2.7109375" style="53"/>
    <col min="3096" max="3098" width="2.7109375" style="53" customWidth="1"/>
    <col min="3099" max="3100" width="2.7109375" style="53"/>
    <col min="3101" max="3101" width="2.7109375" style="53" customWidth="1"/>
    <col min="3102" max="3104" width="3" style="53" customWidth="1"/>
    <col min="3105" max="3105" width="5.5703125" style="53" customWidth="1"/>
    <col min="3106" max="3106" width="8" style="53" customWidth="1"/>
    <col min="3107" max="3108" width="10.140625" style="53" customWidth="1"/>
    <col min="3109" max="3328" width="2.7109375" style="53"/>
    <col min="3329" max="3331" width="3.5703125" style="53" customWidth="1"/>
    <col min="3332" max="3336" width="2.7109375" style="53"/>
    <col min="3337" max="3337" width="3.5703125" style="53" customWidth="1"/>
    <col min="3338" max="3338" width="2.7109375" style="53"/>
    <col min="3339" max="3339" width="4.140625" style="53" customWidth="1"/>
    <col min="3340" max="3343" width="3.5703125" style="53" customWidth="1"/>
    <col min="3344" max="3351" width="2.7109375" style="53"/>
    <col min="3352" max="3354" width="2.7109375" style="53" customWidth="1"/>
    <col min="3355" max="3356" width="2.7109375" style="53"/>
    <col min="3357" max="3357" width="2.7109375" style="53" customWidth="1"/>
    <col min="3358" max="3360" width="3" style="53" customWidth="1"/>
    <col min="3361" max="3361" width="5.5703125" style="53" customWidth="1"/>
    <col min="3362" max="3362" width="8" style="53" customWidth="1"/>
    <col min="3363" max="3364" width="10.140625" style="53" customWidth="1"/>
    <col min="3365" max="3584" width="2.7109375" style="53"/>
    <col min="3585" max="3587" width="3.5703125" style="53" customWidth="1"/>
    <col min="3588" max="3592" width="2.7109375" style="53"/>
    <col min="3593" max="3593" width="3.5703125" style="53" customWidth="1"/>
    <col min="3594" max="3594" width="2.7109375" style="53"/>
    <col min="3595" max="3595" width="4.140625" style="53" customWidth="1"/>
    <col min="3596" max="3599" width="3.5703125" style="53" customWidth="1"/>
    <col min="3600" max="3607" width="2.7109375" style="53"/>
    <col min="3608" max="3610" width="2.7109375" style="53" customWidth="1"/>
    <col min="3611" max="3612" width="2.7109375" style="53"/>
    <col min="3613" max="3613" width="2.7109375" style="53" customWidth="1"/>
    <col min="3614" max="3616" width="3" style="53" customWidth="1"/>
    <col min="3617" max="3617" width="5.5703125" style="53" customWidth="1"/>
    <col min="3618" max="3618" width="8" style="53" customWidth="1"/>
    <col min="3619" max="3620" width="10.140625" style="53" customWidth="1"/>
    <col min="3621" max="3840" width="2.7109375" style="53"/>
    <col min="3841" max="3843" width="3.5703125" style="53" customWidth="1"/>
    <col min="3844" max="3848" width="2.7109375" style="53"/>
    <col min="3849" max="3849" width="3.5703125" style="53" customWidth="1"/>
    <col min="3850" max="3850" width="2.7109375" style="53"/>
    <col min="3851" max="3851" width="4.140625" style="53" customWidth="1"/>
    <col min="3852" max="3855" width="3.5703125" style="53" customWidth="1"/>
    <col min="3856" max="3863" width="2.7109375" style="53"/>
    <col min="3864" max="3866" width="2.7109375" style="53" customWidth="1"/>
    <col min="3867" max="3868" width="2.7109375" style="53"/>
    <col min="3869" max="3869" width="2.7109375" style="53" customWidth="1"/>
    <col min="3870" max="3872" width="3" style="53" customWidth="1"/>
    <col min="3873" max="3873" width="5.5703125" style="53" customWidth="1"/>
    <col min="3874" max="3874" width="8" style="53" customWidth="1"/>
    <col min="3875" max="3876" width="10.140625" style="53" customWidth="1"/>
    <col min="3877" max="4096" width="2.7109375" style="53"/>
    <col min="4097" max="4099" width="3.5703125" style="53" customWidth="1"/>
    <col min="4100" max="4104" width="2.7109375" style="53"/>
    <col min="4105" max="4105" width="3.5703125" style="53" customWidth="1"/>
    <col min="4106" max="4106" width="2.7109375" style="53"/>
    <col min="4107" max="4107" width="4.140625" style="53" customWidth="1"/>
    <col min="4108" max="4111" width="3.5703125" style="53" customWidth="1"/>
    <col min="4112" max="4119" width="2.7109375" style="53"/>
    <col min="4120" max="4122" width="2.7109375" style="53" customWidth="1"/>
    <col min="4123" max="4124" width="2.7109375" style="53"/>
    <col min="4125" max="4125" width="2.7109375" style="53" customWidth="1"/>
    <col min="4126" max="4128" width="3" style="53" customWidth="1"/>
    <col min="4129" max="4129" width="5.5703125" style="53" customWidth="1"/>
    <col min="4130" max="4130" width="8" style="53" customWidth="1"/>
    <col min="4131" max="4132" width="10.140625" style="53" customWidth="1"/>
    <col min="4133" max="4352" width="2.7109375" style="53"/>
    <col min="4353" max="4355" width="3.5703125" style="53" customWidth="1"/>
    <col min="4356" max="4360" width="2.7109375" style="53"/>
    <col min="4361" max="4361" width="3.5703125" style="53" customWidth="1"/>
    <col min="4362" max="4362" width="2.7109375" style="53"/>
    <col min="4363" max="4363" width="4.140625" style="53" customWidth="1"/>
    <col min="4364" max="4367" width="3.5703125" style="53" customWidth="1"/>
    <col min="4368" max="4375" width="2.7109375" style="53"/>
    <col min="4376" max="4378" width="2.7109375" style="53" customWidth="1"/>
    <col min="4379" max="4380" width="2.7109375" style="53"/>
    <col min="4381" max="4381" width="2.7109375" style="53" customWidth="1"/>
    <col min="4382" max="4384" width="3" style="53" customWidth="1"/>
    <col min="4385" max="4385" width="5.5703125" style="53" customWidth="1"/>
    <col min="4386" max="4386" width="8" style="53" customWidth="1"/>
    <col min="4387" max="4388" width="10.140625" style="53" customWidth="1"/>
    <col min="4389" max="4608" width="2.7109375" style="53"/>
    <col min="4609" max="4611" width="3.5703125" style="53" customWidth="1"/>
    <col min="4612" max="4616" width="2.7109375" style="53"/>
    <col min="4617" max="4617" width="3.5703125" style="53" customWidth="1"/>
    <col min="4618" max="4618" width="2.7109375" style="53"/>
    <col min="4619" max="4619" width="4.140625" style="53" customWidth="1"/>
    <col min="4620" max="4623" width="3.5703125" style="53" customWidth="1"/>
    <col min="4624" max="4631" width="2.7109375" style="53"/>
    <col min="4632" max="4634" width="2.7109375" style="53" customWidth="1"/>
    <col min="4635" max="4636" width="2.7109375" style="53"/>
    <col min="4637" max="4637" width="2.7109375" style="53" customWidth="1"/>
    <col min="4638" max="4640" width="3" style="53" customWidth="1"/>
    <col min="4641" max="4641" width="5.5703125" style="53" customWidth="1"/>
    <col min="4642" max="4642" width="8" style="53" customWidth="1"/>
    <col min="4643" max="4644" width="10.140625" style="53" customWidth="1"/>
    <col min="4645" max="4864" width="2.7109375" style="53"/>
    <col min="4865" max="4867" width="3.5703125" style="53" customWidth="1"/>
    <col min="4868" max="4872" width="2.7109375" style="53"/>
    <col min="4873" max="4873" width="3.5703125" style="53" customWidth="1"/>
    <col min="4874" max="4874" width="2.7109375" style="53"/>
    <col min="4875" max="4875" width="4.140625" style="53" customWidth="1"/>
    <col min="4876" max="4879" width="3.5703125" style="53" customWidth="1"/>
    <col min="4880" max="4887" width="2.7109375" style="53"/>
    <col min="4888" max="4890" width="2.7109375" style="53" customWidth="1"/>
    <col min="4891" max="4892" width="2.7109375" style="53"/>
    <col min="4893" max="4893" width="2.7109375" style="53" customWidth="1"/>
    <col min="4894" max="4896" width="3" style="53" customWidth="1"/>
    <col min="4897" max="4897" width="5.5703125" style="53" customWidth="1"/>
    <col min="4898" max="4898" width="8" style="53" customWidth="1"/>
    <col min="4899" max="4900" width="10.140625" style="53" customWidth="1"/>
    <col min="4901" max="5120" width="2.7109375" style="53"/>
    <col min="5121" max="5123" width="3.5703125" style="53" customWidth="1"/>
    <col min="5124" max="5128" width="2.7109375" style="53"/>
    <col min="5129" max="5129" width="3.5703125" style="53" customWidth="1"/>
    <col min="5130" max="5130" width="2.7109375" style="53"/>
    <col min="5131" max="5131" width="4.140625" style="53" customWidth="1"/>
    <col min="5132" max="5135" width="3.5703125" style="53" customWidth="1"/>
    <col min="5136" max="5143" width="2.7109375" style="53"/>
    <col min="5144" max="5146" width="2.7109375" style="53" customWidth="1"/>
    <col min="5147" max="5148" width="2.7109375" style="53"/>
    <col min="5149" max="5149" width="2.7109375" style="53" customWidth="1"/>
    <col min="5150" max="5152" width="3" style="53" customWidth="1"/>
    <col min="5153" max="5153" width="5.5703125" style="53" customWidth="1"/>
    <col min="5154" max="5154" width="8" style="53" customWidth="1"/>
    <col min="5155" max="5156" width="10.140625" style="53" customWidth="1"/>
    <col min="5157" max="5376" width="2.7109375" style="53"/>
    <col min="5377" max="5379" width="3.5703125" style="53" customWidth="1"/>
    <col min="5380" max="5384" width="2.7109375" style="53"/>
    <col min="5385" max="5385" width="3.5703125" style="53" customWidth="1"/>
    <col min="5386" max="5386" width="2.7109375" style="53"/>
    <col min="5387" max="5387" width="4.140625" style="53" customWidth="1"/>
    <col min="5388" max="5391" width="3.5703125" style="53" customWidth="1"/>
    <col min="5392" max="5399" width="2.7109375" style="53"/>
    <col min="5400" max="5402" width="2.7109375" style="53" customWidth="1"/>
    <col min="5403" max="5404" width="2.7109375" style="53"/>
    <col min="5405" max="5405" width="2.7109375" style="53" customWidth="1"/>
    <col min="5406" max="5408" width="3" style="53" customWidth="1"/>
    <col min="5409" max="5409" width="5.5703125" style="53" customWidth="1"/>
    <col min="5410" max="5410" width="8" style="53" customWidth="1"/>
    <col min="5411" max="5412" width="10.140625" style="53" customWidth="1"/>
    <col min="5413" max="5632" width="2.7109375" style="53"/>
    <col min="5633" max="5635" width="3.5703125" style="53" customWidth="1"/>
    <col min="5636" max="5640" width="2.7109375" style="53"/>
    <col min="5641" max="5641" width="3.5703125" style="53" customWidth="1"/>
    <col min="5642" max="5642" width="2.7109375" style="53"/>
    <col min="5643" max="5643" width="4.140625" style="53" customWidth="1"/>
    <col min="5644" max="5647" width="3.5703125" style="53" customWidth="1"/>
    <col min="5648" max="5655" width="2.7109375" style="53"/>
    <col min="5656" max="5658" width="2.7109375" style="53" customWidth="1"/>
    <col min="5659" max="5660" width="2.7109375" style="53"/>
    <col min="5661" max="5661" width="2.7109375" style="53" customWidth="1"/>
    <col min="5662" max="5664" width="3" style="53" customWidth="1"/>
    <col min="5665" max="5665" width="5.5703125" style="53" customWidth="1"/>
    <col min="5666" max="5666" width="8" style="53" customWidth="1"/>
    <col min="5667" max="5668" width="10.140625" style="53" customWidth="1"/>
    <col min="5669" max="5888" width="2.7109375" style="53"/>
    <col min="5889" max="5891" width="3.5703125" style="53" customWidth="1"/>
    <col min="5892" max="5896" width="2.7109375" style="53"/>
    <col min="5897" max="5897" width="3.5703125" style="53" customWidth="1"/>
    <col min="5898" max="5898" width="2.7109375" style="53"/>
    <col min="5899" max="5899" width="4.140625" style="53" customWidth="1"/>
    <col min="5900" max="5903" width="3.5703125" style="53" customWidth="1"/>
    <col min="5904" max="5911" width="2.7109375" style="53"/>
    <col min="5912" max="5914" width="2.7109375" style="53" customWidth="1"/>
    <col min="5915" max="5916" width="2.7109375" style="53"/>
    <col min="5917" max="5917" width="2.7109375" style="53" customWidth="1"/>
    <col min="5918" max="5920" width="3" style="53" customWidth="1"/>
    <col min="5921" max="5921" width="5.5703125" style="53" customWidth="1"/>
    <col min="5922" max="5922" width="8" style="53" customWidth="1"/>
    <col min="5923" max="5924" width="10.140625" style="53" customWidth="1"/>
    <col min="5925" max="6144" width="2.7109375" style="53"/>
    <col min="6145" max="6147" width="3.5703125" style="53" customWidth="1"/>
    <col min="6148" max="6152" width="2.7109375" style="53"/>
    <col min="6153" max="6153" width="3.5703125" style="53" customWidth="1"/>
    <col min="6154" max="6154" width="2.7109375" style="53"/>
    <col min="6155" max="6155" width="4.140625" style="53" customWidth="1"/>
    <col min="6156" max="6159" width="3.5703125" style="53" customWidth="1"/>
    <col min="6160" max="6167" width="2.7109375" style="53"/>
    <col min="6168" max="6170" width="2.7109375" style="53" customWidth="1"/>
    <col min="6171" max="6172" width="2.7109375" style="53"/>
    <col min="6173" max="6173" width="2.7109375" style="53" customWidth="1"/>
    <col min="6174" max="6176" width="3" style="53" customWidth="1"/>
    <col min="6177" max="6177" width="5.5703125" style="53" customWidth="1"/>
    <col min="6178" max="6178" width="8" style="53" customWidth="1"/>
    <col min="6179" max="6180" width="10.140625" style="53" customWidth="1"/>
    <col min="6181" max="6400" width="2.7109375" style="53"/>
    <col min="6401" max="6403" width="3.5703125" style="53" customWidth="1"/>
    <col min="6404" max="6408" width="2.7109375" style="53"/>
    <col min="6409" max="6409" width="3.5703125" style="53" customWidth="1"/>
    <col min="6410" max="6410" width="2.7109375" style="53"/>
    <col min="6411" max="6411" width="4.140625" style="53" customWidth="1"/>
    <col min="6412" max="6415" width="3.5703125" style="53" customWidth="1"/>
    <col min="6416" max="6423" width="2.7109375" style="53"/>
    <col min="6424" max="6426" width="2.7109375" style="53" customWidth="1"/>
    <col min="6427" max="6428" width="2.7109375" style="53"/>
    <col min="6429" max="6429" width="2.7109375" style="53" customWidth="1"/>
    <col min="6430" max="6432" width="3" style="53" customWidth="1"/>
    <col min="6433" max="6433" width="5.5703125" style="53" customWidth="1"/>
    <col min="6434" max="6434" width="8" style="53" customWidth="1"/>
    <col min="6435" max="6436" width="10.140625" style="53" customWidth="1"/>
    <col min="6437" max="6656" width="2.7109375" style="53"/>
    <col min="6657" max="6659" width="3.5703125" style="53" customWidth="1"/>
    <col min="6660" max="6664" width="2.7109375" style="53"/>
    <col min="6665" max="6665" width="3.5703125" style="53" customWidth="1"/>
    <col min="6666" max="6666" width="2.7109375" style="53"/>
    <col min="6667" max="6667" width="4.140625" style="53" customWidth="1"/>
    <col min="6668" max="6671" width="3.5703125" style="53" customWidth="1"/>
    <col min="6672" max="6679" width="2.7109375" style="53"/>
    <col min="6680" max="6682" width="2.7109375" style="53" customWidth="1"/>
    <col min="6683" max="6684" width="2.7109375" style="53"/>
    <col min="6685" max="6685" width="2.7109375" style="53" customWidth="1"/>
    <col min="6686" max="6688" width="3" style="53" customWidth="1"/>
    <col min="6689" max="6689" width="5.5703125" style="53" customWidth="1"/>
    <col min="6690" max="6690" width="8" style="53" customWidth="1"/>
    <col min="6691" max="6692" width="10.140625" style="53" customWidth="1"/>
    <col min="6693" max="6912" width="2.7109375" style="53"/>
    <col min="6913" max="6915" width="3.5703125" style="53" customWidth="1"/>
    <col min="6916" max="6920" width="2.7109375" style="53"/>
    <col min="6921" max="6921" width="3.5703125" style="53" customWidth="1"/>
    <col min="6922" max="6922" width="2.7109375" style="53"/>
    <col min="6923" max="6923" width="4.140625" style="53" customWidth="1"/>
    <col min="6924" max="6927" width="3.5703125" style="53" customWidth="1"/>
    <col min="6928" max="6935" width="2.7109375" style="53"/>
    <col min="6936" max="6938" width="2.7109375" style="53" customWidth="1"/>
    <col min="6939" max="6940" width="2.7109375" style="53"/>
    <col min="6941" max="6941" width="2.7109375" style="53" customWidth="1"/>
    <col min="6942" max="6944" width="3" style="53" customWidth="1"/>
    <col min="6945" max="6945" width="5.5703125" style="53" customWidth="1"/>
    <col min="6946" max="6946" width="8" style="53" customWidth="1"/>
    <col min="6947" max="6948" width="10.140625" style="53" customWidth="1"/>
    <col min="6949" max="7168" width="2.7109375" style="53"/>
    <col min="7169" max="7171" width="3.5703125" style="53" customWidth="1"/>
    <col min="7172" max="7176" width="2.7109375" style="53"/>
    <col min="7177" max="7177" width="3.5703125" style="53" customWidth="1"/>
    <col min="7178" max="7178" width="2.7109375" style="53"/>
    <col min="7179" max="7179" width="4.140625" style="53" customWidth="1"/>
    <col min="7180" max="7183" width="3.5703125" style="53" customWidth="1"/>
    <col min="7184" max="7191" width="2.7109375" style="53"/>
    <col min="7192" max="7194" width="2.7109375" style="53" customWidth="1"/>
    <col min="7195" max="7196" width="2.7109375" style="53"/>
    <col min="7197" max="7197" width="2.7109375" style="53" customWidth="1"/>
    <col min="7198" max="7200" width="3" style="53" customWidth="1"/>
    <col min="7201" max="7201" width="5.5703125" style="53" customWidth="1"/>
    <col min="7202" max="7202" width="8" style="53" customWidth="1"/>
    <col min="7203" max="7204" width="10.140625" style="53" customWidth="1"/>
    <col min="7205" max="7424" width="2.7109375" style="53"/>
    <col min="7425" max="7427" width="3.5703125" style="53" customWidth="1"/>
    <col min="7428" max="7432" width="2.7109375" style="53"/>
    <col min="7433" max="7433" width="3.5703125" style="53" customWidth="1"/>
    <col min="7434" max="7434" width="2.7109375" style="53"/>
    <col min="7435" max="7435" width="4.140625" style="53" customWidth="1"/>
    <col min="7436" max="7439" width="3.5703125" style="53" customWidth="1"/>
    <col min="7440" max="7447" width="2.7109375" style="53"/>
    <col min="7448" max="7450" width="2.7109375" style="53" customWidth="1"/>
    <col min="7451" max="7452" width="2.7109375" style="53"/>
    <col min="7453" max="7453" width="2.7109375" style="53" customWidth="1"/>
    <col min="7454" max="7456" width="3" style="53" customWidth="1"/>
    <col min="7457" max="7457" width="5.5703125" style="53" customWidth="1"/>
    <col min="7458" max="7458" width="8" style="53" customWidth="1"/>
    <col min="7459" max="7460" width="10.140625" style="53" customWidth="1"/>
    <col min="7461" max="7680" width="2.7109375" style="53"/>
    <col min="7681" max="7683" width="3.5703125" style="53" customWidth="1"/>
    <col min="7684" max="7688" width="2.7109375" style="53"/>
    <col min="7689" max="7689" width="3.5703125" style="53" customWidth="1"/>
    <col min="7690" max="7690" width="2.7109375" style="53"/>
    <col min="7691" max="7691" width="4.140625" style="53" customWidth="1"/>
    <col min="7692" max="7695" width="3.5703125" style="53" customWidth="1"/>
    <col min="7696" max="7703" width="2.7109375" style="53"/>
    <col min="7704" max="7706" width="2.7109375" style="53" customWidth="1"/>
    <col min="7707" max="7708" width="2.7109375" style="53"/>
    <col min="7709" max="7709" width="2.7109375" style="53" customWidth="1"/>
    <col min="7710" max="7712" width="3" style="53" customWidth="1"/>
    <col min="7713" max="7713" width="5.5703125" style="53" customWidth="1"/>
    <col min="7714" max="7714" width="8" style="53" customWidth="1"/>
    <col min="7715" max="7716" width="10.140625" style="53" customWidth="1"/>
    <col min="7717" max="7936" width="2.7109375" style="53"/>
    <col min="7937" max="7939" width="3.5703125" style="53" customWidth="1"/>
    <col min="7940" max="7944" width="2.7109375" style="53"/>
    <col min="7945" max="7945" width="3.5703125" style="53" customWidth="1"/>
    <col min="7946" max="7946" width="2.7109375" style="53"/>
    <col min="7947" max="7947" width="4.140625" style="53" customWidth="1"/>
    <col min="7948" max="7951" width="3.5703125" style="53" customWidth="1"/>
    <col min="7952" max="7959" width="2.7109375" style="53"/>
    <col min="7960" max="7962" width="2.7109375" style="53" customWidth="1"/>
    <col min="7963" max="7964" width="2.7109375" style="53"/>
    <col min="7965" max="7965" width="2.7109375" style="53" customWidth="1"/>
    <col min="7966" max="7968" width="3" style="53" customWidth="1"/>
    <col min="7969" max="7969" width="5.5703125" style="53" customWidth="1"/>
    <col min="7970" max="7970" width="8" style="53" customWidth="1"/>
    <col min="7971" max="7972" width="10.140625" style="53" customWidth="1"/>
    <col min="7973" max="8192" width="2.7109375" style="53"/>
    <col min="8193" max="8195" width="3.5703125" style="53" customWidth="1"/>
    <col min="8196" max="8200" width="2.7109375" style="53"/>
    <col min="8201" max="8201" width="3.5703125" style="53" customWidth="1"/>
    <col min="8202" max="8202" width="2.7109375" style="53"/>
    <col min="8203" max="8203" width="4.140625" style="53" customWidth="1"/>
    <col min="8204" max="8207" width="3.5703125" style="53" customWidth="1"/>
    <col min="8208" max="8215" width="2.7109375" style="53"/>
    <col min="8216" max="8218" width="2.7109375" style="53" customWidth="1"/>
    <col min="8219" max="8220" width="2.7109375" style="53"/>
    <col min="8221" max="8221" width="2.7109375" style="53" customWidth="1"/>
    <col min="8222" max="8224" width="3" style="53" customWidth="1"/>
    <col min="8225" max="8225" width="5.5703125" style="53" customWidth="1"/>
    <col min="8226" max="8226" width="8" style="53" customWidth="1"/>
    <col min="8227" max="8228" width="10.140625" style="53" customWidth="1"/>
    <col min="8229" max="8448" width="2.7109375" style="53"/>
    <col min="8449" max="8451" width="3.5703125" style="53" customWidth="1"/>
    <col min="8452" max="8456" width="2.7109375" style="53"/>
    <col min="8457" max="8457" width="3.5703125" style="53" customWidth="1"/>
    <col min="8458" max="8458" width="2.7109375" style="53"/>
    <col min="8459" max="8459" width="4.140625" style="53" customWidth="1"/>
    <col min="8460" max="8463" width="3.5703125" style="53" customWidth="1"/>
    <col min="8464" max="8471" width="2.7109375" style="53"/>
    <col min="8472" max="8474" width="2.7109375" style="53" customWidth="1"/>
    <col min="8475" max="8476" width="2.7109375" style="53"/>
    <col min="8477" max="8477" width="2.7109375" style="53" customWidth="1"/>
    <col min="8478" max="8480" width="3" style="53" customWidth="1"/>
    <col min="8481" max="8481" width="5.5703125" style="53" customWidth="1"/>
    <col min="8482" max="8482" width="8" style="53" customWidth="1"/>
    <col min="8483" max="8484" width="10.140625" style="53" customWidth="1"/>
    <col min="8485" max="8704" width="2.7109375" style="53"/>
    <col min="8705" max="8707" width="3.5703125" style="53" customWidth="1"/>
    <col min="8708" max="8712" width="2.7109375" style="53"/>
    <col min="8713" max="8713" width="3.5703125" style="53" customWidth="1"/>
    <col min="8714" max="8714" width="2.7109375" style="53"/>
    <col min="8715" max="8715" width="4.140625" style="53" customWidth="1"/>
    <col min="8716" max="8719" width="3.5703125" style="53" customWidth="1"/>
    <col min="8720" max="8727" width="2.7109375" style="53"/>
    <col min="8728" max="8730" width="2.7109375" style="53" customWidth="1"/>
    <col min="8731" max="8732" width="2.7109375" style="53"/>
    <col min="8733" max="8733" width="2.7109375" style="53" customWidth="1"/>
    <col min="8734" max="8736" width="3" style="53" customWidth="1"/>
    <col min="8737" max="8737" width="5.5703125" style="53" customWidth="1"/>
    <col min="8738" max="8738" width="8" style="53" customWidth="1"/>
    <col min="8739" max="8740" width="10.140625" style="53" customWidth="1"/>
    <col min="8741" max="8960" width="2.7109375" style="53"/>
    <col min="8961" max="8963" width="3.5703125" style="53" customWidth="1"/>
    <col min="8964" max="8968" width="2.7109375" style="53"/>
    <col min="8969" max="8969" width="3.5703125" style="53" customWidth="1"/>
    <col min="8970" max="8970" width="2.7109375" style="53"/>
    <col min="8971" max="8971" width="4.140625" style="53" customWidth="1"/>
    <col min="8972" max="8975" width="3.5703125" style="53" customWidth="1"/>
    <col min="8976" max="8983" width="2.7109375" style="53"/>
    <col min="8984" max="8986" width="2.7109375" style="53" customWidth="1"/>
    <col min="8987" max="8988" width="2.7109375" style="53"/>
    <col min="8989" max="8989" width="2.7109375" style="53" customWidth="1"/>
    <col min="8990" max="8992" width="3" style="53" customWidth="1"/>
    <col min="8993" max="8993" width="5.5703125" style="53" customWidth="1"/>
    <col min="8994" max="8994" width="8" style="53" customWidth="1"/>
    <col min="8995" max="8996" width="10.140625" style="53" customWidth="1"/>
    <col min="8997" max="9216" width="2.7109375" style="53"/>
    <col min="9217" max="9219" width="3.5703125" style="53" customWidth="1"/>
    <col min="9220" max="9224" width="2.7109375" style="53"/>
    <col min="9225" max="9225" width="3.5703125" style="53" customWidth="1"/>
    <col min="9226" max="9226" width="2.7109375" style="53"/>
    <col min="9227" max="9227" width="4.140625" style="53" customWidth="1"/>
    <col min="9228" max="9231" width="3.5703125" style="53" customWidth="1"/>
    <col min="9232" max="9239" width="2.7109375" style="53"/>
    <col min="9240" max="9242" width="2.7109375" style="53" customWidth="1"/>
    <col min="9243" max="9244" width="2.7109375" style="53"/>
    <col min="9245" max="9245" width="2.7109375" style="53" customWidth="1"/>
    <col min="9246" max="9248" width="3" style="53" customWidth="1"/>
    <col min="9249" max="9249" width="5.5703125" style="53" customWidth="1"/>
    <col min="9250" max="9250" width="8" style="53" customWidth="1"/>
    <col min="9251" max="9252" width="10.140625" style="53" customWidth="1"/>
    <col min="9253" max="9472" width="2.7109375" style="53"/>
    <col min="9473" max="9475" width="3.5703125" style="53" customWidth="1"/>
    <col min="9476" max="9480" width="2.7109375" style="53"/>
    <col min="9481" max="9481" width="3.5703125" style="53" customWidth="1"/>
    <col min="9482" max="9482" width="2.7109375" style="53"/>
    <col min="9483" max="9483" width="4.140625" style="53" customWidth="1"/>
    <col min="9484" max="9487" width="3.5703125" style="53" customWidth="1"/>
    <col min="9488" max="9495" width="2.7109375" style="53"/>
    <col min="9496" max="9498" width="2.7109375" style="53" customWidth="1"/>
    <col min="9499" max="9500" width="2.7109375" style="53"/>
    <col min="9501" max="9501" width="2.7109375" style="53" customWidth="1"/>
    <col min="9502" max="9504" width="3" style="53" customWidth="1"/>
    <col min="9505" max="9505" width="5.5703125" style="53" customWidth="1"/>
    <col min="9506" max="9506" width="8" style="53" customWidth="1"/>
    <col min="9507" max="9508" width="10.140625" style="53" customWidth="1"/>
    <col min="9509" max="9728" width="2.7109375" style="53"/>
    <col min="9729" max="9731" width="3.5703125" style="53" customWidth="1"/>
    <col min="9732" max="9736" width="2.7109375" style="53"/>
    <col min="9737" max="9737" width="3.5703125" style="53" customWidth="1"/>
    <col min="9738" max="9738" width="2.7109375" style="53"/>
    <col min="9739" max="9739" width="4.140625" style="53" customWidth="1"/>
    <col min="9740" max="9743" width="3.5703125" style="53" customWidth="1"/>
    <col min="9744" max="9751" width="2.7109375" style="53"/>
    <col min="9752" max="9754" width="2.7109375" style="53" customWidth="1"/>
    <col min="9755" max="9756" width="2.7109375" style="53"/>
    <col min="9757" max="9757" width="2.7109375" style="53" customWidth="1"/>
    <col min="9758" max="9760" width="3" style="53" customWidth="1"/>
    <col min="9761" max="9761" width="5.5703125" style="53" customWidth="1"/>
    <col min="9762" max="9762" width="8" style="53" customWidth="1"/>
    <col min="9763" max="9764" width="10.140625" style="53" customWidth="1"/>
    <col min="9765" max="9984" width="2.7109375" style="53"/>
    <col min="9985" max="9987" width="3.5703125" style="53" customWidth="1"/>
    <col min="9988" max="9992" width="2.7109375" style="53"/>
    <col min="9993" max="9993" width="3.5703125" style="53" customWidth="1"/>
    <col min="9994" max="9994" width="2.7109375" style="53"/>
    <col min="9995" max="9995" width="4.140625" style="53" customWidth="1"/>
    <col min="9996" max="9999" width="3.5703125" style="53" customWidth="1"/>
    <col min="10000" max="10007" width="2.7109375" style="53"/>
    <col min="10008" max="10010" width="2.7109375" style="53" customWidth="1"/>
    <col min="10011" max="10012" width="2.7109375" style="53"/>
    <col min="10013" max="10013" width="2.7109375" style="53" customWidth="1"/>
    <col min="10014" max="10016" width="3" style="53" customWidth="1"/>
    <col min="10017" max="10017" width="5.5703125" style="53" customWidth="1"/>
    <col min="10018" max="10018" width="8" style="53" customWidth="1"/>
    <col min="10019" max="10020" width="10.140625" style="53" customWidth="1"/>
    <col min="10021" max="10240" width="2.7109375" style="53"/>
    <col min="10241" max="10243" width="3.5703125" style="53" customWidth="1"/>
    <col min="10244" max="10248" width="2.7109375" style="53"/>
    <col min="10249" max="10249" width="3.5703125" style="53" customWidth="1"/>
    <col min="10250" max="10250" width="2.7109375" style="53"/>
    <col min="10251" max="10251" width="4.140625" style="53" customWidth="1"/>
    <col min="10252" max="10255" width="3.5703125" style="53" customWidth="1"/>
    <col min="10256" max="10263" width="2.7109375" style="53"/>
    <col min="10264" max="10266" width="2.7109375" style="53" customWidth="1"/>
    <col min="10267" max="10268" width="2.7109375" style="53"/>
    <col min="10269" max="10269" width="2.7109375" style="53" customWidth="1"/>
    <col min="10270" max="10272" width="3" style="53" customWidth="1"/>
    <col min="10273" max="10273" width="5.5703125" style="53" customWidth="1"/>
    <col min="10274" max="10274" width="8" style="53" customWidth="1"/>
    <col min="10275" max="10276" width="10.140625" style="53" customWidth="1"/>
    <col min="10277" max="10496" width="2.7109375" style="53"/>
    <col min="10497" max="10499" width="3.5703125" style="53" customWidth="1"/>
    <col min="10500" max="10504" width="2.7109375" style="53"/>
    <col min="10505" max="10505" width="3.5703125" style="53" customWidth="1"/>
    <col min="10506" max="10506" width="2.7109375" style="53"/>
    <col min="10507" max="10507" width="4.140625" style="53" customWidth="1"/>
    <col min="10508" max="10511" width="3.5703125" style="53" customWidth="1"/>
    <col min="10512" max="10519" width="2.7109375" style="53"/>
    <col min="10520" max="10522" width="2.7109375" style="53" customWidth="1"/>
    <col min="10523" max="10524" width="2.7109375" style="53"/>
    <col min="10525" max="10525" width="2.7109375" style="53" customWidth="1"/>
    <col min="10526" max="10528" width="3" style="53" customWidth="1"/>
    <col min="10529" max="10529" width="5.5703125" style="53" customWidth="1"/>
    <col min="10530" max="10530" width="8" style="53" customWidth="1"/>
    <col min="10531" max="10532" width="10.140625" style="53" customWidth="1"/>
    <col min="10533" max="10752" width="2.7109375" style="53"/>
    <col min="10753" max="10755" width="3.5703125" style="53" customWidth="1"/>
    <col min="10756" max="10760" width="2.7109375" style="53"/>
    <col min="10761" max="10761" width="3.5703125" style="53" customWidth="1"/>
    <col min="10762" max="10762" width="2.7109375" style="53"/>
    <col min="10763" max="10763" width="4.140625" style="53" customWidth="1"/>
    <col min="10764" max="10767" width="3.5703125" style="53" customWidth="1"/>
    <col min="10768" max="10775" width="2.7109375" style="53"/>
    <col min="10776" max="10778" width="2.7109375" style="53" customWidth="1"/>
    <col min="10779" max="10780" width="2.7109375" style="53"/>
    <col min="10781" max="10781" width="2.7109375" style="53" customWidth="1"/>
    <col min="10782" max="10784" width="3" style="53" customWidth="1"/>
    <col min="10785" max="10785" width="5.5703125" style="53" customWidth="1"/>
    <col min="10786" max="10786" width="8" style="53" customWidth="1"/>
    <col min="10787" max="10788" width="10.140625" style="53" customWidth="1"/>
    <col min="10789" max="11008" width="2.7109375" style="53"/>
    <col min="11009" max="11011" width="3.5703125" style="53" customWidth="1"/>
    <col min="11012" max="11016" width="2.7109375" style="53"/>
    <col min="11017" max="11017" width="3.5703125" style="53" customWidth="1"/>
    <col min="11018" max="11018" width="2.7109375" style="53"/>
    <col min="11019" max="11019" width="4.140625" style="53" customWidth="1"/>
    <col min="11020" max="11023" width="3.5703125" style="53" customWidth="1"/>
    <col min="11024" max="11031" width="2.7109375" style="53"/>
    <col min="11032" max="11034" width="2.7109375" style="53" customWidth="1"/>
    <col min="11035" max="11036" width="2.7109375" style="53"/>
    <col min="11037" max="11037" width="2.7109375" style="53" customWidth="1"/>
    <col min="11038" max="11040" width="3" style="53" customWidth="1"/>
    <col min="11041" max="11041" width="5.5703125" style="53" customWidth="1"/>
    <col min="11042" max="11042" width="8" style="53" customWidth="1"/>
    <col min="11043" max="11044" width="10.140625" style="53" customWidth="1"/>
    <col min="11045" max="11264" width="2.7109375" style="53"/>
    <col min="11265" max="11267" width="3.5703125" style="53" customWidth="1"/>
    <col min="11268" max="11272" width="2.7109375" style="53"/>
    <col min="11273" max="11273" width="3.5703125" style="53" customWidth="1"/>
    <col min="11274" max="11274" width="2.7109375" style="53"/>
    <col min="11275" max="11275" width="4.140625" style="53" customWidth="1"/>
    <col min="11276" max="11279" width="3.5703125" style="53" customWidth="1"/>
    <col min="11280" max="11287" width="2.7109375" style="53"/>
    <col min="11288" max="11290" width="2.7109375" style="53" customWidth="1"/>
    <col min="11291" max="11292" width="2.7109375" style="53"/>
    <col min="11293" max="11293" width="2.7109375" style="53" customWidth="1"/>
    <col min="11294" max="11296" width="3" style="53" customWidth="1"/>
    <col min="11297" max="11297" width="5.5703125" style="53" customWidth="1"/>
    <col min="11298" max="11298" width="8" style="53" customWidth="1"/>
    <col min="11299" max="11300" width="10.140625" style="53" customWidth="1"/>
    <col min="11301" max="11520" width="2.7109375" style="53"/>
    <col min="11521" max="11523" width="3.5703125" style="53" customWidth="1"/>
    <col min="11524" max="11528" width="2.7109375" style="53"/>
    <col min="11529" max="11529" width="3.5703125" style="53" customWidth="1"/>
    <col min="11530" max="11530" width="2.7109375" style="53"/>
    <col min="11531" max="11531" width="4.140625" style="53" customWidth="1"/>
    <col min="11532" max="11535" width="3.5703125" style="53" customWidth="1"/>
    <col min="11536" max="11543" width="2.7109375" style="53"/>
    <col min="11544" max="11546" width="2.7109375" style="53" customWidth="1"/>
    <col min="11547" max="11548" width="2.7109375" style="53"/>
    <col min="11549" max="11549" width="2.7109375" style="53" customWidth="1"/>
    <col min="11550" max="11552" width="3" style="53" customWidth="1"/>
    <col min="11553" max="11553" width="5.5703125" style="53" customWidth="1"/>
    <col min="11554" max="11554" width="8" style="53" customWidth="1"/>
    <col min="11555" max="11556" width="10.140625" style="53" customWidth="1"/>
    <col min="11557" max="11776" width="2.7109375" style="53"/>
    <col min="11777" max="11779" width="3.5703125" style="53" customWidth="1"/>
    <col min="11780" max="11784" width="2.7109375" style="53"/>
    <col min="11785" max="11785" width="3.5703125" style="53" customWidth="1"/>
    <col min="11786" max="11786" width="2.7109375" style="53"/>
    <col min="11787" max="11787" width="4.140625" style="53" customWidth="1"/>
    <col min="11788" max="11791" width="3.5703125" style="53" customWidth="1"/>
    <col min="11792" max="11799" width="2.7109375" style="53"/>
    <col min="11800" max="11802" width="2.7109375" style="53" customWidth="1"/>
    <col min="11803" max="11804" width="2.7109375" style="53"/>
    <col min="11805" max="11805" width="2.7109375" style="53" customWidth="1"/>
    <col min="11806" max="11808" width="3" style="53" customWidth="1"/>
    <col min="11809" max="11809" width="5.5703125" style="53" customWidth="1"/>
    <col min="11810" max="11810" width="8" style="53" customWidth="1"/>
    <col min="11811" max="11812" width="10.140625" style="53" customWidth="1"/>
    <col min="11813" max="12032" width="2.7109375" style="53"/>
    <col min="12033" max="12035" width="3.5703125" style="53" customWidth="1"/>
    <col min="12036" max="12040" width="2.7109375" style="53"/>
    <col min="12041" max="12041" width="3.5703125" style="53" customWidth="1"/>
    <col min="12042" max="12042" width="2.7109375" style="53"/>
    <col min="12043" max="12043" width="4.140625" style="53" customWidth="1"/>
    <col min="12044" max="12047" width="3.5703125" style="53" customWidth="1"/>
    <col min="12048" max="12055" width="2.7109375" style="53"/>
    <col min="12056" max="12058" width="2.7109375" style="53" customWidth="1"/>
    <col min="12059" max="12060" width="2.7109375" style="53"/>
    <col min="12061" max="12061" width="2.7109375" style="53" customWidth="1"/>
    <col min="12062" max="12064" width="3" style="53" customWidth="1"/>
    <col min="12065" max="12065" width="5.5703125" style="53" customWidth="1"/>
    <col min="12066" max="12066" width="8" style="53" customWidth="1"/>
    <col min="12067" max="12068" width="10.140625" style="53" customWidth="1"/>
    <col min="12069" max="12288" width="2.7109375" style="53"/>
    <col min="12289" max="12291" width="3.5703125" style="53" customWidth="1"/>
    <col min="12292" max="12296" width="2.7109375" style="53"/>
    <col min="12297" max="12297" width="3.5703125" style="53" customWidth="1"/>
    <col min="12298" max="12298" width="2.7109375" style="53"/>
    <col min="12299" max="12299" width="4.140625" style="53" customWidth="1"/>
    <col min="12300" max="12303" width="3.5703125" style="53" customWidth="1"/>
    <col min="12304" max="12311" width="2.7109375" style="53"/>
    <col min="12312" max="12314" width="2.7109375" style="53" customWidth="1"/>
    <col min="12315" max="12316" width="2.7109375" style="53"/>
    <col min="12317" max="12317" width="2.7109375" style="53" customWidth="1"/>
    <col min="12318" max="12320" width="3" style="53" customWidth="1"/>
    <col min="12321" max="12321" width="5.5703125" style="53" customWidth="1"/>
    <col min="12322" max="12322" width="8" style="53" customWidth="1"/>
    <col min="12323" max="12324" width="10.140625" style="53" customWidth="1"/>
    <col min="12325" max="12544" width="2.7109375" style="53"/>
    <col min="12545" max="12547" width="3.5703125" style="53" customWidth="1"/>
    <col min="12548" max="12552" width="2.7109375" style="53"/>
    <col min="12553" max="12553" width="3.5703125" style="53" customWidth="1"/>
    <col min="12554" max="12554" width="2.7109375" style="53"/>
    <col min="12555" max="12555" width="4.140625" style="53" customWidth="1"/>
    <col min="12556" max="12559" width="3.5703125" style="53" customWidth="1"/>
    <col min="12560" max="12567" width="2.7109375" style="53"/>
    <col min="12568" max="12570" width="2.7109375" style="53" customWidth="1"/>
    <col min="12571" max="12572" width="2.7109375" style="53"/>
    <col min="12573" max="12573" width="2.7109375" style="53" customWidth="1"/>
    <col min="12574" max="12576" width="3" style="53" customWidth="1"/>
    <col min="12577" max="12577" width="5.5703125" style="53" customWidth="1"/>
    <col min="12578" max="12578" width="8" style="53" customWidth="1"/>
    <col min="12579" max="12580" width="10.140625" style="53" customWidth="1"/>
    <col min="12581" max="12800" width="2.7109375" style="53"/>
    <col min="12801" max="12803" width="3.5703125" style="53" customWidth="1"/>
    <col min="12804" max="12808" width="2.7109375" style="53"/>
    <col min="12809" max="12809" width="3.5703125" style="53" customWidth="1"/>
    <col min="12810" max="12810" width="2.7109375" style="53"/>
    <col min="12811" max="12811" width="4.140625" style="53" customWidth="1"/>
    <col min="12812" max="12815" width="3.5703125" style="53" customWidth="1"/>
    <col min="12816" max="12823" width="2.7109375" style="53"/>
    <col min="12824" max="12826" width="2.7109375" style="53" customWidth="1"/>
    <col min="12827" max="12828" width="2.7109375" style="53"/>
    <col min="12829" max="12829" width="2.7109375" style="53" customWidth="1"/>
    <col min="12830" max="12832" width="3" style="53" customWidth="1"/>
    <col min="12833" max="12833" width="5.5703125" style="53" customWidth="1"/>
    <col min="12834" max="12834" width="8" style="53" customWidth="1"/>
    <col min="12835" max="12836" width="10.140625" style="53" customWidth="1"/>
    <col min="12837" max="13056" width="2.7109375" style="53"/>
    <col min="13057" max="13059" width="3.5703125" style="53" customWidth="1"/>
    <col min="13060" max="13064" width="2.7109375" style="53"/>
    <col min="13065" max="13065" width="3.5703125" style="53" customWidth="1"/>
    <col min="13066" max="13066" width="2.7109375" style="53"/>
    <col min="13067" max="13067" width="4.140625" style="53" customWidth="1"/>
    <col min="13068" max="13071" width="3.5703125" style="53" customWidth="1"/>
    <col min="13072" max="13079" width="2.7109375" style="53"/>
    <col min="13080" max="13082" width="2.7109375" style="53" customWidth="1"/>
    <col min="13083" max="13084" width="2.7109375" style="53"/>
    <col min="13085" max="13085" width="2.7109375" style="53" customWidth="1"/>
    <col min="13086" max="13088" width="3" style="53" customWidth="1"/>
    <col min="13089" max="13089" width="5.5703125" style="53" customWidth="1"/>
    <col min="13090" max="13090" width="8" style="53" customWidth="1"/>
    <col min="13091" max="13092" width="10.140625" style="53" customWidth="1"/>
    <col min="13093" max="13312" width="2.7109375" style="53"/>
    <col min="13313" max="13315" width="3.5703125" style="53" customWidth="1"/>
    <col min="13316" max="13320" width="2.7109375" style="53"/>
    <col min="13321" max="13321" width="3.5703125" style="53" customWidth="1"/>
    <col min="13322" max="13322" width="2.7109375" style="53"/>
    <col min="13323" max="13323" width="4.140625" style="53" customWidth="1"/>
    <col min="13324" max="13327" width="3.5703125" style="53" customWidth="1"/>
    <col min="13328" max="13335" width="2.7109375" style="53"/>
    <col min="13336" max="13338" width="2.7109375" style="53" customWidth="1"/>
    <col min="13339" max="13340" width="2.7109375" style="53"/>
    <col min="13341" max="13341" width="2.7109375" style="53" customWidth="1"/>
    <col min="13342" max="13344" width="3" style="53" customWidth="1"/>
    <col min="13345" max="13345" width="5.5703125" style="53" customWidth="1"/>
    <col min="13346" max="13346" width="8" style="53" customWidth="1"/>
    <col min="13347" max="13348" width="10.140625" style="53" customWidth="1"/>
    <col min="13349" max="13568" width="2.7109375" style="53"/>
    <col min="13569" max="13571" width="3.5703125" style="53" customWidth="1"/>
    <col min="13572" max="13576" width="2.7109375" style="53"/>
    <col min="13577" max="13577" width="3.5703125" style="53" customWidth="1"/>
    <col min="13578" max="13578" width="2.7109375" style="53"/>
    <col min="13579" max="13579" width="4.140625" style="53" customWidth="1"/>
    <col min="13580" max="13583" width="3.5703125" style="53" customWidth="1"/>
    <col min="13584" max="13591" width="2.7109375" style="53"/>
    <col min="13592" max="13594" width="2.7109375" style="53" customWidth="1"/>
    <col min="13595" max="13596" width="2.7109375" style="53"/>
    <col min="13597" max="13597" width="2.7109375" style="53" customWidth="1"/>
    <col min="13598" max="13600" width="3" style="53" customWidth="1"/>
    <col min="13601" max="13601" width="5.5703125" style="53" customWidth="1"/>
    <col min="13602" max="13602" width="8" style="53" customWidth="1"/>
    <col min="13603" max="13604" width="10.140625" style="53" customWidth="1"/>
    <col min="13605" max="13824" width="2.7109375" style="53"/>
    <col min="13825" max="13827" width="3.5703125" style="53" customWidth="1"/>
    <col min="13828" max="13832" width="2.7109375" style="53"/>
    <col min="13833" max="13833" width="3.5703125" style="53" customWidth="1"/>
    <col min="13834" max="13834" width="2.7109375" style="53"/>
    <col min="13835" max="13835" width="4.140625" style="53" customWidth="1"/>
    <col min="13836" max="13839" width="3.5703125" style="53" customWidth="1"/>
    <col min="13840" max="13847" width="2.7109375" style="53"/>
    <col min="13848" max="13850" width="2.7109375" style="53" customWidth="1"/>
    <col min="13851" max="13852" width="2.7109375" style="53"/>
    <col min="13853" max="13853" width="2.7109375" style="53" customWidth="1"/>
    <col min="13854" max="13856" width="3" style="53" customWidth="1"/>
    <col min="13857" max="13857" width="5.5703125" style="53" customWidth="1"/>
    <col min="13858" max="13858" width="8" style="53" customWidth="1"/>
    <col min="13859" max="13860" width="10.140625" style="53" customWidth="1"/>
    <col min="13861" max="14080" width="2.7109375" style="53"/>
    <col min="14081" max="14083" width="3.5703125" style="53" customWidth="1"/>
    <col min="14084" max="14088" width="2.7109375" style="53"/>
    <col min="14089" max="14089" width="3.5703125" style="53" customWidth="1"/>
    <col min="14090" max="14090" width="2.7109375" style="53"/>
    <col min="14091" max="14091" width="4.140625" style="53" customWidth="1"/>
    <col min="14092" max="14095" width="3.5703125" style="53" customWidth="1"/>
    <col min="14096" max="14103" width="2.7109375" style="53"/>
    <col min="14104" max="14106" width="2.7109375" style="53" customWidth="1"/>
    <col min="14107" max="14108" width="2.7109375" style="53"/>
    <col min="14109" max="14109" width="2.7109375" style="53" customWidth="1"/>
    <col min="14110" max="14112" width="3" style="53" customWidth="1"/>
    <col min="14113" max="14113" width="5.5703125" style="53" customWidth="1"/>
    <col min="14114" max="14114" width="8" style="53" customWidth="1"/>
    <col min="14115" max="14116" width="10.140625" style="53" customWidth="1"/>
    <col min="14117" max="14336" width="2.7109375" style="53"/>
    <col min="14337" max="14339" width="3.5703125" style="53" customWidth="1"/>
    <col min="14340" max="14344" width="2.7109375" style="53"/>
    <col min="14345" max="14345" width="3.5703125" style="53" customWidth="1"/>
    <col min="14346" max="14346" width="2.7109375" style="53"/>
    <col min="14347" max="14347" width="4.140625" style="53" customWidth="1"/>
    <col min="14348" max="14351" width="3.5703125" style="53" customWidth="1"/>
    <col min="14352" max="14359" width="2.7109375" style="53"/>
    <col min="14360" max="14362" width="2.7109375" style="53" customWidth="1"/>
    <col min="14363" max="14364" width="2.7109375" style="53"/>
    <col min="14365" max="14365" width="2.7109375" style="53" customWidth="1"/>
    <col min="14366" max="14368" width="3" style="53" customWidth="1"/>
    <col min="14369" max="14369" width="5.5703125" style="53" customWidth="1"/>
    <col min="14370" max="14370" width="8" style="53" customWidth="1"/>
    <col min="14371" max="14372" width="10.140625" style="53" customWidth="1"/>
    <col min="14373" max="14592" width="2.7109375" style="53"/>
    <col min="14593" max="14595" width="3.5703125" style="53" customWidth="1"/>
    <col min="14596" max="14600" width="2.7109375" style="53"/>
    <col min="14601" max="14601" width="3.5703125" style="53" customWidth="1"/>
    <col min="14602" max="14602" width="2.7109375" style="53"/>
    <col min="14603" max="14603" width="4.140625" style="53" customWidth="1"/>
    <col min="14604" max="14607" width="3.5703125" style="53" customWidth="1"/>
    <col min="14608" max="14615" width="2.7109375" style="53"/>
    <col min="14616" max="14618" width="2.7109375" style="53" customWidth="1"/>
    <col min="14619" max="14620" width="2.7109375" style="53"/>
    <col min="14621" max="14621" width="2.7109375" style="53" customWidth="1"/>
    <col min="14622" max="14624" width="3" style="53" customWidth="1"/>
    <col min="14625" max="14625" width="5.5703125" style="53" customWidth="1"/>
    <col min="14626" max="14626" width="8" style="53" customWidth="1"/>
    <col min="14627" max="14628" width="10.140625" style="53" customWidth="1"/>
    <col min="14629" max="14848" width="2.7109375" style="53"/>
    <col min="14849" max="14851" width="3.5703125" style="53" customWidth="1"/>
    <col min="14852" max="14856" width="2.7109375" style="53"/>
    <col min="14857" max="14857" width="3.5703125" style="53" customWidth="1"/>
    <col min="14858" max="14858" width="2.7109375" style="53"/>
    <col min="14859" max="14859" width="4.140625" style="53" customWidth="1"/>
    <col min="14860" max="14863" width="3.5703125" style="53" customWidth="1"/>
    <col min="14864" max="14871" width="2.7109375" style="53"/>
    <col min="14872" max="14874" width="2.7109375" style="53" customWidth="1"/>
    <col min="14875" max="14876" width="2.7109375" style="53"/>
    <col min="14877" max="14877" width="2.7109375" style="53" customWidth="1"/>
    <col min="14878" max="14880" width="3" style="53" customWidth="1"/>
    <col min="14881" max="14881" width="5.5703125" style="53" customWidth="1"/>
    <col min="14882" max="14882" width="8" style="53" customWidth="1"/>
    <col min="14883" max="14884" width="10.140625" style="53" customWidth="1"/>
    <col min="14885" max="15104" width="2.7109375" style="53"/>
    <col min="15105" max="15107" width="3.5703125" style="53" customWidth="1"/>
    <col min="15108" max="15112" width="2.7109375" style="53"/>
    <col min="15113" max="15113" width="3.5703125" style="53" customWidth="1"/>
    <col min="15114" max="15114" width="2.7109375" style="53"/>
    <col min="15115" max="15115" width="4.140625" style="53" customWidth="1"/>
    <col min="15116" max="15119" width="3.5703125" style="53" customWidth="1"/>
    <col min="15120" max="15127" width="2.7109375" style="53"/>
    <col min="15128" max="15130" width="2.7109375" style="53" customWidth="1"/>
    <col min="15131" max="15132" width="2.7109375" style="53"/>
    <col min="15133" max="15133" width="2.7109375" style="53" customWidth="1"/>
    <col min="15134" max="15136" width="3" style="53" customWidth="1"/>
    <col min="15137" max="15137" width="5.5703125" style="53" customWidth="1"/>
    <col min="15138" max="15138" width="8" style="53" customWidth="1"/>
    <col min="15139" max="15140" width="10.140625" style="53" customWidth="1"/>
    <col min="15141" max="15360" width="2.7109375" style="53"/>
    <col min="15361" max="15363" width="3.5703125" style="53" customWidth="1"/>
    <col min="15364" max="15368" width="2.7109375" style="53"/>
    <col min="15369" max="15369" width="3.5703125" style="53" customWidth="1"/>
    <col min="15370" max="15370" width="2.7109375" style="53"/>
    <col min="15371" max="15371" width="4.140625" style="53" customWidth="1"/>
    <col min="15372" max="15375" width="3.5703125" style="53" customWidth="1"/>
    <col min="15376" max="15383" width="2.7109375" style="53"/>
    <col min="15384" max="15386" width="2.7109375" style="53" customWidth="1"/>
    <col min="15387" max="15388" width="2.7109375" style="53"/>
    <col min="15389" max="15389" width="2.7109375" style="53" customWidth="1"/>
    <col min="15390" max="15392" width="3" style="53" customWidth="1"/>
    <col min="15393" max="15393" width="5.5703125" style="53" customWidth="1"/>
    <col min="15394" max="15394" width="8" style="53" customWidth="1"/>
    <col min="15395" max="15396" width="10.140625" style="53" customWidth="1"/>
    <col min="15397" max="15616" width="2.7109375" style="53"/>
    <col min="15617" max="15619" width="3.5703125" style="53" customWidth="1"/>
    <col min="15620" max="15624" width="2.7109375" style="53"/>
    <col min="15625" max="15625" width="3.5703125" style="53" customWidth="1"/>
    <col min="15626" max="15626" width="2.7109375" style="53"/>
    <col min="15627" max="15627" width="4.140625" style="53" customWidth="1"/>
    <col min="15628" max="15631" width="3.5703125" style="53" customWidth="1"/>
    <col min="15632" max="15639" width="2.7109375" style="53"/>
    <col min="15640" max="15642" width="2.7109375" style="53" customWidth="1"/>
    <col min="15643" max="15644" width="2.7109375" style="53"/>
    <col min="15645" max="15645" width="2.7109375" style="53" customWidth="1"/>
    <col min="15646" max="15648" width="3" style="53" customWidth="1"/>
    <col min="15649" max="15649" width="5.5703125" style="53" customWidth="1"/>
    <col min="15650" max="15650" width="8" style="53" customWidth="1"/>
    <col min="15651" max="15652" width="10.140625" style="53" customWidth="1"/>
    <col min="15653" max="15872" width="2.7109375" style="53"/>
    <col min="15873" max="15875" width="3.5703125" style="53" customWidth="1"/>
    <col min="15876" max="15880" width="2.7109375" style="53"/>
    <col min="15881" max="15881" width="3.5703125" style="53" customWidth="1"/>
    <col min="15882" max="15882" width="2.7109375" style="53"/>
    <col min="15883" max="15883" width="4.140625" style="53" customWidth="1"/>
    <col min="15884" max="15887" width="3.5703125" style="53" customWidth="1"/>
    <col min="15888" max="15895" width="2.7109375" style="53"/>
    <col min="15896" max="15898" width="2.7109375" style="53" customWidth="1"/>
    <col min="15899" max="15900" width="2.7109375" style="53"/>
    <col min="15901" max="15901" width="2.7109375" style="53" customWidth="1"/>
    <col min="15902" max="15904" width="3" style="53" customWidth="1"/>
    <col min="15905" max="15905" width="5.5703125" style="53" customWidth="1"/>
    <col min="15906" max="15906" width="8" style="53" customWidth="1"/>
    <col min="15907" max="15908" width="10.140625" style="53" customWidth="1"/>
    <col min="15909" max="16128" width="2.7109375" style="53"/>
    <col min="16129" max="16131" width="3.5703125" style="53" customWidth="1"/>
    <col min="16132" max="16136" width="2.7109375" style="53"/>
    <col min="16137" max="16137" width="3.5703125" style="53" customWidth="1"/>
    <col min="16138" max="16138" width="2.7109375" style="53"/>
    <col min="16139" max="16139" width="4.140625" style="53" customWidth="1"/>
    <col min="16140" max="16143" width="3.5703125" style="53" customWidth="1"/>
    <col min="16144" max="16151" width="2.7109375" style="53"/>
    <col min="16152" max="16154" width="2.7109375" style="53" customWidth="1"/>
    <col min="16155" max="16156" width="2.7109375" style="53"/>
    <col min="16157" max="16157" width="2.7109375" style="53" customWidth="1"/>
    <col min="16158" max="16160" width="3" style="53" customWidth="1"/>
    <col min="16161" max="16161" width="5.5703125" style="53" customWidth="1"/>
    <col min="16162" max="16162" width="8" style="53" customWidth="1"/>
    <col min="16163" max="16164" width="10.140625" style="53" customWidth="1"/>
    <col min="16165" max="16384" width="2.7109375" style="53"/>
  </cols>
  <sheetData>
    <row r="1" spans="1:43" ht="6" customHeight="1" thickBot="1" x14ac:dyDescent="0.25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</row>
    <row r="2" spans="1:43" ht="45.75" customHeight="1" thickBot="1" x14ac:dyDescent="0.25">
      <c r="A2" s="651"/>
      <c r="B2" s="652"/>
      <c r="C2" s="652"/>
      <c r="D2" s="652"/>
      <c r="E2" s="652"/>
      <c r="F2" s="652"/>
      <c r="G2" s="652"/>
      <c r="H2" s="653"/>
      <c r="I2" s="917" t="s">
        <v>152</v>
      </c>
      <c r="J2" s="918"/>
      <c r="K2" s="918"/>
      <c r="L2" s="918"/>
      <c r="M2" s="918"/>
      <c r="N2" s="918"/>
      <c r="O2" s="918"/>
      <c r="P2" s="918"/>
      <c r="Q2" s="918"/>
      <c r="R2" s="918"/>
      <c r="S2" s="918"/>
      <c r="T2" s="918"/>
      <c r="U2" s="918"/>
      <c r="V2" s="918"/>
      <c r="W2" s="918"/>
      <c r="X2" s="918"/>
      <c r="Y2" s="918"/>
      <c r="Z2" s="918"/>
      <c r="AA2" s="918"/>
      <c r="AB2" s="918"/>
      <c r="AC2" s="918"/>
      <c r="AD2" s="918"/>
      <c r="AE2" s="918"/>
      <c r="AF2" s="919"/>
    </row>
    <row r="3" spans="1:43" s="59" customFormat="1" ht="46.5" customHeight="1" thickBot="1" x14ac:dyDescent="0.25">
      <c r="A3" s="654"/>
      <c r="B3" s="655"/>
      <c r="C3" s="655"/>
      <c r="D3" s="655"/>
      <c r="E3" s="655"/>
      <c r="F3" s="655"/>
      <c r="G3" s="655"/>
      <c r="H3" s="656"/>
      <c r="I3" s="648" t="s">
        <v>153</v>
      </c>
      <c r="J3" s="649"/>
      <c r="K3" s="649"/>
      <c r="L3" s="649"/>
      <c r="M3" s="649"/>
      <c r="N3" s="649"/>
      <c r="O3" s="649"/>
      <c r="P3" s="649"/>
      <c r="Q3" s="649"/>
      <c r="R3" s="649"/>
      <c r="S3" s="649"/>
      <c r="T3" s="649"/>
      <c r="U3" s="649"/>
      <c r="V3" s="649"/>
      <c r="W3" s="649"/>
      <c r="X3" s="649"/>
      <c r="Y3" s="649"/>
      <c r="Z3" s="649"/>
      <c r="AA3" s="649"/>
      <c r="AB3" s="649"/>
      <c r="AC3" s="649"/>
      <c r="AD3" s="649"/>
      <c r="AE3" s="649"/>
      <c r="AF3" s="650"/>
      <c r="AG3" s="57"/>
      <c r="AH3" s="62"/>
      <c r="AI3" s="62"/>
    </row>
    <row r="4" spans="1:43" ht="81" customHeight="1" x14ac:dyDescent="0.2">
      <c r="A4" s="916" t="s">
        <v>0</v>
      </c>
      <c r="B4" s="632"/>
      <c r="C4" s="632"/>
      <c r="D4" s="60"/>
      <c r="E4" s="670">
        <f>Granulometría!E4</f>
        <v>0</v>
      </c>
      <c r="F4" s="670"/>
      <c r="G4" s="670"/>
      <c r="H4" s="670"/>
      <c r="I4" s="670"/>
      <c r="J4" s="670"/>
      <c r="K4" s="670"/>
      <c r="L4" s="670"/>
      <c r="M4" s="670"/>
      <c r="N4" s="670"/>
      <c r="O4" s="670"/>
      <c r="P4" s="670"/>
      <c r="Q4" s="670"/>
      <c r="R4" s="670"/>
      <c r="S4" s="670"/>
      <c r="T4" s="670"/>
      <c r="U4" s="670"/>
      <c r="V4" s="670"/>
      <c r="W4" s="670"/>
      <c r="X4" s="670"/>
      <c r="Y4" s="670"/>
      <c r="Z4" s="670"/>
      <c r="AA4" s="670"/>
      <c r="AB4" s="670"/>
      <c r="AC4" s="670"/>
      <c r="AD4" s="670"/>
      <c r="AE4" s="670"/>
      <c r="AF4" s="675"/>
      <c r="AH4" s="58"/>
      <c r="AI4" s="58"/>
      <c r="AJ4" s="908"/>
      <c r="AK4" s="908"/>
      <c r="AL4" s="908"/>
      <c r="AM4" s="908"/>
    </row>
    <row r="5" spans="1:43" ht="18.75" customHeight="1" x14ac:dyDescent="0.2">
      <c r="A5" s="909" t="s">
        <v>81</v>
      </c>
      <c r="B5" s="910"/>
      <c r="C5" s="910"/>
      <c r="D5" s="116"/>
      <c r="E5" s="659">
        <f>Granulometría!E5</f>
        <v>0</v>
      </c>
      <c r="F5" s="659"/>
      <c r="G5" s="659"/>
      <c r="H5" s="659"/>
      <c r="I5" s="659"/>
      <c r="J5" s="659"/>
      <c r="K5" s="659"/>
      <c r="L5" s="659"/>
      <c r="M5" s="659"/>
      <c r="N5" s="659"/>
      <c r="O5" s="659"/>
      <c r="P5" s="659"/>
      <c r="Q5" s="659"/>
      <c r="R5" s="659"/>
      <c r="S5" s="659"/>
      <c r="T5" s="659"/>
      <c r="U5" s="659"/>
      <c r="V5" s="659"/>
      <c r="W5" s="659"/>
      <c r="X5" s="659"/>
      <c r="Y5" s="659"/>
      <c r="Z5" s="659"/>
      <c r="AA5" s="659"/>
      <c r="AB5" s="659"/>
      <c r="AC5" s="659"/>
      <c r="AD5" s="659"/>
      <c r="AE5" s="659"/>
      <c r="AF5" s="660"/>
      <c r="AH5" s="53"/>
      <c r="AI5" s="58"/>
    </row>
    <row r="6" spans="1:43" ht="12.2" customHeight="1" x14ac:dyDescent="0.2">
      <c r="A6" s="661" t="s">
        <v>82</v>
      </c>
      <c r="B6" s="662"/>
      <c r="C6" s="662"/>
      <c r="D6" s="663"/>
      <c r="E6" s="911" t="s">
        <v>8</v>
      </c>
      <c r="F6" s="668"/>
      <c r="G6" s="668"/>
      <c r="H6" s="668"/>
      <c r="I6" s="668"/>
      <c r="J6" s="668"/>
      <c r="K6" s="668"/>
      <c r="L6" s="913">
        <f>Granulometría!M6</f>
        <v>0</v>
      </c>
      <c r="M6" s="913"/>
      <c r="N6" s="913"/>
      <c r="O6" s="913"/>
      <c r="P6" s="913"/>
      <c r="Q6" s="913"/>
      <c r="R6" s="913"/>
      <c r="S6" s="913"/>
      <c r="T6" s="913"/>
      <c r="U6" s="913"/>
      <c r="V6" s="913"/>
      <c r="W6" s="913"/>
      <c r="X6" s="913"/>
      <c r="Y6" s="630" t="s">
        <v>83</v>
      </c>
      <c r="Z6" s="630"/>
      <c r="AA6" s="630"/>
      <c r="AB6" s="631"/>
      <c r="AC6" s="672"/>
      <c r="AD6" s="672"/>
      <c r="AE6" s="672"/>
      <c r="AF6" s="673"/>
      <c r="AH6" s="61"/>
      <c r="AI6" s="61"/>
    </row>
    <row r="7" spans="1:43" ht="13.7" customHeight="1" x14ac:dyDescent="0.2">
      <c r="A7" s="627"/>
      <c r="B7" s="628"/>
      <c r="C7" s="628"/>
      <c r="D7" s="629"/>
      <c r="E7" s="912"/>
      <c r="F7" s="670"/>
      <c r="G7" s="670"/>
      <c r="H7" s="670"/>
      <c r="I7" s="670"/>
      <c r="J7" s="670"/>
      <c r="K7" s="670"/>
      <c r="L7" s="914"/>
      <c r="M7" s="914"/>
      <c r="N7" s="914"/>
      <c r="O7" s="914"/>
      <c r="P7" s="914"/>
      <c r="Q7" s="914"/>
      <c r="R7" s="914"/>
      <c r="S7" s="914"/>
      <c r="T7" s="914"/>
      <c r="U7" s="914"/>
      <c r="V7" s="914"/>
      <c r="W7" s="914"/>
      <c r="X7" s="914"/>
      <c r="Y7" s="117" t="s">
        <v>84</v>
      </c>
      <c r="Z7" s="117"/>
      <c r="AA7" s="117"/>
      <c r="AB7" s="118"/>
      <c r="AC7" s="119"/>
      <c r="AD7" s="659"/>
      <c r="AE7" s="659"/>
      <c r="AF7" s="660"/>
    </row>
    <row r="8" spans="1:43" ht="27" customHeight="1" x14ac:dyDescent="0.2">
      <c r="A8" s="636" t="s">
        <v>9</v>
      </c>
      <c r="B8" s="637"/>
      <c r="C8" s="637"/>
      <c r="D8" s="637"/>
      <c r="E8" s="638">
        <f>Granulometría!E8</f>
        <v>0</v>
      </c>
      <c r="F8" s="638"/>
      <c r="G8" s="638"/>
      <c r="H8" s="639"/>
      <c r="I8" s="915" t="s">
        <v>10</v>
      </c>
      <c r="J8" s="617"/>
      <c r="K8" s="617"/>
      <c r="L8" s="617"/>
      <c r="M8" s="617">
        <f>Granulometría!M8</f>
        <v>0</v>
      </c>
      <c r="N8" s="617"/>
      <c r="O8" s="617"/>
      <c r="P8" s="617"/>
      <c r="Q8" s="617"/>
      <c r="R8" s="642"/>
      <c r="S8" s="643" t="s">
        <v>11</v>
      </c>
      <c r="T8" s="644"/>
      <c r="U8" s="644"/>
      <c r="V8" s="617" t="str">
        <f>Granulometría!V8</f>
        <v>ING MICHELLE ZELAYA</v>
      </c>
      <c r="W8" s="617"/>
      <c r="X8" s="617"/>
      <c r="Y8" s="617"/>
      <c r="Z8" s="617"/>
      <c r="AA8" s="617"/>
      <c r="AB8" s="617"/>
      <c r="AC8" s="617"/>
      <c r="AD8" s="617"/>
      <c r="AE8" s="617"/>
      <c r="AF8" s="618"/>
    </row>
    <row r="9" spans="1:43" ht="4.7" customHeight="1" x14ac:dyDescent="0.2">
      <c r="A9" s="63"/>
      <c r="B9" s="64"/>
      <c r="C9" s="64"/>
      <c r="D9" s="64"/>
      <c r="E9" s="64"/>
      <c r="F9" s="64"/>
      <c r="G9" s="64"/>
      <c r="H9" s="64"/>
      <c r="I9" s="65"/>
      <c r="J9" s="65"/>
      <c r="K9" s="65"/>
      <c r="L9" s="65"/>
      <c r="M9" s="65"/>
      <c r="N9" s="65"/>
      <c r="O9" s="65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7"/>
    </row>
    <row r="10" spans="1:43" ht="20.25" customHeight="1" x14ac:dyDescent="0.2">
      <c r="A10" s="903" t="s">
        <v>154</v>
      </c>
      <c r="B10" s="904"/>
      <c r="C10" s="904"/>
      <c r="D10" s="904"/>
      <c r="E10" s="904"/>
      <c r="F10" s="904"/>
      <c r="G10" s="904"/>
      <c r="H10" s="904"/>
      <c r="I10" s="904"/>
      <c r="J10" s="904"/>
      <c r="K10" s="904"/>
      <c r="L10" s="904"/>
      <c r="M10" s="904"/>
      <c r="N10" s="904"/>
      <c r="O10" s="904"/>
      <c r="P10" s="904"/>
      <c r="Q10" s="904"/>
      <c r="R10" s="904"/>
      <c r="S10" s="904"/>
      <c r="T10" s="904"/>
      <c r="U10" s="904"/>
      <c r="V10" s="904"/>
      <c r="W10" s="904"/>
      <c r="X10" s="904"/>
      <c r="Y10" s="904"/>
      <c r="Z10" s="904"/>
      <c r="AA10" s="904"/>
      <c r="AB10" s="904"/>
      <c r="AC10" s="904"/>
      <c r="AD10" s="904"/>
      <c r="AE10" s="904"/>
      <c r="AF10" s="905"/>
      <c r="AG10" s="120"/>
      <c r="AH10" s="121"/>
      <c r="AI10" s="121"/>
      <c r="AJ10" s="122"/>
    </row>
    <row r="11" spans="1:43" ht="15" customHeight="1" x14ac:dyDescent="0.2">
      <c r="A11" s="123"/>
      <c r="B11" s="124"/>
      <c r="C11" s="124"/>
      <c r="D11" s="124"/>
      <c r="E11" s="124"/>
      <c r="F11" s="124"/>
      <c r="G11" s="124"/>
      <c r="H11" s="124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906" t="s">
        <v>155</v>
      </c>
      <c r="Y11" s="906"/>
      <c r="Z11" s="906"/>
      <c r="AA11" s="906" t="s">
        <v>156</v>
      </c>
      <c r="AB11" s="906"/>
      <c r="AC11" s="906"/>
      <c r="AD11" s="906" t="s">
        <v>157</v>
      </c>
      <c r="AE11" s="906"/>
      <c r="AF11" s="907"/>
      <c r="AG11" s="126"/>
      <c r="AH11" s="121"/>
      <c r="AI11" s="878"/>
      <c r="AJ11" s="878"/>
      <c r="AK11" s="878"/>
      <c r="AL11" s="878"/>
      <c r="AM11" s="878"/>
      <c r="AN11" s="878"/>
      <c r="AO11" s="878"/>
      <c r="AP11" s="878"/>
      <c r="AQ11" s="878"/>
    </row>
    <row r="12" spans="1:43" ht="15" customHeight="1" x14ac:dyDescent="0.2">
      <c r="A12" s="127"/>
      <c r="B12" s="128"/>
      <c r="C12" s="128"/>
      <c r="D12" s="128"/>
      <c r="E12" s="129"/>
      <c r="F12" s="129"/>
      <c r="G12" s="129"/>
      <c r="H12" s="129"/>
      <c r="I12" s="130"/>
      <c r="J12" s="130"/>
      <c r="K12" s="130"/>
      <c r="L12" s="130"/>
      <c r="M12" s="131"/>
      <c r="N12" s="131"/>
      <c r="O12" s="131"/>
      <c r="P12" s="131"/>
      <c r="Q12" s="132"/>
      <c r="R12" s="132"/>
      <c r="S12" s="132"/>
      <c r="T12" s="132"/>
      <c r="U12" s="133"/>
      <c r="V12" s="133"/>
      <c r="W12" s="133"/>
      <c r="X12" s="906"/>
      <c r="Y12" s="906"/>
      <c r="Z12" s="906"/>
      <c r="AA12" s="906"/>
      <c r="AB12" s="906"/>
      <c r="AC12" s="906"/>
      <c r="AD12" s="906"/>
      <c r="AE12" s="906"/>
      <c r="AF12" s="907"/>
      <c r="AG12" s="126"/>
      <c r="AH12" s="121"/>
      <c r="AI12" s="878"/>
      <c r="AJ12" s="878"/>
      <c r="AK12" s="878"/>
      <c r="AL12" s="878"/>
      <c r="AM12" s="878"/>
      <c r="AN12" s="878"/>
      <c r="AO12" s="878"/>
      <c r="AP12" s="878"/>
      <c r="AQ12" s="878"/>
    </row>
    <row r="13" spans="1:43" ht="15" customHeight="1" x14ac:dyDescent="0.2">
      <c r="A13" s="127"/>
      <c r="B13" s="128"/>
      <c r="C13" s="128"/>
      <c r="D13" s="128"/>
      <c r="E13" s="129"/>
      <c r="F13" s="129"/>
      <c r="G13" s="129"/>
      <c r="H13" s="129"/>
      <c r="I13" s="130"/>
      <c r="J13" s="130"/>
      <c r="K13" s="130"/>
      <c r="L13" s="130"/>
      <c r="M13" s="131"/>
      <c r="N13" s="131"/>
      <c r="O13" s="131"/>
      <c r="P13" s="131"/>
      <c r="Q13" s="132"/>
      <c r="R13" s="132"/>
      <c r="S13" s="132"/>
      <c r="T13" s="132"/>
      <c r="U13" s="134"/>
      <c r="V13" s="134"/>
      <c r="W13" s="134"/>
      <c r="X13" s="891">
        <f>Granulometría!AI55</f>
        <v>0</v>
      </c>
      <c r="Y13" s="892"/>
      <c r="Z13" s="892"/>
      <c r="AA13" s="893">
        <f>Granulometría!AI56</f>
        <v>0</v>
      </c>
      <c r="AB13" s="894"/>
      <c r="AC13" s="895"/>
      <c r="AD13" s="893">
        <f>Granulometría!AI57</f>
        <v>0</v>
      </c>
      <c r="AE13" s="894"/>
      <c r="AF13" s="899"/>
      <c r="AG13" s="135"/>
      <c r="AH13" s="121"/>
      <c r="AI13" s="901"/>
      <c r="AJ13" s="902"/>
      <c r="AK13" s="902"/>
      <c r="AL13" s="901"/>
      <c r="AM13" s="902"/>
      <c r="AN13" s="902"/>
      <c r="AO13" s="901"/>
      <c r="AP13" s="902"/>
      <c r="AQ13" s="902"/>
    </row>
    <row r="14" spans="1:43" ht="15" customHeight="1" x14ac:dyDescent="0.2">
      <c r="A14" s="127"/>
      <c r="B14" s="128"/>
      <c r="C14" s="128"/>
      <c r="D14" s="128"/>
      <c r="E14" s="129"/>
      <c r="F14" s="129"/>
      <c r="G14" s="129"/>
      <c r="H14" s="129"/>
      <c r="I14" s="130"/>
      <c r="J14" s="130"/>
      <c r="K14" s="130"/>
      <c r="L14" s="130"/>
      <c r="M14" s="131"/>
      <c r="N14" s="131"/>
      <c r="O14" s="131"/>
      <c r="P14" s="131"/>
      <c r="Q14" s="132"/>
      <c r="R14" s="132"/>
      <c r="S14" s="132"/>
      <c r="T14" s="132"/>
      <c r="U14" s="134"/>
      <c r="V14" s="134"/>
      <c r="W14" s="134"/>
      <c r="X14" s="892"/>
      <c r="Y14" s="892"/>
      <c r="Z14" s="892"/>
      <c r="AA14" s="896"/>
      <c r="AB14" s="897"/>
      <c r="AC14" s="898"/>
      <c r="AD14" s="896"/>
      <c r="AE14" s="897"/>
      <c r="AF14" s="900"/>
      <c r="AG14" s="135"/>
      <c r="AH14" s="121"/>
      <c r="AI14" s="902"/>
      <c r="AJ14" s="902"/>
      <c r="AK14" s="902"/>
      <c r="AL14" s="902"/>
      <c r="AM14" s="902"/>
      <c r="AN14" s="902"/>
      <c r="AO14" s="902"/>
      <c r="AP14" s="902"/>
      <c r="AQ14" s="902"/>
    </row>
    <row r="15" spans="1:43" ht="15" customHeight="1" x14ac:dyDescent="0.2">
      <c r="A15" s="127"/>
      <c r="B15" s="128"/>
      <c r="C15" s="128"/>
      <c r="D15" s="128"/>
      <c r="E15" s="129"/>
      <c r="F15" s="129"/>
      <c r="G15" s="129"/>
      <c r="H15" s="129"/>
      <c r="I15" s="130"/>
      <c r="J15" s="130"/>
      <c r="K15" s="130"/>
      <c r="L15" s="130"/>
      <c r="M15" s="131"/>
      <c r="N15" s="131"/>
      <c r="O15" s="131"/>
      <c r="P15" s="131"/>
      <c r="Q15" s="132"/>
      <c r="R15" s="132"/>
      <c r="S15" s="132"/>
      <c r="T15" s="132"/>
      <c r="U15" s="134"/>
      <c r="V15" s="134"/>
      <c r="W15" s="134"/>
      <c r="X15" s="884" t="s">
        <v>158</v>
      </c>
      <c r="Y15" s="884"/>
      <c r="Z15" s="884"/>
      <c r="AA15" s="884"/>
      <c r="AB15" s="884"/>
      <c r="AC15" s="885" t="e">
        <f>Granulometría!AI59</f>
        <v>#DIV/0!</v>
      </c>
      <c r="AD15" s="886"/>
      <c r="AE15" s="886"/>
      <c r="AF15" s="887"/>
      <c r="AG15" s="136"/>
      <c r="AH15" s="122"/>
      <c r="AI15" s="888"/>
      <c r="AJ15" s="888"/>
      <c r="AK15" s="888"/>
      <c r="AL15" s="888"/>
      <c r="AM15" s="888"/>
      <c r="AN15" s="889"/>
      <c r="AO15" s="890"/>
      <c r="AP15" s="890"/>
      <c r="AQ15" s="890"/>
    </row>
    <row r="16" spans="1:43" ht="15" customHeight="1" x14ac:dyDescent="0.2">
      <c r="A16" s="127"/>
      <c r="B16" s="128"/>
      <c r="C16" s="128"/>
      <c r="D16" s="128"/>
      <c r="E16" s="129"/>
      <c r="F16" s="129"/>
      <c r="G16" s="129"/>
      <c r="H16" s="129"/>
      <c r="I16" s="130"/>
      <c r="J16" s="130"/>
      <c r="K16" s="130"/>
      <c r="L16" s="130"/>
      <c r="M16" s="131"/>
      <c r="N16" s="131"/>
      <c r="O16" s="131"/>
      <c r="P16" s="131"/>
      <c r="Q16" s="132"/>
      <c r="R16" s="132"/>
      <c r="S16" s="132"/>
      <c r="T16" s="132"/>
      <c r="U16" s="134"/>
      <c r="V16" s="134"/>
      <c r="W16" s="134"/>
      <c r="X16" s="884"/>
      <c r="Y16" s="884"/>
      <c r="Z16" s="884"/>
      <c r="AA16" s="884"/>
      <c r="AB16" s="884"/>
      <c r="AC16" s="886"/>
      <c r="AD16" s="886"/>
      <c r="AE16" s="886"/>
      <c r="AF16" s="887"/>
      <c r="AG16" s="136"/>
      <c r="AH16" s="122"/>
      <c r="AI16" s="888"/>
      <c r="AJ16" s="888"/>
      <c r="AK16" s="888"/>
      <c r="AL16" s="888"/>
      <c r="AM16" s="888"/>
      <c r="AN16" s="890"/>
      <c r="AO16" s="890"/>
      <c r="AP16" s="890"/>
      <c r="AQ16" s="890"/>
    </row>
    <row r="17" spans="1:65" ht="11.25" customHeight="1" x14ac:dyDescent="0.2">
      <c r="A17" s="127"/>
      <c r="B17" s="128"/>
      <c r="C17" s="128"/>
      <c r="D17" s="128"/>
      <c r="E17" s="129"/>
      <c r="F17" s="129"/>
      <c r="G17" s="129"/>
      <c r="H17" s="129"/>
      <c r="I17" s="130"/>
      <c r="J17" s="130"/>
      <c r="K17" s="130"/>
      <c r="L17" s="130"/>
      <c r="M17" s="131"/>
      <c r="N17" s="131"/>
      <c r="O17" s="131"/>
      <c r="P17" s="131"/>
      <c r="Q17" s="132"/>
      <c r="R17" s="132"/>
      <c r="S17" s="132"/>
      <c r="T17" s="132"/>
      <c r="U17" s="134"/>
      <c r="V17" s="134"/>
      <c r="W17" s="134"/>
      <c r="X17" s="884" t="s">
        <v>159</v>
      </c>
      <c r="Y17" s="884"/>
      <c r="Z17" s="884"/>
      <c r="AA17" s="884"/>
      <c r="AB17" s="884"/>
      <c r="AC17" s="885" t="e">
        <f>Granulometría!AI58</f>
        <v>#DIV/0!</v>
      </c>
      <c r="AD17" s="886"/>
      <c r="AE17" s="886"/>
      <c r="AF17" s="887"/>
      <c r="AG17" s="136"/>
      <c r="AH17" s="122"/>
      <c r="AI17" s="888"/>
      <c r="AJ17" s="888"/>
      <c r="AK17" s="888"/>
      <c r="AL17" s="888"/>
      <c r="AM17" s="888"/>
      <c r="AN17" s="889"/>
      <c r="AO17" s="890"/>
      <c r="AP17" s="890"/>
      <c r="AQ17" s="890"/>
    </row>
    <row r="18" spans="1:65" ht="11.25" customHeight="1" x14ac:dyDescent="0.2">
      <c r="A18" s="127"/>
      <c r="B18" s="128"/>
      <c r="C18" s="128"/>
      <c r="D18" s="128"/>
      <c r="E18" s="129"/>
      <c r="F18" s="129"/>
      <c r="G18" s="129"/>
      <c r="H18" s="129"/>
      <c r="I18" s="130"/>
      <c r="J18" s="130"/>
      <c r="K18" s="130"/>
      <c r="L18" s="130"/>
      <c r="M18" s="131"/>
      <c r="N18" s="131"/>
      <c r="O18" s="131"/>
      <c r="P18" s="131"/>
      <c r="Q18" s="132"/>
      <c r="R18" s="132"/>
      <c r="S18" s="132"/>
      <c r="T18" s="132"/>
      <c r="U18" s="134"/>
      <c r="V18" s="134"/>
      <c r="W18" s="134"/>
      <c r="X18" s="884"/>
      <c r="Y18" s="884"/>
      <c r="Z18" s="884"/>
      <c r="AA18" s="884"/>
      <c r="AB18" s="884"/>
      <c r="AC18" s="886"/>
      <c r="AD18" s="886"/>
      <c r="AE18" s="886"/>
      <c r="AF18" s="887"/>
      <c r="AG18" s="136"/>
      <c r="AH18" s="122"/>
      <c r="AI18" s="888"/>
      <c r="AJ18" s="888"/>
      <c r="AK18" s="888"/>
      <c r="AL18" s="888"/>
      <c r="AM18" s="888"/>
      <c r="AN18" s="890"/>
      <c r="AO18" s="890"/>
      <c r="AP18" s="890"/>
      <c r="AQ18" s="890"/>
    </row>
    <row r="19" spans="1:65" ht="9.75" customHeight="1" x14ac:dyDescent="0.2">
      <c r="A19" s="127"/>
      <c r="B19" s="128"/>
      <c r="C19" s="128"/>
      <c r="D19" s="128"/>
      <c r="E19" s="129"/>
      <c r="F19" s="129"/>
      <c r="G19" s="129"/>
      <c r="H19" s="129"/>
      <c r="I19" s="130"/>
      <c r="J19" s="130"/>
      <c r="K19" s="130"/>
      <c r="L19" s="130"/>
      <c r="M19" s="131"/>
      <c r="N19" s="131"/>
      <c r="O19" s="131"/>
      <c r="P19" s="131"/>
      <c r="Q19" s="132"/>
      <c r="R19" s="132"/>
      <c r="S19" s="132"/>
      <c r="T19" s="132"/>
      <c r="U19" s="134"/>
      <c r="V19" s="134"/>
      <c r="W19" s="134"/>
      <c r="X19" s="884"/>
      <c r="Y19" s="884"/>
      <c r="Z19" s="884"/>
      <c r="AA19" s="884"/>
      <c r="AB19" s="884"/>
      <c r="AC19" s="886"/>
      <c r="AD19" s="886"/>
      <c r="AE19" s="886"/>
      <c r="AF19" s="887"/>
      <c r="AG19" s="136"/>
      <c r="AH19" s="137"/>
      <c r="AI19" s="888"/>
      <c r="AJ19" s="888"/>
      <c r="AK19" s="888"/>
      <c r="AL19" s="888"/>
      <c r="AM19" s="888"/>
      <c r="AN19" s="890"/>
      <c r="AO19" s="890"/>
      <c r="AP19" s="890"/>
      <c r="AQ19" s="890"/>
    </row>
    <row r="20" spans="1:65" ht="9.75" customHeight="1" x14ac:dyDescent="0.2">
      <c r="A20" s="138"/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844" t="s">
        <v>160</v>
      </c>
      <c r="Y20" s="844"/>
      <c r="Z20" s="844"/>
      <c r="AA20" s="844"/>
      <c r="AB20" s="844"/>
      <c r="AC20" s="844"/>
      <c r="AD20" s="844"/>
      <c r="AE20" s="844"/>
      <c r="AF20" s="845"/>
      <c r="AG20" s="126"/>
      <c r="AH20" s="121"/>
      <c r="AI20" s="878"/>
      <c r="AJ20" s="878"/>
      <c r="AK20" s="878"/>
      <c r="AL20" s="878"/>
      <c r="AM20" s="878"/>
      <c r="AN20" s="878"/>
      <c r="AO20" s="878"/>
      <c r="AP20" s="878"/>
      <c r="AQ20" s="878"/>
    </row>
    <row r="21" spans="1:65" ht="12.2" customHeight="1" x14ac:dyDescent="0.2">
      <c r="A21" s="140"/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844"/>
      <c r="Y21" s="844"/>
      <c r="Z21" s="844"/>
      <c r="AA21" s="844"/>
      <c r="AB21" s="844"/>
      <c r="AC21" s="844"/>
      <c r="AD21" s="844"/>
      <c r="AE21" s="844"/>
      <c r="AF21" s="845"/>
      <c r="AG21" s="126"/>
      <c r="AH21" s="121"/>
      <c r="AI21" s="878"/>
      <c r="AJ21" s="878"/>
      <c r="AK21" s="878"/>
      <c r="AL21" s="878"/>
      <c r="AM21" s="878"/>
      <c r="AN21" s="878"/>
      <c r="AO21" s="878"/>
      <c r="AP21" s="878"/>
      <c r="AQ21" s="878"/>
    </row>
    <row r="22" spans="1:65" ht="12.2" customHeight="1" x14ac:dyDescent="0.25">
      <c r="A22" s="127"/>
      <c r="B22" s="128"/>
      <c r="C22" s="128"/>
      <c r="D22" s="128"/>
      <c r="E22" s="128"/>
      <c r="F22" s="128"/>
      <c r="G22" s="128"/>
      <c r="H22" s="128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879" t="s">
        <v>52</v>
      </c>
      <c r="Y22" s="880"/>
      <c r="Z22" s="880"/>
      <c r="AA22" s="879" t="s">
        <v>51</v>
      </c>
      <c r="AB22" s="880"/>
      <c r="AC22" s="880"/>
      <c r="AD22" s="879" t="s">
        <v>161</v>
      </c>
      <c r="AE22" s="880"/>
      <c r="AF22" s="881"/>
      <c r="AG22" s="143"/>
      <c r="AH22" s="121"/>
      <c r="AI22" s="882"/>
      <c r="AJ22" s="883"/>
      <c r="AK22" s="883"/>
      <c r="AL22" s="882"/>
      <c r="AM22" s="883"/>
      <c r="AN22" s="883"/>
      <c r="AO22" s="882"/>
      <c r="AP22" s="883"/>
      <c r="AQ22" s="883"/>
    </row>
    <row r="23" spans="1:65" ht="12.2" customHeight="1" x14ac:dyDescent="0.25">
      <c r="A23" s="127"/>
      <c r="B23" s="128"/>
      <c r="C23" s="128"/>
      <c r="D23" s="128"/>
      <c r="E23" s="129"/>
      <c r="F23" s="129"/>
      <c r="G23" s="129"/>
      <c r="H23" s="129"/>
      <c r="I23" s="130"/>
      <c r="J23" s="130"/>
      <c r="K23" s="130"/>
      <c r="L23" s="130"/>
      <c r="M23" s="131"/>
      <c r="N23" s="131"/>
      <c r="O23" s="131"/>
      <c r="P23" s="131"/>
      <c r="Q23" s="132"/>
      <c r="R23" s="132"/>
      <c r="S23" s="132"/>
      <c r="T23" s="132"/>
      <c r="U23" s="134"/>
      <c r="V23" s="134"/>
      <c r="W23" s="134"/>
      <c r="X23" s="880"/>
      <c r="Y23" s="880"/>
      <c r="Z23" s="880"/>
      <c r="AA23" s="880"/>
      <c r="AB23" s="880"/>
      <c r="AC23" s="880"/>
      <c r="AD23" s="880"/>
      <c r="AE23" s="880"/>
      <c r="AF23" s="881"/>
      <c r="AG23" s="143"/>
      <c r="AH23" s="121"/>
      <c r="AI23" s="883"/>
      <c r="AJ23" s="883"/>
      <c r="AK23" s="883"/>
      <c r="AL23" s="883"/>
      <c r="AM23" s="883"/>
      <c r="AN23" s="883"/>
      <c r="AO23" s="883"/>
      <c r="AP23" s="883"/>
      <c r="AQ23" s="883"/>
    </row>
    <row r="24" spans="1:65" ht="14.25" customHeight="1" x14ac:dyDescent="0.2">
      <c r="A24" s="127"/>
      <c r="B24" s="128"/>
      <c r="C24" s="128"/>
      <c r="D24" s="128"/>
      <c r="E24" s="129"/>
      <c r="F24" s="129"/>
      <c r="G24" s="129"/>
      <c r="H24" s="129"/>
      <c r="I24" s="130"/>
      <c r="J24" s="130"/>
      <c r="K24" s="130"/>
      <c r="L24" s="130"/>
      <c r="M24" s="131"/>
      <c r="N24" s="131"/>
      <c r="O24" s="131"/>
      <c r="P24" s="131"/>
      <c r="Q24" s="132"/>
      <c r="R24" s="132"/>
      <c r="S24" s="132"/>
      <c r="T24" s="132"/>
      <c r="U24" s="134"/>
      <c r="V24" s="134"/>
      <c r="W24" s="134"/>
      <c r="X24" s="875" t="e">
        <f>Granulometría!AB29</f>
        <v>#DIV/0!</v>
      </c>
      <c r="Y24" s="875"/>
      <c r="Z24" s="875"/>
      <c r="AA24" s="875" t="e">
        <f>Granulometría!AB30</f>
        <v>#DIV/0!</v>
      </c>
      <c r="AB24" s="875"/>
      <c r="AC24" s="875"/>
      <c r="AD24" s="875" t="e">
        <f>Granulometría!AB31</f>
        <v>#DIV/0!</v>
      </c>
      <c r="AE24" s="875"/>
      <c r="AF24" s="876"/>
      <c r="AG24" s="144"/>
      <c r="AH24" s="121"/>
      <c r="AI24" s="877"/>
      <c r="AJ24" s="877"/>
      <c r="AK24" s="877"/>
      <c r="AL24" s="877"/>
      <c r="AM24" s="877"/>
      <c r="AN24" s="877"/>
      <c r="AO24" s="877"/>
      <c r="AP24" s="877"/>
      <c r="AQ24" s="877"/>
    </row>
    <row r="25" spans="1:65" ht="9.75" customHeight="1" x14ac:dyDescent="0.2">
      <c r="A25" s="145"/>
      <c r="B25" s="146"/>
      <c r="C25" s="146"/>
      <c r="D25" s="146"/>
      <c r="E25" s="147"/>
      <c r="F25" s="147"/>
      <c r="G25" s="147"/>
      <c r="H25" s="147"/>
      <c r="I25" s="148"/>
      <c r="J25" s="148"/>
      <c r="K25" s="148"/>
      <c r="L25" s="148"/>
      <c r="M25" s="149"/>
      <c r="N25" s="149"/>
      <c r="O25" s="149"/>
      <c r="P25" s="149"/>
      <c r="Q25" s="150"/>
      <c r="R25" s="150"/>
      <c r="S25" s="150"/>
      <c r="T25" s="150"/>
      <c r="U25" s="151"/>
      <c r="V25" s="151"/>
      <c r="W25" s="151"/>
      <c r="X25" s="875"/>
      <c r="Y25" s="875"/>
      <c r="Z25" s="875"/>
      <c r="AA25" s="875"/>
      <c r="AB25" s="875"/>
      <c r="AC25" s="875"/>
      <c r="AD25" s="875"/>
      <c r="AE25" s="875"/>
      <c r="AF25" s="876"/>
      <c r="AG25" s="144"/>
      <c r="AH25" s="152"/>
      <c r="AI25" s="877"/>
      <c r="AJ25" s="877"/>
      <c r="AK25" s="877"/>
      <c r="AL25" s="877"/>
      <c r="AM25" s="877"/>
      <c r="AN25" s="877"/>
      <c r="AO25" s="877"/>
      <c r="AP25" s="877"/>
      <c r="AQ25" s="877"/>
    </row>
    <row r="26" spans="1:65" ht="6" customHeight="1" x14ac:dyDescent="0.2">
      <c r="A26" s="868"/>
      <c r="B26" s="869"/>
      <c r="C26" s="869"/>
      <c r="D26" s="869"/>
      <c r="E26" s="870"/>
      <c r="F26" s="870"/>
      <c r="G26" s="870"/>
      <c r="H26" s="870"/>
      <c r="I26" s="871"/>
      <c r="J26" s="871"/>
      <c r="K26" s="871"/>
      <c r="L26" s="871"/>
      <c r="M26" s="872"/>
      <c r="N26" s="872"/>
      <c r="O26" s="872"/>
      <c r="P26" s="872"/>
      <c r="Q26" s="873"/>
      <c r="R26" s="873"/>
      <c r="S26" s="873"/>
      <c r="T26" s="873"/>
      <c r="U26" s="874"/>
      <c r="V26" s="874"/>
      <c r="W26" s="874"/>
      <c r="X26" s="874"/>
      <c r="Y26" s="139"/>
      <c r="Z26" s="139"/>
      <c r="AA26" s="139"/>
      <c r="AB26" s="139"/>
      <c r="AC26" s="139"/>
      <c r="AD26" s="139"/>
      <c r="AE26" s="139"/>
      <c r="AF26" s="153"/>
      <c r="AG26" s="154"/>
      <c r="AH26" s="152"/>
      <c r="AI26" s="152"/>
      <c r="AJ26" s="122"/>
    </row>
    <row r="27" spans="1:65" ht="19.5" customHeight="1" x14ac:dyDescent="0.2">
      <c r="A27" s="864" t="s">
        <v>162</v>
      </c>
      <c r="B27" s="865"/>
      <c r="C27" s="865"/>
      <c r="D27" s="865"/>
      <c r="E27" s="865"/>
      <c r="F27" s="865"/>
      <c r="G27" s="865"/>
      <c r="H27" s="865"/>
      <c r="I27" s="865"/>
      <c r="J27" s="865"/>
      <c r="K27" s="865"/>
      <c r="L27" s="865"/>
      <c r="M27" s="865"/>
      <c r="N27" s="865"/>
      <c r="O27" s="865"/>
      <c r="P27" s="865"/>
      <c r="Q27" s="865"/>
      <c r="R27" s="865"/>
      <c r="S27" s="865"/>
      <c r="T27" s="865"/>
      <c r="U27" s="865"/>
      <c r="V27" s="865"/>
      <c r="W27" s="865"/>
      <c r="X27" s="865"/>
      <c r="Y27" s="865"/>
      <c r="Z27" s="865"/>
      <c r="AA27" s="865"/>
      <c r="AB27" s="865"/>
      <c r="AC27" s="865"/>
      <c r="AD27" s="865"/>
      <c r="AE27" s="865"/>
      <c r="AF27" s="866"/>
      <c r="AG27" s="155"/>
      <c r="AH27" s="867"/>
      <c r="AI27" s="867"/>
      <c r="AJ27" s="867"/>
      <c r="AK27" s="867"/>
      <c r="AL27" s="867"/>
      <c r="AM27" s="867"/>
      <c r="AN27" s="867"/>
      <c r="AO27" s="867"/>
      <c r="AP27" s="156"/>
      <c r="AQ27" s="157"/>
      <c r="AR27" s="157"/>
      <c r="AS27" s="157"/>
      <c r="AT27" s="867"/>
      <c r="AU27" s="867"/>
      <c r="AV27" s="867"/>
      <c r="AW27" s="867"/>
      <c r="AX27" s="867"/>
      <c r="AY27" s="867"/>
      <c r="AZ27" s="867"/>
      <c r="BA27" s="867"/>
      <c r="BB27" s="157"/>
      <c r="BC27" s="157"/>
      <c r="BD27" s="157"/>
      <c r="BE27" s="867"/>
      <c r="BF27" s="867"/>
      <c r="BG27" s="867"/>
      <c r="BH27" s="867"/>
      <c r="BI27" s="867"/>
      <c r="BJ27" s="867"/>
      <c r="BK27" s="867"/>
      <c r="BL27" s="867"/>
    </row>
    <row r="28" spans="1:65" ht="2.25" customHeight="1" x14ac:dyDescent="0.2">
      <c r="A28" s="868"/>
      <c r="B28" s="869"/>
      <c r="C28" s="869"/>
      <c r="D28" s="869"/>
      <c r="E28" s="870"/>
      <c r="F28" s="870"/>
      <c r="G28" s="870"/>
      <c r="H28" s="870"/>
      <c r="I28" s="871"/>
      <c r="J28" s="871"/>
      <c r="K28" s="871"/>
      <c r="L28" s="871"/>
      <c r="M28" s="872"/>
      <c r="N28" s="872"/>
      <c r="O28" s="872"/>
      <c r="P28" s="872"/>
      <c r="Q28" s="873"/>
      <c r="R28" s="873"/>
      <c r="S28" s="873"/>
      <c r="T28" s="873"/>
      <c r="U28" s="874"/>
      <c r="V28" s="874"/>
      <c r="W28" s="874"/>
      <c r="X28" s="874"/>
      <c r="Y28" s="139"/>
      <c r="Z28" s="158"/>
      <c r="AA28" s="158"/>
      <c r="AB28" s="158"/>
      <c r="AC28" s="158"/>
      <c r="AD28" s="158"/>
      <c r="AE28" s="158"/>
      <c r="AF28" s="159"/>
      <c r="AG28" s="126"/>
      <c r="AH28" s="867"/>
      <c r="AI28" s="867"/>
      <c r="AJ28" s="867"/>
      <c r="AK28" s="867"/>
      <c r="AL28" s="867"/>
      <c r="AM28" s="867"/>
      <c r="AN28" s="867"/>
      <c r="AO28" s="867"/>
      <c r="AP28" s="156"/>
      <c r="AQ28" s="157"/>
      <c r="AR28" s="157"/>
      <c r="AS28" s="157"/>
      <c r="AT28" s="867"/>
      <c r="AU28" s="867"/>
      <c r="AV28" s="867"/>
      <c r="AW28" s="867"/>
      <c r="AX28" s="867"/>
      <c r="AY28" s="867"/>
      <c r="AZ28" s="867"/>
      <c r="BA28" s="867"/>
      <c r="BB28" s="157"/>
      <c r="BC28" s="157"/>
      <c r="BD28" s="157"/>
      <c r="BE28" s="867"/>
      <c r="BF28" s="867"/>
      <c r="BG28" s="867"/>
      <c r="BH28" s="867"/>
      <c r="BI28" s="867"/>
      <c r="BJ28" s="867"/>
      <c r="BK28" s="867"/>
      <c r="BL28" s="867"/>
    </row>
    <row r="29" spans="1:65" ht="13.5" customHeight="1" x14ac:dyDescent="0.2">
      <c r="A29" s="138"/>
      <c r="B29" s="844" t="s">
        <v>163</v>
      </c>
      <c r="C29" s="844"/>
      <c r="D29" s="844"/>
      <c r="E29" s="844"/>
      <c r="F29" s="844"/>
      <c r="G29" s="844"/>
      <c r="H29" s="844"/>
      <c r="I29" s="160"/>
      <c r="J29" s="160"/>
      <c r="K29" s="158"/>
      <c r="L29" s="844" t="s">
        <v>164</v>
      </c>
      <c r="M29" s="844"/>
      <c r="N29" s="844"/>
      <c r="O29" s="844"/>
      <c r="P29" s="844"/>
      <c r="Q29" s="844"/>
      <c r="R29" s="844"/>
      <c r="S29" s="158"/>
      <c r="T29" s="158"/>
      <c r="U29" s="158"/>
      <c r="V29" s="860" t="s">
        <v>165</v>
      </c>
      <c r="W29" s="860"/>
      <c r="X29" s="860"/>
      <c r="Y29" s="860"/>
      <c r="Z29" s="860"/>
      <c r="AA29" s="860"/>
      <c r="AB29" s="860"/>
      <c r="AC29" s="860"/>
      <c r="AD29" s="161"/>
      <c r="AE29" s="161"/>
      <c r="AF29" s="162"/>
      <c r="AG29" s="126"/>
      <c r="AH29" s="53"/>
      <c r="AI29" s="53"/>
      <c r="AJ29" s="163"/>
      <c r="AK29" s="163"/>
      <c r="AL29" s="163"/>
      <c r="AM29" s="163"/>
      <c r="AN29" s="163"/>
      <c r="AO29" s="163"/>
      <c r="AP29" s="164"/>
      <c r="AQ29" s="157"/>
      <c r="AR29" s="157"/>
      <c r="AS29" s="157"/>
      <c r="AT29" s="861"/>
      <c r="AU29" s="861"/>
      <c r="AV29" s="861"/>
      <c r="AW29" s="861"/>
      <c r="AX29" s="861"/>
      <c r="AY29" s="861"/>
      <c r="AZ29" s="861"/>
      <c r="BA29" s="861"/>
      <c r="BB29" s="157"/>
      <c r="BC29" s="157"/>
      <c r="BD29" s="157"/>
      <c r="BE29" s="862"/>
      <c r="BF29" s="862"/>
      <c r="BG29" s="862"/>
      <c r="BH29" s="862"/>
      <c r="BI29" s="862"/>
      <c r="BJ29" s="862"/>
      <c r="BK29" s="862"/>
      <c r="BL29" s="862"/>
    </row>
    <row r="30" spans="1:65" ht="14.25" customHeight="1" x14ac:dyDescent="0.2">
      <c r="A30" s="138"/>
      <c r="B30" s="844"/>
      <c r="C30" s="844"/>
      <c r="D30" s="844"/>
      <c r="E30" s="844"/>
      <c r="F30" s="844"/>
      <c r="G30" s="844"/>
      <c r="H30" s="844"/>
      <c r="I30" s="160"/>
      <c r="J30" s="160"/>
      <c r="K30" s="158"/>
      <c r="L30" s="844"/>
      <c r="M30" s="844"/>
      <c r="N30" s="844"/>
      <c r="O30" s="844"/>
      <c r="P30" s="844"/>
      <c r="Q30" s="844"/>
      <c r="R30" s="844"/>
      <c r="S30" s="158"/>
      <c r="T30" s="158"/>
      <c r="U30" s="158"/>
      <c r="V30" s="860"/>
      <c r="W30" s="860"/>
      <c r="X30" s="860"/>
      <c r="Y30" s="860"/>
      <c r="Z30" s="860"/>
      <c r="AA30" s="860"/>
      <c r="AB30" s="860"/>
      <c r="AC30" s="860"/>
      <c r="AD30" s="161"/>
      <c r="AE30" s="161"/>
      <c r="AF30" s="162"/>
      <c r="AG30" s="135"/>
      <c r="AH30" s="53"/>
      <c r="AI30" s="53"/>
      <c r="AJ30" s="163"/>
      <c r="AK30" s="163"/>
      <c r="AL30" s="163"/>
      <c r="AM30" s="163"/>
      <c r="AN30" s="163"/>
      <c r="AO30" s="163"/>
      <c r="AP30" s="164"/>
      <c r="AQ30" s="157"/>
      <c r="AR30" s="157"/>
      <c r="AS30" s="157"/>
      <c r="AT30" s="861"/>
      <c r="AU30" s="861"/>
      <c r="AV30" s="861"/>
      <c r="AW30" s="861"/>
      <c r="AX30" s="861"/>
      <c r="AY30" s="861"/>
      <c r="AZ30" s="861"/>
      <c r="BA30" s="861"/>
      <c r="BB30" s="157"/>
      <c r="BC30" s="157"/>
      <c r="BD30" s="157"/>
      <c r="BE30" s="862"/>
      <c r="BF30" s="862"/>
      <c r="BG30" s="862"/>
      <c r="BH30" s="862"/>
      <c r="BI30" s="862"/>
      <c r="BJ30" s="862"/>
      <c r="BK30" s="862"/>
      <c r="BL30" s="862"/>
    </row>
    <row r="31" spans="1:65" s="62" customFormat="1" ht="12.2" customHeight="1" x14ac:dyDescent="0.2">
      <c r="A31" s="138"/>
      <c r="B31" s="863" t="e">
        <f>LIMITES!Z46</f>
        <v>#DIV/0!</v>
      </c>
      <c r="C31" s="863"/>
      <c r="D31" s="863"/>
      <c r="E31" s="863"/>
      <c r="F31" s="863"/>
      <c r="G31" s="863"/>
      <c r="H31" s="863"/>
      <c r="I31" s="165"/>
      <c r="J31" s="165"/>
      <c r="K31" s="166"/>
      <c r="L31" s="863" t="e">
        <f>LIMITES!Z47</f>
        <v>#DIV/0!</v>
      </c>
      <c r="M31" s="863"/>
      <c r="N31" s="863"/>
      <c r="O31" s="863"/>
      <c r="P31" s="863"/>
      <c r="Q31" s="863"/>
      <c r="R31" s="863"/>
      <c r="S31" s="166"/>
      <c r="T31" s="166"/>
      <c r="U31" s="166"/>
      <c r="V31" s="863" t="e">
        <f>LIMITES!Z48</f>
        <v>#DIV/0!</v>
      </c>
      <c r="W31" s="863"/>
      <c r="X31" s="863"/>
      <c r="Y31" s="863"/>
      <c r="Z31" s="863"/>
      <c r="AA31" s="863"/>
      <c r="AB31" s="863"/>
      <c r="AC31" s="863"/>
      <c r="AD31" s="167"/>
      <c r="AE31" s="167"/>
      <c r="AF31" s="168"/>
      <c r="AG31" s="135"/>
      <c r="AJ31" s="163"/>
      <c r="AK31" s="163"/>
      <c r="AL31" s="163"/>
      <c r="AM31" s="163"/>
      <c r="AN31" s="163"/>
      <c r="AO31" s="163"/>
      <c r="AP31" s="164"/>
      <c r="AQ31" s="157"/>
      <c r="AR31" s="157"/>
      <c r="AS31" s="157"/>
      <c r="AT31" s="861"/>
      <c r="AU31" s="861"/>
      <c r="AV31" s="861"/>
      <c r="AW31" s="861"/>
      <c r="AX31" s="861"/>
      <c r="AY31" s="861"/>
      <c r="AZ31" s="861"/>
      <c r="BA31" s="861"/>
      <c r="BB31" s="157"/>
      <c r="BC31" s="157"/>
      <c r="BD31" s="157"/>
      <c r="BE31" s="862"/>
      <c r="BF31" s="862"/>
      <c r="BG31" s="862"/>
      <c r="BH31" s="862"/>
      <c r="BI31" s="862"/>
      <c r="BJ31" s="862"/>
      <c r="BK31" s="862"/>
      <c r="BL31" s="862"/>
      <c r="BM31" s="53"/>
    </row>
    <row r="32" spans="1:65" s="62" customFormat="1" ht="12.2" customHeight="1" x14ac:dyDescent="0.2">
      <c r="A32" s="138"/>
      <c r="B32" s="863"/>
      <c r="C32" s="863"/>
      <c r="D32" s="863"/>
      <c r="E32" s="863"/>
      <c r="F32" s="863"/>
      <c r="G32" s="863"/>
      <c r="H32" s="863"/>
      <c r="I32" s="165"/>
      <c r="J32" s="165"/>
      <c r="K32" s="166"/>
      <c r="L32" s="863"/>
      <c r="M32" s="863"/>
      <c r="N32" s="863"/>
      <c r="O32" s="863"/>
      <c r="P32" s="863"/>
      <c r="Q32" s="863"/>
      <c r="R32" s="863"/>
      <c r="S32" s="166"/>
      <c r="T32" s="166"/>
      <c r="U32" s="166"/>
      <c r="V32" s="863"/>
      <c r="W32" s="863"/>
      <c r="X32" s="863"/>
      <c r="Y32" s="863"/>
      <c r="Z32" s="863"/>
      <c r="AA32" s="863"/>
      <c r="AB32" s="863"/>
      <c r="AC32" s="863"/>
      <c r="AD32" s="167"/>
      <c r="AE32" s="167"/>
      <c r="AF32" s="168"/>
      <c r="AG32" s="157"/>
      <c r="AJ32" s="122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</row>
    <row r="33" spans="1:83" s="62" customFormat="1" ht="4.7" customHeight="1" x14ac:dyDescent="0.2">
      <c r="A33" s="138"/>
      <c r="B33" s="139"/>
      <c r="C33" s="90"/>
      <c r="D33" s="90"/>
      <c r="E33" s="90"/>
      <c r="F33" s="90"/>
      <c r="G33" s="90"/>
      <c r="H33" s="90"/>
      <c r="I33" s="90"/>
      <c r="J33" s="90"/>
      <c r="K33" s="139"/>
      <c r="L33" s="139"/>
      <c r="M33" s="139"/>
      <c r="N33" s="169"/>
      <c r="O33" s="169"/>
      <c r="P33" s="169"/>
      <c r="Q33" s="169"/>
      <c r="R33" s="169"/>
      <c r="S33" s="169"/>
      <c r="T33" s="169"/>
      <c r="U33" s="169"/>
      <c r="V33" s="139"/>
      <c r="W33" s="139"/>
      <c r="X33" s="139"/>
      <c r="Y33" s="167"/>
      <c r="Z33" s="167"/>
      <c r="AA33" s="167"/>
      <c r="AB33" s="167"/>
      <c r="AC33" s="167"/>
      <c r="AD33" s="167"/>
      <c r="AE33" s="167"/>
      <c r="AF33" s="168"/>
      <c r="AG33" s="136"/>
      <c r="AJ33" s="122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</row>
    <row r="34" spans="1:83" ht="14.25" customHeight="1" x14ac:dyDescent="0.2">
      <c r="A34" s="170"/>
      <c r="B34" s="171"/>
      <c r="C34" s="139"/>
      <c r="D34" s="139"/>
      <c r="E34" s="139"/>
      <c r="F34" s="139"/>
      <c r="G34" s="139"/>
      <c r="H34" s="139"/>
      <c r="I34" s="139"/>
      <c r="J34" s="139"/>
      <c r="K34" s="172"/>
      <c r="L34" s="172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73"/>
      <c r="Y34" s="173"/>
      <c r="Z34" s="173"/>
      <c r="AA34" s="173"/>
      <c r="AB34" s="173"/>
      <c r="AC34" s="173"/>
      <c r="AD34" s="173"/>
      <c r="AE34" s="173"/>
      <c r="AF34" s="174"/>
      <c r="AG34" s="155"/>
      <c r="AH34" s="53"/>
      <c r="AI34" s="53"/>
      <c r="AJ34" s="122"/>
    </row>
    <row r="35" spans="1:83" s="157" customFormat="1" ht="10.15" customHeight="1" x14ac:dyDescent="0.2">
      <c r="A35" s="170"/>
      <c r="B35" s="171"/>
      <c r="C35" s="139"/>
      <c r="D35" s="139"/>
      <c r="E35" s="139"/>
      <c r="F35" s="139"/>
      <c r="G35" s="139"/>
      <c r="H35" s="139"/>
      <c r="I35" s="139"/>
      <c r="J35" s="139"/>
      <c r="K35" s="172"/>
      <c r="L35" s="172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844" t="s">
        <v>166</v>
      </c>
      <c r="Y35" s="844"/>
      <c r="Z35" s="844"/>
      <c r="AA35" s="844"/>
      <c r="AB35" s="844"/>
      <c r="AC35" s="844"/>
      <c r="AD35" s="844"/>
      <c r="AE35" s="844"/>
      <c r="AF35" s="845"/>
      <c r="AG35" s="155"/>
      <c r="AH35" s="53"/>
      <c r="AI35" s="53"/>
      <c r="AJ35" s="53"/>
      <c r="AK35" s="53"/>
      <c r="AL35" s="53"/>
      <c r="AM35" s="53"/>
      <c r="AN35" s="175"/>
    </row>
    <row r="36" spans="1:83" s="157" customFormat="1" ht="10.15" customHeight="1" x14ac:dyDescent="0.2">
      <c r="A36" s="170"/>
      <c r="B36" s="171"/>
      <c r="C36" s="139"/>
      <c r="D36" s="139"/>
      <c r="E36" s="139"/>
      <c r="F36" s="139"/>
      <c r="G36" s="139"/>
      <c r="H36" s="139"/>
      <c r="I36" s="139"/>
      <c r="J36" s="139"/>
      <c r="K36" s="172"/>
      <c r="L36" s="172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844"/>
      <c r="Y36" s="844"/>
      <c r="Z36" s="844"/>
      <c r="AA36" s="844"/>
      <c r="AB36" s="844"/>
      <c r="AC36" s="844"/>
      <c r="AD36" s="844"/>
      <c r="AE36" s="844"/>
      <c r="AF36" s="845"/>
      <c r="AG36" s="155"/>
      <c r="AH36" s="846" t="s">
        <v>167</v>
      </c>
      <c r="AI36" s="846"/>
      <c r="AJ36" s="53"/>
      <c r="AK36" s="53"/>
      <c r="AL36" s="53"/>
      <c r="AM36" s="53"/>
      <c r="AN36" s="175"/>
      <c r="AT36" s="847" t="s">
        <v>168</v>
      </c>
      <c r="AU36" s="847"/>
      <c r="AV36" s="847"/>
      <c r="AW36" s="847"/>
      <c r="AX36" s="847"/>
      <c r="AY36" s="847"/>
      <c r="AZ36" s="847"/>
      <c r="BA36" s="847"/>
      <c r="BB36" s="847"/>
      <c r="BC36" s="847"/>
      <c r="BD36" s="847"/>
      <c r="BE36" s="847"/>
      <c r="BF36" s="847"/>
      <c r="BG36" s="847"/>
      <c r="BH36" s="847"/>
      <c r="BI36" s="847"/>
      <c r="BJ36" s="847"/>
      <c r="BK36" s="847"/>
      <c r="BL36" s="847"/>
      <c r="BM36" s="847"/>
      <c r="BN36" s="847"/>
      <c r="BO36" s="847"/>
      <c r="BP36" s="847"/>
      <c r="BQ36" s="847"/>
      <c r="BR36" s="847"/>
      <c r="BS36" s="847"/>
      <c r="BT36" s="847"/>
      <c r="BU36" s="847"/>
      <c r="BV36" s="847"/>
      <c r="BW36" s="847"/>
      <c r="BX36" s="847"/>
      <c r="BY36" s="847"/>
      <c r="BZ36" s="847"/>
      <c r="CA36" s="847"/>
      <c r="CB36" s="847"/>
      <c r="CC36" s="847"/>
      <c r="CD36" s="847"/>
      <c r="CE36" s="847"/>
    </row>
    <row r="37" spans="1:83" s="157" customFormat="1" ht="11.25" customHeight="1" x14ac:dyDescent="0.2">
      <c r="A37" s="170"/>
      <c r="B37" s="171"/>
      <c r="C37" s="139"/>
      <c r="D37" s="139"/>
      <c r="E37" s="139"/>
      <c r="F37" s="139"/>
      <c r="G37" s="139"/>
      <c r="H37" s="139"/>
      <c r="I37" s="139"/>
      <c r="J37" s="139"/>
      <c r="K37" s="172"/>
      <c r="L37" s="172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76"/>
      <c r="AH37" s="163"/>
      <c r="AI37" s="163"/>
      <c r="AJ37" s="53"/>
      <c r="AK37" s="53"/>
      <c r="AL37" s="53"/>
      <c r="AM37" s="53"/>
      <c r="AN37" s="175"/>
      <c r="AT37" s="847"/>
      <c r="AU37" s="847"/>
      <c r="AV37" s="847"/>
      <c r="AW37" s="847"/>
      <c r="AX37" s="847"/>
      <c r="AY37" s="847"/>
      <c r="AZ37" s="847"/>
      <c r="BA37" s="847"/>
      <c r="BB37" s="847"/>
      <c r="BC37" s="847"/>
      <c r="BD37" s="847"/>
      <c r="BE37" s="847"/>
      <c r="BF37" s="847"/>
      <c r="BG37" s="847"/>
      <c r="BH37" s="847"/>
      <c r="BI37" s="847"/>
      <c r="BJ37" s="847"/>
      <c r="BK37" s="847"/>
      <c r="BL37" s="847"/>
      <c r="BM37" s="847"/>
      <c r="BN37" s="847"/>
      <c r="BO37" s="847"/>
      <c r="BP37" s="847"/>
      <c r="BQ37" s="847"/>
      <c r="BR37" s="847"/>
      <c r="BS37" s="847"/>
      <c r="BT37" s="847"/>
      <c r="BU37" s="847"/>
      <c r="BV37" s="847"/>
      <c r="BW37" s="847"/>
      <c r="BX37" s="847"/>
      <c r="BY37" s="847"/>
      <c r="BZ37" s="847"/>
      <c r="CA37" s="847"/>
      <c r="CB37" s="847"/>
      <c r="CC37" s="847"/>
      <c r="CD37" s="847"/>
      <c r="CE37" s="847"/>
    </row>
    <row r="38" spans="1:83" s="157" customFormat="1" ht="17.25" customHeight="1" x14ac:dyDescent="0.35">
      <c r="A38" s="170"/>
      <c r="B38" s="171"/>
      <c r="C38" s="139"/>
      <c r="D38" s="139"/>
      <c r="E38" s="139"/>
      <c r="F38" s="139"/>
      <c r="G38" s="139"/>
      <c r="H38" s="139"/>
      <c r="I38" s="139"/>
      <c r="J38" s="139"/>
      <c r="K38" s="172"/>
      <c r="L38" s="172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829" t="s">
        <v>169</v>
      </c>
      <c r="Y38" s="830"/>
      <c r="Z38" s="848" t="s">
        <v>251</v>
      </c>
      <c r="AA38" s="849"/>
      <c r="AB38" s="849"/>
      <c r="AC38" s="849"/>
      <c r="AD38" s="849"/>
      <c r="AE38" s="849"/>
      <c r="AF38" s="850"/>
      <c r="AG38" s="177"/>
      <c r="AH38" s="178" t="s">
        <v>119</v>
      </c>
      <c r="AI38" s="179" t="e">
        <f>AD24*100</f>
        <v>#DIV/0!</v>
      </c>
      <c r="AJ38" s="180"/>
      <c r="AK38" s="53"/>
      <c r="AL38" s="181"/>
      <c r="AM38" s="53"/>
      <c r="AN38" s="175"/>
    </row>
    <row r="39" spans="1:83" s="157" customFormat="1" ht="18" customHeight="1" x14ac:dyDescent="0.35">
      <c r="A39" s="170"/>
      <c r="B39" s="171"/>
      <c r="C39" s="139"/>
      <c r="D39" s="139"/>
      <c r="E39" s="139"/>
      <c r="F39" s="139"/>
      <c r="G39" s="139"/>
      <c r="H39" s="139"/>
      <c r="I39" s="139"/>
      <c r="J39" s="139"/>
      <c r="K39" s="172"/>
      <c r="L39" s="172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831"/>
      <c r="Y39" s="832"/>
      <c r="Z39" s="851"/>
      <c r="AA39" s="852"/>
      <c r="AB39" s="852"/>
      <c r="AC39" s="852"/>
      <c r="AD39" s="852"/>
      <c r="AE39" s="852"/>
      <c r="AF39" s="853"/>
      <c r="AG39" s="177"/>
      <c r="AH39" s="182" t="s">
        <v>170</v>
      </c>
      <c r="AI39" s="183" t="e">
        <f>B31*100</f>
        <v>#DIV/0!</v>
      </c>
      <c r="AJ39" s="180"/>
      <c r="AK39" s="53"/>
      <c r="AL39" s="181"/>
      <c r="AM39" s="53"/>
      <c r="AN39" s="175"/>
    </row>
    <row r="40" spans="1:83" s="157" customFormat="1" ht="22.5" customHeight="1" x14ac:dyDescent="0.2">
      <c r="A40" s="170"/>
      <c r="B40" s="171"/>
      <c r="C40" s="139"/>
      <c r="D40" s="139"/>
      <c r="E40" s="139"/>
      <c r="F40" s="139"/>
      <c r="G40" s="139"/>
      <c r="H40" s="139"/>
      <c r="I40" s="139"/>
      <c r="J40" s="139"/>
      <c r="K40" s="172"/>
      <c r="L40" s="172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831"/>
      <c r="Y40" s="832"/>
      <c r="Z40" s="854" t="s">
        <v>254</v>
      </c>
      <c r="AA40" s="855"/>
      <c r="AB40" s="855"/>
      <c r="AC40" s="855"/>
      <c r="AD40" s="855"/>
      <c r="AE40" s="855"/>
      <c r="AF40" s="856"/>
      <c r="AG40" s="184"/>
      <c r="AH40" s="182" t="s">
        <v>171</v>
      </c>
      <c r="AI40" s="183" t="e">
        <f>V31*100</f>
        <v>#DIV/0!</v>
      </c>
      <c r="AJ40" s="180"/>
      <c r="AK40" s="53"/>
      <c r="AL40" s="181"/>
      <c r="AM40" s="53"/>
      <c r="AN40" s="175"/>
    </row>
    <row r="41" spans="1:83" s="157" customFormat="1" ht="15.75" customHeight="1" x14ac:dyDescent="0.25">
      <c r="A41" s="170"/>
      <c r="B41" s="171"/>
      <c r="C41" s="139"/>
      <c r="D41" s="139"/>
      <c r="E41" s="139"/>
      <c r="F41" s="139"/>
      <c r="G41" s="139"/>
      <c r="H41" s="139"/>
      <c r="I41" s="139"/>
      <c r="J41" s="139"/>
      <c r="K41" s="172"/>
      <c r="L41" s="172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831"/>
      <c r="Y41" s="832"/>
      <c r="Z41" s="854"/>
      <c r="AA41" s="855"/>
      <c r="AB41" s="855"/>
      <c r="AC41" s="855"/>
      <c r="AD41" s="855"/>
      <c r="AE41" s="855"/>
      <c r="AF41" s="856"/>
      <c r="AG41" s="184"/>
      <c r="AH41" s="185" t="s">
        <v>172</v>
      </c>
      <c r="AI41" s="186" t="e">
        <f>ROUND(((AI38-35)*(0.2+0.005*(AI39-40)))+0.01*((AI38-15)*(AI40-10)),1)</f>
        <v>#DIV/0!</v>
      </c>
      <c r="AJ41" s="180"/>
      <c r="AK41" s="53"/>
      <c r="AL41" s="181"/>
      <c r="AM41" s="53"/>
      <c r="AN41" s="175"/>
    </row>
    <row r="42" spans="1:83" s="157" customFormat="1" ht="10.15" customHeight="1" x14ac:dyDescent="0.2">
      <c r="A42" s="170"/>
      <c r="B42" s="171"/>
      <c r="C42" s="139"/>
      <c r="D42" s="139"/>
      <c r="E42" s="139"/>
      <c r="F42" s="139"/>
      <c r="G42" s="139"/>
      <c r="H42" s="139"/>
      <c r="I42" s="139"/>
      <c r="J42" s="139"/>
      <c r="K42" s="172"/>
      <c r="L42" s="172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831"/>
      <c r="Y42" s="832"/>
      <c r="Z42" s="854"/>
      <c r="AA42" s="855"/>
      <c r="AB42" s="855"/>
      <c r="AC42" s="855"/>
      <c r="AD42" s="855"/>
      <c r="AE42" s="855"/>
      <c r="AF42" s="856"/>
      <c r="AG42" s="184"/>
      <c r="AH42" s="53"/>
      <c r="AI42" s="180"/>
      <c r="AJ42" s="180"/>
      <c r="AK42" s="53"/>
      <c r="AL42" s="181"/>
      <c r="AM42" s="53"/>
      <c r="AN42" s="175"/>
    </row>
    <row r="43" spans="1:83" s="157" customFormat="1" ht="10.15" customHeight="1" x14ac:dyDescent="0.2">
      <c r="A43" s="170"/>
      <c r="B43" s="171"/>
      <c r="C43" s="139"/>
      <c r="D43" s="139"/>
      <c r="E43" s="139"/>
      <c r="F43" s="139"/>
      <c r="G43" s="139"/>
      <c r="H43" s="139"/>
      <c r="I43" s="139"/>
      <c r="J43" s="139"/>
      <c r="K43" s="172"/>
      <c r="L43" s="172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833"/>
      <c r="Y43" s="834"/>
      <c r="Z43" s="857"/>
      <c r="AA43" s="858"/>
      <c r="AB43" s="858"/>
      <c r="AC43" s="858"/>
      <c r="AD43" s="858"/>
      <c r="AE43" s="858"/>
      <c r="AF43" s="859"/>
      <c r="AG43" s="184"/>
      <c r="AH43" s="53"/>
      <c r="AI43" s="187"/>
      <c r="AJ43" s="53"/>
      <c r="AK43" s="53"/>
      <c r="AL43" s="181"/>
      <c r="AM43" s="53"/>
      <c r="AN43" s="175"/>
    </row>
    <row r="44" spans="1:83" s="157" customFormat="1" ht="10.15" customHeight="1" x14ac:dyDescent="0.2">
      <c r="A44" s="170"/>
      <c r="B44" s="171"/>
      <c r="C44" s="139"/>
      <c r="D44" s="139"/>
      <c r="E44" s="139"/>
      <c r="F44" s="139"/>
      <c r="G44" s="139"/>
      <c r="H44" s="139"/>
      <c r="I44" s="139"/>
      <c r="J44" s="139"/>
      <c r="K44" s="172"/>
      <c r="L44" s="172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76"/>
      <c r="AG44" s="126"/>
      <c r="AH44" s="53"/>
      <c r="AI44" s="187"/>
      <c r="AJ44" s="53"/>
      <c r="AK44" s="53"/>
      <c r="AL44" s="181"/>
      <c r="AM44" s="53"/>
      <c r="AN44" s="175"/>
    </row>
    <row r="45" spans="1:83" s="157" customFormat="1" ht="10.15" customHeight="1" x14ac:dyDescent="0.2">
      <c r="A45" s="170"/>
      <c r="B45" s="171"/>
      <c r="C45" s="139"/>
      <c r="D45" s="139"/>
      <c r="E45" s="139"/>
      <c r="F45" s="139"/>
      <c r="G45" s="139"/>
      <c r="H45" s="139"/>
      <c r="I45" s="139"/>
      <c r="J45" s="139"/>
      <c r="K45" s="172"/>
      <c r="L45" s="172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829" t="s">
        <v>173</v>
      </c>
      <c r="Y45" s="830"/>
      <c r="Z45" s="835" t="s">
        <v>255</v>
      </c>
      <c r="AA45" s="836"/>
      <c r="AB45" s="836"/>
      <c r="AC45" s="836"/>
      <c r="AD45" s="836"/>
      <c r="AE45" s="836"/>
      <c r="AF45" s="837"/>
      <c r="AG45" s="188"/>
      <c r="AH45" s="53"/>
      <c r="AI45" s="187"/>
      <c r="AJ45" s="53"/>
      <c r="AK45" s="53"/>
      <c r="AL45" s="181"/>
      <c r="AM45" s="53"/>
      <c r="AN45" s="175"/>
    </row>
    <row r="46" spans="1:83" s="157" customFormat="1" ht="10.15" customHeight="1" x14ac:dyDescent="0.2">
      <c r="A46" s="170"/>
      <c r="B46" s="171"/>
      <c r="C46" s="139"/>
      <c r="D46" s="139"/>
      <c r="E46" s="139"/>
      <c r="F46" s="139"/>
      <c r="G46" s="139"/>
      <c r="H46" s="139"/>
      <c r="I46" s="139"/>
      <c r="J46" s="139"/>
      <c r="K46" s="172"/>
      <c r="L46" s="172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831"/>
      <c r="Y46" s="832"/>
      <c r="Z46" s="838"/>
      <c r="AA46" s="839"/>
      <c r="AB46" s="839"/>
      <c r="AC46" s="839"/>
      <c r="AD46" s="839"/>
      <c r="AE46" s="839"/>
      <c r="AF46" s="840"/>
      <c r="AG46" s="188"/>
      <c r="AH46" s="53"/>
      <c r="AI46" s="189"/>
      <c r="AJ46" s="53"/>
      <c r="AK46" s="53"/>
      <c r="AL46" s="181"/>
      <c r="AM46" s="53"/>
      <c r="AN46" s="175"/>
    </row>
    <row r="47" spans="1:83" s="157" customFormat="1" ht="19.5" customHeight="1" x14ac:dyDescent="0.2">
      <c r="A47" s="170"/>
      <c r="B47" s="171"/>
      <c r="C47" s="171"/>
      <c r="D47" s="171"/>
      <c r="E47" s="172"/>
      <c r="F47" s="172"/>
      <c r="G47" s="172"/>
      <c r="H47" s="172"/>
      <c r="I47" s="172"/>
      <c r="J47" s="172"/>
      <c r="K47" s="172"/>
      <c r="L47" s="172"/>
      <c r="M47" s="171"/>
      <c r="N47" s="171"/>
      <c r="O47" s="171"/>
      <c r="P47" s="171"/>
      <c r="Q47" s="172"/>
      <c r="R47" s="172"/>
      <c r="S47" s="172"/>
      <c r="T47" s="172"/>
      <c r="U47" s="139"/>
      <c r="V47" s="139"/>
      <c r="W47" s="139"/>
      <c r="X47" s="831"/>
      <c r="Y47" s="832"/>
      <c r="Z47" s="838"/>
      <c r="AA47" s="839"/>
      <c r="AB47" s="839"/>
      <c r="AC47" s="839"/>
      <c r="AD47" s="839"/>
      <c r="AE47" s="839"/>
      <c r="AF47" s="840"/>
      <c r="AG47" s="188"/>
      <c r="AH47" s="53"/>
      <c r="AI47" s="190"/>
      <c r="AJ47" s="191"/>
      <c r="AK47" s="192"/>
      <c r="AL47" s="53"/>
      <c r="AM47" s="53"/>
      <c r="AN47" s="175"/>
    </row>
    <row r="48" spans="1:83" s="157" customFormat="1" ht="10.15" customHeight="1" x14ac:dyDescent="0.2">
      <c r="A48" s="170"/>
      <c r="B48" s="171"/>
      <c r="C48" s="171"/>
      <c r="D48" s="171"/>
      <c r="E48" s="172"/>
      <c r="F48" s="172"/>
      <c r="G48" s="172"/>
      <c r="H48" s="172"/>
      <c r="I48" s="172"/>
      <c r="J48" s="172"/>
      <c r="K48" s="172"/>
      <c r="L48" s="172"/>
      <c r="M48" s="171"/>
      <c r="N48" s="171"/>
      <c r="O48" s="171"/>
      <c r="P48" s="171"/>
      <c r="Q48" s="172"/>
      <c r="R48" s="172"/>
      <c r="S48" s="172"/>
      <c r="T48" s="172"/>
      <c r="U48" s="139"/>
      <c r="V48" s="139"/>
      <c r="W48" s="139"/>
      <c r="X48" s="831"/>
      <c r="Y48" s="832"/>
      <c r="Z48" s="838"/>
      <c r="AA48" s="839"/>
      <c r="AB48" s="839"/>
      <c r="AC48" s="839"/>
      <c r="AD48" s="839"/>
      <c r="AE48" s="839"/>
      <c r="AF48" s="840"/>
      <c r="AG48" s="188"/>
      <c r="AH48" s="53"/>
      <c r="AI48" s="190"/>
      <c r="AJ48" s="53"/>
      <c r="AK48" s="53"/>
      <c r="AL48" s="53"/>
      <c r="AM48" s="53"/>
      <c r="AN48" s="175"/>
    </row>
    <row r="49" spans="1:40" ht="10.15" customHeight="1" x14ac:dyDescent="0.2">
      <c r="A49" s="193"/>
      <c r="B49" s="194"/>
      <c r="C49" s="194"/>
      <c r="D49" s="194"/>
      <c r="E49" s="195"/>
      <c r="F49" s="195"/>
      <c r="G49" s="195"/>
      <c r="H49" s="195"/>
      <c r="I49" s="196"/>
      <c r="J49" s="196"/>
      <c r="K49" s="196"/>
      <c r="L49" s="196"/>
      <c r="M49" s="196"/>
      <c r="N49" s="196"/>
      <c r="O49" s="196"/>
      <c r="P49" s="196"/>
      <c r="Q49" s="194"/>
      <c r="R49" s="194"/>
      <c r="S49" s="194"/>
      <c r="T49" s="194"/>
      <c r="U49" s="194"/>
      <c r="V49" s="194"/>
      <c r="W49" s="194"/>
      <c r="X49" s="833"/>
      <c r="Y49" s="834"/>
      <c r="Z49" s="841"/>
      <c r="AA49" s="842"/>
      <c r="AB49" s="842"/>
      <c r="AC49" s="842"/>
      <c r="AD49" s="842"/>
      <c r="AE49" s="842"/>
      <c r="AF49" s="843"/>
      <c r="AG49" s="188"/>
      <c r="AH49" s="53"/>
      <c r="AI49" s="187"/>
      <c r="AN49" s="175"/>
    </row>
    <row r="50" spans="1:40" ht="13.7" customHeight="1" x14ac:dyDescent="0.2">
      <c r="A50" s="197"/>
      <c r="B50" s="139"/>
      <c r="C50" s="139"/>
      <c r="D50" s="139"/>
      <c r="E50" s="198"/>
      <c r="F50" s="198"/>
      <c r="G50" s="198"/>
      <c r="H50" s="198"/>
      <c r="I50" s="199"/>
      <c r="J50" s="199"/>
      <c r="K50" s="199"/>
      <c r="L50" s="199"/>
      <c r="M50" s="199"/>
      <c r="N50" s="199"/>
      <c r="O50" s="199"/>
      <c r="P50" s="199"/>
      <c r="Q50" s="139"/>
      <c r="R50" s="139"/>
      <c r="S50" s="139"/>
      <c r="T50" s="139"/>
      <c r="U50" s="139"/>
      <c r="V50" s="139"/>
      <c r="W50" s="139"/>
      <c r="X50" s="200"/>
      <c r="Y50" s="200"/>
      <c r="Z50" s="201"/>
      <c r="AA50" s="201"/>
      <c r="AB50" s="201"/>
      <c r="AC50" s="201"/>
      <c r="AD50" s="201"/>
      <c r="AE50" s="201"/>
      <c r="AF50" s="202"/>
      <c r="AG50" s="188"/>
      <c r="AH50" s="53"/>
      <c r="AI50" s="187"/>
      <c r="AN50" s="175"/>
    </row>
    <row r="51" spans="1:40" ht="13.7" customHeight="1" x14ac:dyDescent="0.2">
      <c r="A51" s="138"/>
      <c r="B51" s="139"/>
      <c r="C51" s="139"/>
      <c r="D51" s="139"/>
      <c r="E51" s="198"/>
      <c r="F51" s="198"/>
      <c r="G51" s="198"/>
      <c r="H51" s="198"/>
      <c r="I51" s="199"/>
      <c r="J51" s="199"/>
      <c r="K51" s="199"/>
      <c r="L51" s="199"/>
      <c r="M51" s="199"/>
      <c r="N51" s="199"/>
      <c r="O51" s="199"/>
      <c r="P51" s="199"/>
      <c r="Q51" s="139"/>
      <c r="R51" s="139"/>
      <c r="S51" s="139"/>
      <c r="T51" s="139"/>
      <c r="U51" s="139"/>
      <c r="V51" s="139"/>
      <c r="W51" s="139"/>
      <c r="X51" s="200"/>
      <c r="Y51" s="200"/>
      <c r="Z51" s="201"/>
      <c r="AA51" s="201"/>
      <c r="AB51" s="201"/>
      <c r="AC51" s="201"/>
      <c r="AD51" s="201"/>
      <c r="AE51" s="201"/>
      <c r="AF51" s="202"/>
      <c r="AG51" s="188"/>
      <c r="AH51" s="53"/>
      <c r="AI51" s="187"/>
      <c r="AN51" s="175"/>
    </row>
    <row r="52" spans="1:40" ht="13.7" customHeight="1" x14ac:dyDescent="0.2">
      <c r="A52" s="138"/>
      <c r="B52" s="139"/>
      <c r="C52" s="139"/>
      <c r="D52" s="139"/>
      <c r="E52" s="198"/>
      <c r="F52" s="198"/>
      <c r="G52" s="198"/>
      <c r="H52" s="198"/>
      <c r="I52" s="199"/>
      <c r="J52" s="199"/>
      <c r="K52" s="199"/>
      <c r="L52" s="199"/>
      <c r="M52" s="199"/>
      <c r="N52" s="199"/>
      <c r="O52" s="199"/>
      <c r="P52" s="199"/>
      <c r="Q52" s="139"/>
      <c r="R52" s="139"/>
      <c r="S52" s="139"/>
      <c r="T52" s="139"/>
      <c r="U52" s="139"/>
      <c r="V52" s="139"/>
      <c r="W52" s="139"/>
      <c r="X52" s="200"/>
      <c r="Y52" s="200"/>
      <c r="Z52" s="201"/>
      <c r="AA52" s="201"/>
      <c r="AB52" s="201"/>
      <c r="AC52" s="201"/>
      <c r="AD52" s="201"/>
      <c r="AE52" s="201"/>
      <c r="AF52" s="202"/>
      <c r="AG52" s="188"/>
      <c r="AH52" s="53"/>
      <c r="AI52" s="187"/>
      <c r="AN52" s="175"/>
    </row>
    <row r="53" spans="1:40" ht="13.7" customHeight="1" x14ac:dyDescent="0.2">
      <c r="A53" s="138"/>
      <c r="B53" s="139"/>
      <c r="C53" s="139"/>
      <c r="D53" s="139"/>
      <c r="E53" s="198"/>
      <c r="F53" s="198"/>
      <c r="G53" s="198"/>
      <c r="H53" s="198"/>
      <c r="I53" s="199"/>
      <c r="J53" s="199"/>
      <c r="K53" s="199"/>
      <c r="L53" s="199"/>
      <c r="M53" s="199"/>
      <c r="N53" s="199"/>
      <c r="O53" s="199"/>
      <c r="P53" s="199"/>
      <c r="Q53" s="139"/>
      <c r="R53" s="139"/>
      <c r="S53" s="139"/>
      <c r="T53" s="139"/>
      <c r="U53" s="139"/>
      <c r="V53" s="139"/>
      <c r="W53" s="139"/>
      <c r="X53" s="200"/>
      <c r="Y53" s="200"/>
      <c r="Z53" s="201"/>
      <c r="AA53" s="201"/>
      <c r="AB53" s="201"/>
      <c r="AC53" s="201"/>
      <c r="AD53" s="201"/>
      <c r="AE53" s="201"/>
      <c r="AF53" s="202"/>
      <c r="AG53" s="188"/>
      <c r="AH53" s="53"/>
      <c r="AI53" s="187"/>
      <c r="AN53" s="175"/>
    </row>
    <row r="54" spans="1:40" ht="13.7" customHeight="1" x14ac:dyDescent="0.2">
      <c r="A54" s="138"/>
      <c r="B54" s="139"/>
      <c r="C54" s="139"/>
      <c r="D54" s="139"/>
      <c r="E54" s="198"/>
      <c r="F54" s="198"/>
      <c r="G54" s="198"/>
      <c r="H54" s="198"/>
      <c r="I54" s="199"/>
      <c r="J54" s="199"/>
      <c r="K54" s="199"/>
      <c r="L54" s="199"/>
      <c r="M54" s="199"/>
      <c r="N54" s="199"/>
      <c r="O54" s="199"/>
      <c r="P54" s="199"/>
      <c r="Q54" s="139"/>
      <c r="R54" s="139"/>
      <c r="S54" s="139"/>
      <c r="T54" s="139"/>
      <c r="U54" s="139"/>
      <c r="V54" s="139"/>
      <c r="W54" s="139"/>
      <c r="X54" s="200"/>
      <c r="Y54" s="200"/>
      <c r="Z54" s="201"/>
      <c r="AA54" s="201"/>
      <c r="AB54" s="201"/>
      <c r="AC54" s="201"/>
      <c r="AD54" s="201"/>
      <c r="AE54" s="201"/>
      <c r="AF54" s="202"/>
      <c r="AG54" s="188"/>
      <c r="AH54" s="53"/>
      <c r="AI54" s="187"/>
      <c r="AN54" s="175"/>
    </row>
    <row r="55" spans="1:40" ht="14.25" customHeight="1" x14ac:dyDescent="0.2">
      <c r="A55" s="505">
        <f>M8</f>
        <v>0</v>
      </c>
      <c r="B55" s="506"/>
      <c r="C55" s="506"/>
      <c r="D55" s="506"/>
      <c r="E55" s="506"/>
      <c r="F55" s="506"/>
      <c r="G55" s="506"/>
      <c r="H55" s="506"/>
      <c r="I55" s="506"/>
      <c r="J55" s="506"/>
      <c r="K55" s="506"/>
      <c r="L55" s="506"/>
      <c r="M55" s="506"/>
      <c r="N55" s="506"/>
      <c r="O55" s="506"/>
      <c r="P55" s="103"/>
      <c r="Q55" s="506" t="s">
        <v>267</v>
      </c>
      <c r="R55" s="506"/>
      <c r="S55" s="506"/>
      <c r="T55" s="506"/>
      <c r="U55" s="506"/>
      <c r="V55" s="506"/>
      <c r="W55" s="506"/>
      <c r="X55" s="506"/>
      <c r="Y55" s="506"/>
      <c r="Z55" s="506"/>
      <c r="AA55" s="506"/>
      <c r="AB55" s="506"/>
      <c r="AC55" s="506"/>
      <c r="AD55" s="506"/>
      <c r="AE55" s="506"/>
      <c r="AF55" s="507"/>
      <c r="AG55" s="58"/>
      <c r="AN55" s="175"/>
    </row>
    <row r="56" spans="1:40" ht="12" customHeight="1" x14ac:dyDescent="0.2">
      <c r="A56" s="505" t="str">
        <f>LIMITES!I53</f>
        <v>Tecnico de laboratorio de suelos y materiales</v>
      </c>
      <c r="B56" s="506"/>
      <c r="C56" s="506"/>
      <c r="D56" s="506"/>
      <c r="E56" s="506"/>
      <c r="F56" s="506"/>
      <c r="G56" s="506"/>
      <c r="H56" s="506"/>
      <c r="I56" s="506"/>
      <c r="J56" s="506"/>
      <c r="K56" s="506"/>
      <c r="L56" s="506"/>
      <c r="M56" s="506"/>
      <c r="N56" s="506"/>
      <c r="O56" s="506"/>
      <c r="P56" s="103"/>
      <c r="Q56" s="506" t="str">
        <f>LIMITES!AA53</f>
        <v>Jefe técnico de laboratorio de suelos y materiales</v>
      </c>
      <c r="R56" s="506"/>
      <c r="S56" s="506"/>
      <c r="T56" s="506"/>
      <c r="U56" s="506"/>
      <c r="V56" s="506"/>
      <c r="W56" s="506"/>
      <c r="X56" s="506"/>
      <c r="Y56" s="506"/>
      <c r="Z56" s="506"/>
      <c r="AA56" s="506"/>
      <c r="AB56" s="506"/>
      <c r="AC56" s="506"/>
      <c r="AD56" s="506"/>
      <c r="AE56" s="506"/>
      <c r="AF56" s="507"/>
      <c r="AG56" s="58"/>
      <c r="AN56" s="175"/>
    </row>
    <row r="57" spans="1:40" ht="14.25" customHeight="1" thickBot="1" x14ac:dyDescent="0.25">
      <c r="A57" s="203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204"/>
      <c r="Y57" s="204"/>
      <c r="Z57" s="204"/>
      <c r="AA57" s="204"/>
      <c r="AB57" s="204"/>
      <c r="AC57" s="204"/>
      <c r="AD57" s="204"/>
      <c r="AE57" s="204"/>
      <c r="AF57" s="205"/>
    </row>
  </sheetData>
  <mergeCells count="92">
    <mergeCell ref="A4:C4"/>
    <mergeCell ref="E4:AF4"/>
    <mergeCell ref="I2:AF2"/>
    <mergeCell ref="I3:AF3"/>
    <mergeCell ref="A2:H3"/>
    <mergeCell ref="V8:AF8"/>
    <mergeCell ref="AJ4:AM4"/>
    <mergeCell ref="A5:C5"/>
    <mergeCell ref="E5:AF5"/>
    <mergeCell ref="A6:D6"/>
    <mergeCell ref="E6:K7"/>
    <mergeCell ref="L6:X7"/>
    <mergeCell ref="Y6:AB6"/>
    <mergeCell ref="AC6:AF6"/>
    <mergeCell ref="A7:D7"/>
    <mergeCell ref="AD7:AF7"/>
    <mergeCell ref="A8:D8"/>
    <mergeCell ref="E8:H8"/>
    <mergeCell ref="I8:L8"/>
    <mergeCell ref="M8:R8"/>
    <mergeCell ref="S8:U8"/>
    <mergeCell ref="A10:AF10"/>
    <mergeCell ref="X11:Z12"/>
    <mergeCell ref="AA11:AC12"/>
    <mergeCell ref="AD11:AF12"/>
    <mergeCell ref="AI11:AK12"/>
    <mergeCell ref="AO11:AQ12"/>
    <mergeCell ref="X13:Z14"/>
    <mergeCell ref="AA13:AC14"/>
    <mergeCell ref="AD13:AF14"/>
    <mergeCell ref="AI13:AK14"/>
    <mergeCell ref="AL13:AN14"/>
    <mergeCell ref="AO13:AQ14"/>
    <mergeCell ref="AL11:AN12"/>
    <mergeCell ref="X15:AB16"/>
    <mergeCell ref="AC15:AF16"/>
    <mergeCell ref="AI15:AM16"/>
    <mergeCell ref="AN15:AQ16"/>
    <mergeCell ref="X17:AB19"/>
    <mergeCell ref="AC17:AF19"/>
    <mergeCell ref="AI17:AM19"/>
    <mergeCell ref="AN17:AQ19"/>
    <mergeCell ref="AL24:AN25"/>
    <mergeCell ref="AO24:AQ25"/>
    <mergeCell ref="X20:AF21"/>
    <mergeCell ref="AI20:AQ21"/>
    <mergeCell ref="X22:Z23"/>
    <mergeCell ref="AA22:AC23"/>
    <mergeCell ref="AD22:AF23"/>
    <mergeCell ref="AI22:AK23"/>
    <mergeCell ref="AL22:AN23"/>
    <mergeCell ref="AO22:AQ23"/>
    <mergeCell ref="U26:X26"/>
    <mergeCell ref="X24:Z25"/>
    <mergeCell ref="AA24:AC25"/>
    <mergeCell ref="AD24:AF25"/>
    <mergeCell ref="AI24:AK25"/>
    <mergeCell ref="A26:D26"/>
    <mergeCell ref="E26:H26"/>
    <mergeCell ref="I26:L26"/>
    <mergeCell ref="M26:P26"/>
    <mergeCell ref="Q26:T26"/>
    <mergeCell ref="A27:AF27"/>
    <mergeCell ref="AH27:AO28"/>
    <mergeCell ref="AT27:BA28"/>
    <mergeCell ref="BE27:BL28"/>
    <mergeCell ref="A28:D28"/>
    <mergeCell ref="E28:H28"/>
    <mergeCell ref="I28:L28"/>
    <mergeCell ref="M28:P28"/>
    <mergeCell ref="Q28:T28"/>
    <mergeCell ref="U28:X28"/>
    <mergeCell ref="B29:H30"/>
    <mergeCell ref="L29:R30"/>
    <mergeCell ref="V29:AC30"/>
    <mergeCell ref="AT29:BA31"/>
    <mergeCell ref="BE29:BL31"/>
    <mergeCell ref="B31:H32"/>
    <mergeCell ref="L31:R32"/>
    <mergeCell ref="V31:AC32"/>
    <mergeCell ref="X35:AF36"/>
    <mergeCell ref="AH36:AI36"/>
    <mergeCell ref="AT36:CE37"/>
    <mergeCell ref="X38:Y43"/>
    <mergeCell ref="Z38:AF39"/>
    <mergeCell ref="Z40:AF43"/>
    <mergeCell ref="X45:Y49"/>
    <mergeCell ref="Z45:AF49"/>
    <mergeCell ref="A55:O55"/>
    <mergeCell ref="Q55:AF55"/>
    <mergeCell ref="A56:O56"/>
    <mergeCell ref="Q56:AF56"/>
  </mergeCells>
  <conditionalFormatting sqref="Q13:T19">
    <cfRule type="cellIs" dxfId="14" priority="5" stopIfTrue="1" operator="equal">
      <formula>#REF!</formula>
    </cfRule>
  </conditionalFormatting>
  <conditionalFormatting sqref="Q23:T23">
    <cfRule type="cellIs" dxfId="13" priority="7" stopIfTrue="1" operator="equal">
      <formula>$Q$16</formula>
    </cfRule>
  </conditionalFormatting>
  <conditionalFormatting sqref="Q24:T24">
    <cfRule type="cellIs" dxfId="12" priority="4" stopIfTrue="1" operator="equal">
      <formula>$Q$20</formula>
    </cfRule>
  </conditionalFormatting>
  <conditionalFormatting sqref="Q25:T25">
    <cfRule type="cellIs" dxfId="11" priority="3" stopIfTrue="1" operator="equal">
      <formula>#REF!</formula>
    </cfRule>
  </conditionalFormatting>
  <conditionalFormatting sqref="Q26:T26">
    <cfRule type="cellIs" dxfId="10" priority="2" stopIfTrue="1" operator="equal">
      <formula>$Q$22</formula>
    </cfRule>
  </conditionalFormatting>
  <conditionalFormatting sqref="Q28:T28">
    <cfRule type="cellIs" dxfId="9" priority="1" stopIfTrue="1" operator="equal">
      <formula>$Q$24</formula>
    </cfRule>
  </conditionalFormatting>
  <conditionalFormatting sqref="U12:W19 U23:W26 X26 U28:X28">
    <cfRule type="cellIs" dxfId="8" priority="6" stopIfTrue="1" operator="greaterThan">
      <formula>0</formula>
    </cfRule>
  </conditionalFormatting>
  <printOptions horizontalCentered="1" verticalCentered="1"/>
  <pageMargins left="0.39370078740157483" right="0.39370078740157483" top="0.78740157480314965" bottom="0.47244094488188981" header="0.19685039370078741" footer="0.19685039370078741"/>
  <pageSetup scale="80" fitToWidth="0" fitToHeight="0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6A9D-A29F-4920-ACB3-C24D3BECE61C}">
  <sheetPr codeName="Hoja32">
    <tabColor theme="9" tint="-0.249977111117893"/>
  </sheetPr>
  <dimension ref="A1:BP56"/>
  <sheetViews>
    <sheetView showGridLines="0" view="pageBreakPreview" zoomScaleNormal="100" zoomScaleSheetLayoutView="100" workbookViewId="0"/>
  </sheetViews>
  <sheetFormatPr baseColWidth="10" defaultColWidth="2.7109375" defaultRowHeight="14.25" customHeight="1" x14ac:dyDescent="0.25"/>
  <cols>
    <col min="1" max="1" width="2.7109375" style="206"/>
    <col min="2" max="2" width="4.42578125" style="206" customWidth="1"/>
    <col min="3" max="8" width="2.7109375" style="206"/>
    <col min="9" max="9" width="4.140625" style="206" customWidth="1"/>
    <col min="10" max="10" width="2.7109375" style="206"/>
    <col min="11" max="11" width="4.7109375" style="206" customWidth="1"/>
    <col min="12" max="12" width="2.7109375" style="206"/>
    <col min="13" max="13" width="3.5703125" style="206" customWidth="1"/>
    <col min="14" max="14" width="2.7109375" style="206"/>
    <col min="15" max="15" width="3.140625" style="206" customWidth="1"/>
    <col min="16" max="16" width="4.7109375" style="206" customWidth="1"/>
    <col min="17" max="17" width="3.5703125" style="206" customWidth="1"/>
    <col min="18" max="18" width="4.140625" style="206" customWidth="1"/>
    <col min="19" max="20" width="3.5703125" style="206" customWidth="1"/>
    <col min="21" max="21" width="4.140625" style="206" customWidth="1"/>
    <col min="22" max="22" width="3.7109375" style="206" customWidth="1"/>
    <col min="23" max="23" width="3.42578125" style="206" customWidth="1"/>
    <col min="24" max="24" width="4.85546875" style="206" customWidth="1"/>
    <col min="25" max="25" width="2.7109375" style="206"/>
    <col min="26" max="26" width="4.140625" style="206" customWidth="1"/>
    <col min="27" max="27" width="2.7109375" style="206"/>
    <col min="28" max="28" width="3.28515625" style="206" customWidth="1"/>
    <col min="29" max="29" width="3.140625" style="206" customWidth="1"/>
    <col min="30" max="30" width="6" style="206" customWidth="1"/>
    <col min="31" max="31" width="3.42578125" style="206" customWidth="1"/>
    <col min="32" max="32" width="8.140625" style="206" customWidth="1"/>
    <col min="33" max="33" width="5.5703125" style="206" customWidth="1"/>
    <col min="34" max="34" width="21.140625" style="207" customWidth="1"/>
    <col min="35" max="35" width="11.42578125" style="207" customWidth="1"/>
    <col min="36" max="37" width="5.5703125" style="62" customWidth="1"/>
    <col min="38" max="38" width="10.140625" style="62" customWidth="1"/>
    <col min="39" max="39" width="10.140625" style="206" customWidth="1"/>
    <col min="40" max="258" width="2.7109375" style="206"/>
    <col min="259" max="259" width="4.42578125" style="206" customWidth="1"/>
    <col min="260" max="265" width="2.7109375" style="206"/>
    <col min="266" max="266" width="4.140625" style="206" customWidth="1"/>
    <col min="267" max="267" width="2.7109375" style="206"/>
    <col min="268" max="268" width="4.7109375" style="206" customWidth="1"/>
    <col min="269" max="269" width="2.7109375" style="206"/>
    <col min="270" max="270" width="3.5703125" style="206" customWidth="1"/>
    <col min="271" max="272" width="2.7109375" style="206"/>
    <col min="273" max="273" width="4.7109375" style="206" customWidth="1"/>
    <col min="274" max="278" width="2.7109375" style="206"/>
    <col min="279" max="280" width="3.42578125" style="206" customWidth="1"/>
    <col min="281" max="281" width="4.85546875" style="206" customWidth="1"/>
    <col min="282" max="282" width="2.7109375" style="206"/>
    <col min="283" max="283" width="4.5703125" style="206" customWidth="1"/>
    <col min="284" max="285" width="2.7109375" style="206"/>
    <col min="286" max="286" width="3.140625" style="206" customWidth="1"/>
    <col min="287" max="287" width="6" style="206" customWidth="1"/>
    <col min="288" max="288" width="3.42578125" style="206" customWidth="1"/>
    <col min="289" max="289" width="8.140625" style="206" customWidth="1"/>
    <col min="290" max="290" width="5.5703125" style="206" customWidth="1"/>
    <col min="291" max="291" width="21.140625" style="206" customWidth="1"/>
    <col min="292" max="292" width="11.42578125" style="206" customWidth="1"/>
    <col min="293" max="293" width="8" style="206" customWidth="1"/>
    <col min="294" max="295" width="10.140625" style="206" customWidth="1"/>
    <col min="296" max="514" width="2.7109375" style="206"/>
    <col min="515" max="515" width="4.42578125" style="206" customWidth="1"/>
    <col min="516" max="521" width="2.7109375" style="206"/>
    <col min="522" max="522" width="4.140625" style="206" customWidth="1"/>
    <col min="523" max="523" width="2.7109375" style="206"/>
    <col min="524" max="524" width="4.7109375" style="206" customWidth="1"/>
    <col min="525" max="525" width="2.7109375" style="206"/>
    <col min="526" max="526" width="3.5703125" style="206" customWidth="1"/>
    <col min="527" max="528" width="2.7109375" style="206"/>
    <col min="529" max="529" width="4.7109375" style="206" customWidth="1"/>
    <col min="530" max="534" width="2.7109375" style="206"/>
    <col min="535" max="536" width="3.42578125" style="206" customWidth="1"/>
    <col min="537" max="537" width="4.85546875" style="206" customWidth="1"/>
    <col min="538" max="538" width="2.7109375" style="206"/>
    <col min="539" max="539" width="4.5703125" style="206" customWidth="1"/>
    <col min="540" max="541" width="2.7109375" style="206"/>
    <col min="542" max="542" width="3.140625" style="206" customWidth="1"/>
    <col min="543" max="543" width="6" style="206" customWidth="1"/>
    <col min="544" max="544" width="3.42578125" style="206" customWidth="1"/>
    <col min="545" max="545" width="8.140625" style="206" customWidth="1"/>
    <col min="546" max="546" width="5.5703125" style="206" customWidth="1"/>
    <col min="547" max="547" width="21.140625" style="206" customWidth="1"/>
    <col min="548" max="548" width="11.42578125" style="206" customWidth="1"/>
    <col min="549" max="549" width="8" style="206" customWidth="1"/>
    <col min="550" max="551" width="10.140625" style="206" customWidth="1"/>
    <col min="552" max="770" width="2.7109375" style="206"/>
    <col min="771" max="771" width="4.42578125" style="206" customWidth="1"/>
    <col min="772" max="777" width="2.7109375" style="206"/>
    <col min="778" max="778" width="4.140625" style="206" customWidth="1"/>
    <col min="779" max="779" width="2.7109375" style="206"/>
    <col min="780" max="780" width="4.7109375" style="206" customWidth="1"/>
    <col min="781" max="781" width="2.7109375" style="206"/>
    <col min="782" max="782" width="3.5703125" style="206" customWidth="1"/>
    <col min="783" max="784" width="2.7109375" style="206"/>
    <col min="785" max="785" width="4.7109375" style="206" customWidth="1"/>
    <col min="786" max="790" width="2.7109375" style="206"/>
    <col min="791" max="792" width="3.42578125" style="206" customWidth="1"/>
    <col min="793" max="793" width="4.85546875" style="206" customWidth="1"/>
    <col min="794" max="794" width="2.7109375" style="206"/>
    <col min="795" max="795" width="4.5703125" style="206" customWidth="1"/>
    <col min="796" max="797" width="2.7109375" style="206"/>
    <col min="798" max="798" width="3.140625" style="206" customWidth="1"/>
    <col min="799" max="799" width="6" style="206" customWidth="1"/>
    <col min="800" max="800" width="3.42578125" style="206" customWidth="1"/>
    <col min="801" max="801" width="8.140625" style="206" customWidth="1"/>
    <col min="802" max="802" width="5.5703125" style="206" customWidth="1"/>
    <col min="803" max="803" width="21.140625" style="206" customWidth="1"/>
    <col min="804" max="804" width="11.42578125" style="206" customWidth="1"/>
    <col min="805" max="805" width="8" style="206" customWidth="1"/>
    <col min="806" max="807" width="10.140625" style="206" customWidth="1"/>
    <col min="808" max="1026" width="2.7109375" style="206"/>
    <col min="1027" max="1027" width="4.42578125" style="206" customWidth="1"/>
    <col min="1028" max="1033" width="2.7109375" style="206"/>
    <col min="1034" max="1034" width="4.140625" style="206" customWidth="1"/>
    <col min="1035" max="1035" width="2.7109375" style="206"/>
    <col min="1036" max="1036" width="4.7109375" style="206" customWidth="1"/>
    <col min="1037" max="1037" width="2.7109375" style="206"/>
    <col min="1038" max="1038" width="3.5703125" style="206" customWidth="1"/>
    <col min="1039" max="1040" width="2.7109375" style="206"/>
    <col min="1041" max="1041" width="4.7109375" style="206" customWidth="1"/>
    <col min="1042" max="1046" width="2.7109375" style="206"/>
    <col min="1047" max="1048" width="3.42578125" style="206" customWidth="1"/>
    <col min="1049" max="1049" width="4.85546875" style="206" customWidth="1"/>
    <col min="1050" max="1050" width="2.7109375" style="206"/>
    <col min="1051" max="1051" width="4.5703125" style="206" customWidth="1"/>
    <col min="1052" max="1053" width="2.7109375" style="206"/>
    <col min="1054" max="1054" width="3.140625" style="206" customWidth="1"/>
    <col min="1055" max="1055" width="6" style="206" customWidth="1"/>
    <col min="1056" max="1056" width="3.42578125" style="206" customWidth="1"/>
    <col min="1057" max="1057" width="8.140625" style="206" customWidth="1"/>
    <col min="1058" max="1058" width="5.5703125" style="206" customWidth="1"/>
    <col min="1059" max="1059" width="21.140625" style="206" customWidth="1"/>
    <col min="1060" max="1060" width="11.42578125" style="206" customWidth="1"/>
    <col min="1061" max="1061" width="8" style="206" customWidth="1"/>
    <col min="1062" max="1063" width="10.140625" style="206" customWidth="1"/>
    <col min="1064" max="1282" width="2.7109375" style="206"/>
    <col min="1283" max="1283" width="4.42578125" style="206" customWidth="1"/>
    <col min="1284" max="1289" width="2.7109375" style="206"/>
    <col min="1290" max="1290" width="4.140625" style="206" customWidth="1"/>
    <col min="1291" max="1291" width="2.7109375" style="206"/>
    <col min="1292" max="1292" width="4.7109375" style="206" customWidth="1"/>
    <col min="1293" max="1293" width="2.7109375" style="206"/>
    <col min="1294" max="1294" width="3.5703125" style="206" customWidth="1"/>
    <col min="1295" max="1296" width="2.7109375" style="206"/>
    <col min="1297" max="1297" width="4.7109375" style="206" customWidth="1"/>
    <col min="1298" max="1302" width="2.7109375" style="206"/>
    <col min="1303" max="1304" width="3.42578125" style="206" customWidth="1"/>
    <col min="1305" max="1305" width="4.85546875" style="206" customWidth="1"/>
    <col min="1306" max="1306" width="2.7109375" style="206"/>
    <col min="1307" max="1307" width="4.5703125" style="206" customWidth="1"/>
    <col min="1308" max="1309" width="2.7109375" style="206"/>
    <col min="1310" max="1310" width="3.140625" style="206" customWidth="1"/>
    <col min="1311" max="1311" width="6" style="206" customWidth="1"/>
    <col min="1312" max="1312" width="3.42578125" style="206" customWidth="1"/>
    <col min="1313" max="1313" width="8.140625" style="206" customWidth="1"/>
    <col min="1314" max="1314" width="5.5703125" style="206" customWidth="1"/>
    <col min="1315" max="1315" width="21.140625" style="206" customWidth="1"/>
    <col min="1316" max="1316" width="11.42578125" style="206" customWidth="1"/>
    <col min="1317" max="1317" width="8" style="206" customWidth="1"/>
    <col min="1318" max="1319" width="10.140625" style="206" customWidth="1"/>
    <col min="1320" max="1538" width="2.7109375" style="206"/>
    <col min="1539" max="1539" width="4.42578125" style="206" customWidth="1"/>
    <col min="1540" max="1545" width="2.7109375" style="206"/>
    <col min="1546" max="1546" width="4.140625" style="206" customWidth="1"/>
    <col min="1547" max="1547" width="2.7109375" style="206"/>
    <col min="1548" max="1548" width="4.7109375" style="206" customWidth="1"/>
    <col min="1549" max="1549" width="2.7109375" style="206"/>
    <col min="1550" max="1550" width="3.5703125" style="206" customWidth="1"/>
    <col min="1551" max="1552" width="2.7109375" style="206"/>
    <col min="1553" max="1553" width="4.7109375" style="206" customWidth="1"/>
    <col min="1554" max="1558" width="2.7109375" style="206"/>
    <col min="1559" max="1560" width="3.42578125" style="206" customWidth="1"/>
    <col min="1561" max="1561" width="4.85546875" style="206" customWidth="1"/>
    <col min="1562" max="1562" width="2.7109375" style="206"/>
    <col min="1563" max="1563" width="4.5703125" style="206" customWidth="1"/>
    <col min="1564" max="1565" width="2.7109375" style="206"/>
    <col min="1566" max="1566" width="3.140625" style="206" customWidth="1"/>
    <col min="1567" max="1567" width="6" style="206" customWidth="1"/>
    <col min="1568" max="1568" width="3.42578125" style="206" customWidth="1"/>
    <col min="1569" max="1569" width="8.140625" style="206" customWidth="1"/>
    <col min="1570" max="1570" width="5.5703125" style="206" customWidth="1"/>
    <col min="1571" max="1571" width="21.140625" style="206" customWidth="1"/>
    <col min="1572" max="1572" width="11.42578125" style="206" customWidth="1"/>
    <col min="1573" max="1573" width="8" style="206" customWidth="1"/>
    <col min="1574" max="1575" width="10.140625" style="206" customWidth="1"/>
    <col min="1576" max="1794" width="2.7109375" style="206"/>
    <col min="1795" max="1795" width="4.42578125" style="206" customWidth="1"/>
    <col min="1796" max="1801" width="2.7109375" style="206"/>
    <col min="1802" max="1802" width="4.140625" style="206" customWidth="1"/>
    <col min="1803" max="1803" width="2.7109375" style="206"/>
    <col min="1804" max="1804" width="4.7109375" style="206" customWidth="1"/>
    <col min="1805" max="1805" width="2.7109375" style="206"/>
    <col min="1806" max="1806" width="3.5703125" style="206" customWidth="1"/>
    <col min="1807" max="1808" width="2.7109375" style="206"/>
    <col min="1809" max="1809" width="4.7109375" style="206" customWidth="1"/>
    <col min="1810" max="1814" width="2.7109375" style="206"/>
    <col min="1815" max="1816" width="3.42578125" style="206" customWidth="1"/>
    <col min="1817" max="1817" width="4.85546875" style="206" customWidth="1"/>
    <col min="1818" max="1818" width="2.7109375" style="206"/>
    <col min="1819" max="1819" width="4.5703125" style="206" customWidth="1"/>
    <col min="1820" max="1821" width="2.7109375" style="206"/>
    <col min="1822" max="1822" width="3.140625" style="206" customWidth="1"/>
    <col min="1823" max="1823" width="6" style="206" customWidth="1"/>
    <col min="1824" max="1824" width="3.42578125" style="206" customWidth="1"/>
    <col min="1825" max="1825" width="8.140625" style="206" customWidth="1"/>
    <col min="1826" max="1826" width="5.5703125" style="206" customWidth="1"/>
    <col min="1827" max="1827" width="21.140625" style="206" customWidth="1"/>
    <col min="1828" max="1828" width="11.42578125" style="206" customWidth="1"/>
    <col min="1829" max="1829" width="8" style="206" customWidth="1"/>
    <col min="1830" max="1831" width="10.140625" style="206" customWidth="1"/>
    <col min="1832" max="2050" width="2.7109375" style="206"/>
    <col min="2051" max="2051" width="4.42578125" style="206" customWidth="1"/>
    <col min="2052" max="2057" width="2.7109375" style="206"/>
    <col min="2058" max="2058" width="4.140625" style="206" customWidth="1"/>
    <col min="2059" max="2059" width="2.7109375" style="206"/>
    <col min="2060" max="2060" width="4.7109375" style="206" customWidth="1"/>
    <col min="2061" max="2061" width="2.7109375" style="206"/>
    <col min="2062" max="2062" width="3.5703125" style="206" customWidth="1"/>
    <col min="2063" max="2064" width="2.7109375" style="206"/>
    <col min="2065" max="2065" width="4.7109375" style="206" customWidth="1"/>
    <col min="2066" max="2070" width="2.7109375" style="206"/>
    <col min="2071" max="2072" width="3.42578125" style="206" customWidth="1"/>
    <col min="2073" max="2073" width="4.85546875" style="206" customWidth="1"/>
    <col min="2074" max="2074" width="2.7109375" style="206"/>
    <col min="2075" max="2075" width="4.5703125" style="206" customWidth="1"/>
    <col min="2076" max="2077" width="2.7109375" style="206"/>
    <col min="2078" max="2078" width="3.140625" style="206" customWidth="1"/>
    <col min="2079" max="2079" width="6" style="206" customWidth="1"/>
    <col min="2080" max="2080" width="3.42578125" style="206" customWidth="1"/>
    <col min="2081" max="2081" width="8.140625" style="206" customWidth="1"/>
    <col min="2082" max="2082" width="5.5703125" style="206" customWidth="1"/>
    <col min="2083" max="2083" width="21.140625" style="206" customWidth="1"/>
    <col min="2084" max="2084" width="11.42578125" style="206" customWidth="1"/>
    <col min="2085" max="2085" width="8" style="206" customWidth="1"/>
    <col min="2086" max="2087" width="10.140625" style="206" customWidth="1"/>
    <col min="2088" max="2306" width="2.7109375" style="206"/>
    <col min="2307" max="2307" width="4.42578125" style="206" customWidth="1"/>
    <col min="2308" max="2313" width="2.7109375" style="206"/>
    <col min="2314" max="2314" width="4.140625" style="206" customWidth="1"/>
    <col min="2315" max="2315" width="2.7109375" style="206"/>
    <col min="2316" max="2316" width="4.7109375" style="206" customWidth="1"/>
    <col min="2317" max="2317" width="2.7109375" style="206"/>
    <col min="2318" max="2318" width="3.5703125" style="206" customWidth="1"/>
    <col min="2319" max="2320" width="2.7109375" style="206"/>
    <col min="2321" max="2321" width="4.7109375" style="206" customWidth="1"/>
    <col min="2322" max="2326" width="2.7109375" style="206"/>
    <col min="2327" max="2328" width="3.42578125" style="206" customWidth="1"/>
    <col min="2329" max="2329" width="4.85546875" style="206" customWidth="1"/>
    <col min="2330" max="2330" width="2.7109375" style="206"/>
    <col min="2331" max="2331" width="4.5703125" style="206" customWidth="1"/>
    <col min="2332" max="2333" width="2.7109375" style="206"/>
    <col min="2334" max="2334" width="3.140625" style="206" customWidth="1"/>
    <col min="2335" max="2335" width="6" style="206" customWidth="1"/>
    <col min="2336" max="2336" width="3.42578125" style="206" customWidth="1"/>
    <col min="2337" max="2337" width="8.140625" style="206" customWidth="1"/>
    <col min="2338" max="2338" width="5.5703125" style="206" customWidth="1"/>
    <col min="2339" max="2339" width="21.140625" style="206" customWidth="1"/>
    <col min="2340" max="2340" width="11.42578125" style="206" customWidth="1"/>
    <col min="2341" max="2341" width="8" style="206" customWidth="1"/>
    <col min="2342" max="2343" width="10.140625" style="206" customWidth="1"/>
    <col min="2344" max="2562" width="2.7109375" style="206"/>
    <col min="2563" max="2563" width="4.42578125" style="206" customWidth="1"/>
    <col min="2564" max="2569" width="2.7109375" style="206"/>
    <col min="2570" max="2570" width="4.140625" style="206" customWidth="1"/>
    <col min="2571" max="2571" width="2.7109375" style="206"/>
    <col min="2572" max="2572" width="4.7109375" style="206" customWidth="1"/>
    <col min="2573" max="2573" width="2.7109375" style="206"/>
    <col min="2574" max="2574" width="3.5703125" style="206" customWidth="1"/>
    <col min="2575" max="2576" width="2.7109375" style="206"/>
    <col min="2577" max="2577" width="4.7109375" style="206" customWidth="1"/>
    <col min="2578" max="2582" width="2.7109375" style="206"/>
    <col min="2583" max="2584" width="3.42578125" style="206" customWidth="1"/>
    <col min="2585" max="2585" width="4.85546875" style="206" customWidth="1"/>
    <col min="2586" max="2586" width="2.7109375" style="206"/>
    <col min="2587" max="2587" width="4.5703125" style="206" customWidth="1"/>
    <col min="2588" max="2589" width="2.7109375" style="206"/>
    <col min="2590" max="2590" width="3.140625" style="206" customWidth="1"/>
    <col min="2591" max="2591" width="6" style="206" customWidth="1"/>
    <col min="2592" max="2592" width="3.42578125" style="206" customWidth="1"/>
    <col min="2593" max="2593" width="8.140625" style="206" customWidth="1"/>
    <col min="2594" max="2594" width="5.5703125" style="206" customWidth="1"/>
    <col min="2595" max="2595" width="21.140625" style="206" customWidth="1"/>
    <col min="2596" max="2596" width="11.42578125" style="206" customWidth="1"/>
    <col min="2597" max="2597" width="8" style="206" customWidth="1"/>
    <col min="2598" max="2599" width="10.140625" style="206" customWidth="1"/>
    <col min="2600" max="2818" width="2.7109375" style="206"/>
    <col min="2819" max="2819" width="4.42578125" style="206" customWidth="1"/>
    <col min="2820" max="2825" width="2.7109375" style="206"/>
    <col min="2826" max="2826" width="4.140625" style="206" customWidth="1"/>
    <col min="2827" max="2827" width="2.7109375" style="206"/>
    <col min="2828" max="2828" width="4.7109375" style="206" customWidth="1"/>
    <col min="2829" max="2829" width="2.7109375" style="206"/>
    <col min="2830" max="2830" width="3.5703125" style="206" customWidth="1"/>
    <col min="2831" max="2832" width="2.7109375" style="206"/>
    <col min="2833" max="2833" width="4.7109375" style="206" customWidth="1"/>
    <col min="2834" max="2838" width="2.7109375" style="206"/>
    <col min="2839" max="2840" width="3.42578125" style="206" customWidth="1"/>
    <col min="2841" max="2841" width="4.85546875" style="206" customWidth="1"/>
    <col min="2842" max="2842" width="2.7109375" style="206"/>
    <col min="2843" max="2843" width="4.5703125" style="206" customWidth="1"/>
    <col min="2844" max="2845" width="2.7109375" style="206"/>
    <col min="2846" max="2846" width="3.140625" style="206" customWidth="1"/>
    <col min="2847" max="2847" width="6" style="206" customWidth="1"/>
    <col min="2848" max="2848" width="3.42578125" style="206" customWidth="1"/>
    <col min="2849" max="2849" width="8.140625" style="206" customWidth="1"/>
    <col min="2850" max="2850" width="5.5703125" style="206" customWidth="1"/>
    <col min="2851" max="2851" width="21.140625" style="206" customWidth="1"/>
    <col min="2852" max="2852" width="11.42578125" style="206" customWidth="1"/>
    <col min="2853" max="2853" width="8" style="206" customWidth="1"/>
    <col min="2854" max="2855" width="10.140625" style="206" customWidth="1"/>
    <col min="2856" max="3074" width="2.7109375" style="206"/>
    <col min="3075" max="3075" width="4.42578125" style="206" customWidth="1"/>
    <col min="3076" max="3081" width="2.7109375" style="206"/>
    <col min="3082" max="3082" width="4.140625" style="206" customWidth="1"/>
    <col min="3083" max="3083" width="2.7109375" style="206"/>
    <col min="3084" max="3084" width="4.7109375" style="206" customWidth="1"/>
    <col min="3085" max="3085" width="2.7109375" style="206"/>
    <col min="3086" max="3086" width="3.5703125" style="206" customWidth="1"/>
    <col min="3087" max="3088" width="2.7109375" style="206"/>
    <col min="3089" max="3089" width="4.7109375" style="206" customWidth="1"/>
    <col min="3090" max="3094" width="2.7109375" style="206"/>
    <col min="3095" max="3096" width="3.42578125" style="206" customWidth="1"/>
    <col min="3097" max="3097" width="4.85546875" style="206" customWidth="1"/>
    <col min="3098" max="3098" width="2.7109375" style="206"/>
    <col min="3099" max="3099" width="4.5703125" style="206" customWidth="1"/>
    <col min="3100" max="3101" width="2.7109375" style="206"/>
    <col min="3102" max="3102" width="3.140625" style="206" customWidth="1"/>
    <col min="3103" max="3103" width="6" style="206" customWidth="1"/>
    <col min="3104" max="3104" width="3.42578125" style="206" customWidth="1"/>
    <col min="3105" max="3105" width="8.140625" style="206" customWidth="1"/>
    <col min="3106" max="3106" width="5.5703125" style="206" customWidth="1"/>
    <col min="3107" max="3107" width="21.140625" style="206" customWidth="1"/>
    <col min="3108" max="3108" width="11.42578125" style="206" customWidth="1"/>
    <col min="3109" max="3109" width="8" style="206" customWidth="1"/>
    <col min="3110" max="3111" width="10.140625" style="206" customWidth="1"/>
    <col min="3112" max="3330" width="2.7109375" style="206"/>
    <col min="3331" max="3331" width="4.42578125" style="206" customWidth="1"/>
    <col min="3332" max="3337" width="2.7109375" style="206"/>
    <col min="3338" max="3338" width="4.140625" style="206" customWidth="1"/>
    <col min="3339" max="3339" width="2.7109375" style="206"/>
    <col min="3340" max="3340" width="4.7109375" style="206" customWidth="1"/>
    <col min="3341" max="3341" width="2.7109375" style="206"/>
    <col min="3342" max="3342" width="3.5703125" style="206" customWidth="1"/>
    <col min="3343" max="3344" width="2.7109375" style="206"/>
    <col min="3345" max="3345" width="4.7109375" style="206" customWidth="1"/>
    <col min="3346" max="3350" width="2.7109375" style="206"/>
    <col min="3351" max="3352" width="3.42578125" style="206" customWidth="1"/>
    <col min="3353" max="3353" width="4.85546875" style="206" customWidth="1"/>
    <col min="3354" max="3354" width="2.7109375" style="206"/>
    <col min="3355" max="3355" width="4.5703125" style="206" customWidth="1"/>
    <col min="3356" max="3357" width="2.7109375" style="206"/>
    <col min="3358" max="3358" width="3.140625" style="206" customWidth="1"/>
    <col min="3359" max="3359" width="6" style="206" customWidth="1"/>
    <col min="3360" max="3360" width="3.42578125" style="206" customWidth="1"/>
    <col min="3361" max="3361" width="8.140625" style="206" customWidth="1"/>
    <col min="3362" max="3362" width="5.5703125" style="206" customWidth="1"/>
    <col min="3363" max="3363" width="21.140625" style="206" customWidth="1"/>
    <col min="3364" max="3364" width="11.42578125" style="206" customWidth="1"/>
    <col min="3365" max="3365" width="8" style="206" customWidth="1"/>
    <col min="3366" max="3367" width="10.140625" style="206" customWidth="1"/>
    <col min="3368" max="3586" width="2.7109375" style="206"/>
    <col min="3587" max="3587" width="4.42578125" style="206" customWidth="1"/>
    <col min="3588" max="3593" width="2.7109375" style="206"/>
    <col min="3594" max="3594" width="4.140625" style="206" customWidth="1"/>
    <col min="3595" max="3595" width="2.7109375" style="206"/>
    <col min="3596" max="3596" width="4.7109375" style="206" customWidth="1"/>
    <col min="3597" max="3597" width="2.7109375" style="206"/>
    <col min="3598" max="3598" width="3.5703125" style="206" customWidth="1"/>
    <col min="3599" max="3600" width="2.7109375" style="206"/>
    <col min="3601" max="3601" width="4.7109375" style="206" customWidth="1"/>
    <col min="3602" max="3606" width="2.7109375" style="206"/>
    <col min="3607" max="3608" width="3.42578125" style="206" customWidth="1"/>
    <col min="3609" max="3609" width="4.85546875" style="206" customWidth="1"/>
    <col min="3610" max="3610" width="2.7109375" style="206"/>
    <col min="3611" max="3611" width="4.5703125" style="206" customWidth="1"/>
    <col min="3612" max="3613" width="2.7109375" style="206"/>
    <col min="3614" max="3614" width="3.140625" style="206" customWidth="1"/>
    <col min="3615" max="3615" width="6" style="206" customWidth="1"/>
    <col min="3616" max="3616" width="3.42578125" style="206" customWidth="1"/>
    <col min="3617" max="3617" width="8.140625" style="206" customWidth="1"/>
    <col min="3618" max="3618" width="5.5703125" style="206" customWidth="1"/>
    <col min="3619" max="3619" width="21.140625" style="206" customWidth="1"/>
    <col min="3620" max="3620" width="11.42578125" style="206" customWidth="1"/>
    <col min="3621" max="3621" width="8" style="206" customWidth="1"/>
    <col min="3622" max="3623" width="10.140625" style="206" customWidth="1"/>
    <col min="3624" max="3842" width="2.7109375" style="206"/>
    <col min="3843" max="3843" width="4.42578125" style="206" customWidth="1"/>
    <col min="3844" max="3849" width="2.7109375" style="206"/>
    <col min="3850" max="3850" width="4.140625" style="206" customWidth="1"/>
    <col min="3851" max="3851" width="2.7109375" style="206"/>
    <col min="3852" max="3852" width="4.7109375" style="206" customWidth="1"/>
    <col min="3853" max="3853" width="2.7109375" style="206"/>
    <col min="3854" max="3854" width="3.5703125" style="206" customWidth="1"/>
    <col min="3855" max="3856" width="2.7109375" style="206"/>
    <col min="3857" max="3857" width="4.7109375" style="206" customWidth="1"/>
    <col min="3858" max="3862" width="2.7109375" style="206"/>
    <col min="3863" max="3864" width="3.42578125" style="206" customWidth="1"/>
    <col min="3865" max="3865" width="4.85546875" style="206" customWidth="1"/>
    <col min="3866" max="3866" width="2.7109375" style="206"/>
    <col min="3867" max="3867" width="4.5703125" style="206" customWidth="1"/>
    <col min="3868" max="3869" width="2.7109375" style="206"/>
    <col min="3870" max="3870" width="3.140625" style="206" customWidth="1"/>
    <col min="3871" max="3871" width="6" style="206" customWidth="1"/>
    <col min="3872" max="3872" width="3.42578125" style="206" customWidth="1"/>
    <col min="3873" max="3873" width="8.140625" style="206" customWidth="1"/>
    <col min="3874" max="3874" width="5.5703125" style="206" customWidth="1"/>
    <col min="3875" max="3875" width="21.140625" style="206" customWidth="1"/>
    <col min="3876" max="3876" width="11.42578125" style="206" customWidth="1"/>
    <col min="3877" max="3877" width="8" style="206" customWidth="1"/>
    <col min="3878" max="3879" width="10.140625" style="206" customWidth="1"/>
    <col min="3880" max="4098" width="2.7109375" style="206"/>
    <col min="4099" max="4099" width="4.42578125" style="206" customWidth="1"/>
    <col min="4100" max="4105" width="2.7109375" style="206"/>
    <col min="4106" max="4106" width="4.140625" style="206" customWidth="1"/>
    <col min="4107" max="4107" width="2.7109375" style="206"/>
    <col min="4108" max="4108" width="4.7109375" style="206" customWidth="1"/>
    <col min="4109" max="4109" width="2.7109375" style="206"/>
    <col min="4110" max="4110" width="3.5703125" style="206" customWidth="1"/>
    <col min="4111" max="4112" width="2.7109375" style="206"/>
    <col min="4113" max="4113" width="4.7109375" style="206" customWidth="1"/>
    <col min="4114" max="4118" width="2.7109375" style="206"/>
    <col min="4119" max="4120" width="3.42578125" style="206" customWidth="1"/>
    <col min="4121" max="4121" width="4.85546875" style="206" customWidth="1"/>
    <col min="4122" max="4122" width="2.7109375" style="206"/>
    <col min="4123" max="4123" width="4.5703125" style="206" customWidth="1"/>
    <col min="4124" max="4125" width="2.7109375" style="206"/>
    <col min="4126" max="4126" width="3.140625" style="206" customWidth="1"/>
    <col min="4127" max="4127" width="6" style="206" customWidth="1"/>
    <col min="4128" max="4128" width="3.42578125" style="206" customWidth="1"/>
    <col min="4129" max="4129" width="8.140625" style="206" customWidth="1"/>
    <col min="4130" max="4130" width="5.5703125" style="206" customWidth="1"/>
    <col min="4131" max="4131" width="21.140625" style="206" customWidth="1"/>
    <col min="4132" max="4132" width="11.42578125" style="206" customWidth="1"/>
    <col min="4133" max="4133" width="8" style="206" customWidth="1"/>
    <col min="4134" max="4135" width="10.140625" style="206" customWidth="1"/>
    <col min="4136" max="4354" width="2.7109375" style="206"/>
    <col min="4355" max="4355" width="4.42578125" style="206" customWidth="1"/>
    <col min="4356" max="4361" width="2.7109375" style="206"/>
    <col min="4362" max="4362" width="4.140625" style="206" customWidth="1"/>
    <col min="4363" max="4363" width="2.7109375" style="206"/>
    <col min="4364" max="4364" width="4.7109375" style="206" customWidth="1"/>
    <col min="4365" max="4365" width="2.7109375" style="206"/>
    <col min="4366" max="4366" width="3.5703125" style="206" customWidth="1"/>
    <col min="4367" max="4368" width="2.7109375" style="206"/>
    <col min="4369" max="4369" width="4.7109375" style="206" customWidth="1"/>
    <col min="4370" max="4374" width="2.7109375" style="206"/>
    <col min="4375" max="4376" width="3.42578125" style="206" customWidth="1"/>
    <col min="4377" max="4377" width="4.85546875" style="206" customWidth="1"/>
    <col min="4378" max="4378" width="2.7109375" style="206"/>
    <col min="4379" max="4379" width="4.5703125" style="206" customWidth="1"/>
    <col min="4380" max="4381" width="2.7109375" style="206"/>
    <col min="4382" max="4382" width="3.140625" style="206" customWidth="1"/>
    <col min="4383" max="4383" width="6" style="206" customWidth="1"/>
    <col min="4384" max="4384" width="3.42578125" style="206" customWidth="1"/>
    <col min="4385" max="4385" width="8.140625" style="206" customWidth="1"/>
    <col min="4386" max="4386" width="5.5703125" style="206" customWidth="1"/>
    <col min="4387" max="4387" width="21.140625" style="206" customWidth="1"/>
    <col min="4388" max="4388" width="11.42578125" style="206" customWidth="1"/>
    <col min="4389" max="4389" width="8" style="206" customWidth="1"/>
    <col min="4390" max="4391" width="10.140625" style="206" customWidth="1"/>
    <col min="4392" max="4610" width="2.7109375" style="206"/>
    <col min="4611" max="4611" width="4.42578125" style="206" customWidth="1"/>
    <col min="4612" max="4617" width="2.7109375" style="206"/>
    <col min="4618" max="4618" width="4.140625" style="206" customWidth="1"/>
    <col min="4619" max="4619" width="2.7109375" style="206"/>
    <col min="4620" max="4620" width="4.7109375" style="206" customWidth="1"/>
    <col min="4621" max="4621" width="2.7109375" style="206"/>
    <col min="4622" max="4622" width="3.5703125" style="206" customWidth="1"/>
    <col min="4623" max="4624" width="2.7109375" style="206"/>
    <col min="4625" max="4625" width="4.7109375" style="206" customWidth="1"/>
    <col min="4626" max="4630" width="2.7109375" style="206"/>
    <col min="4631" max="4632" width="3.42578125" style="206" customWidth="1"/>
    <col min="4633" max="4633" width="4.85546875" style="206" customWidth="1"/>
    <col min="4634" max="4634" width="2.7109375" style="206"/>
    <col min="4635" max="4635" width="4.5703125" style="206" customWidth="1"/>
    <col min="4636" max="4637" width="2.7109375" style="206"/>
    <col min="4638" max="4638" width="3.140625" style="206" customWidth="1"/>
    <col min="4639" max="4639" width="6" style="206" customWidth="1"/>
    <col min="4640" max="4640" width="3.42578125" style="206" customWidth="1"/>
    <col min="4641" max="4641" width="8.140625" style="206" customWidth="1"/>
    <col min="4642" max="4642" width="5.5703125" style="206" customWidth="1"/>
    <col min="4643" max="4643" width="21.140625" style="206" customWidth="1"/>
    <col min="4644" max="4644" width="11.42578125" style="206" customWidth="1"/>
    <col min="4645" max="4645" width="8" style="206" customWidth="1"/>
    <col min="4646" max="4647" width="10.140625" style="206" customWidth="1"/>
    <col min="4648" max="4866" width="2.7109375" style="206"/>
    <col min="4867" max="4867" width="4.42578125" style="206" customWidth="1"/>
    <col min="4868" max="4873" width="2.7109375" style="206"/>
    <col min="4874" max="4874" width="4.140625" style="206" customWidth="1"/>
    <col min="4875" max="4875" width="2.7109375" style="206"/>
    <col min="4876" max="4876" width="4.7109375" style="206" customWidth="1"/>
    <col min="4877" max="4877" width="2.7109375" style="206"/>
    <col min="4878" max="4878" width="3.5703125" style="206" customWidth="1"/>
    <col min="4879" max="4880" width="2.7109375" style="206"/>
    <col min="4881" max="4881" width="4.7109375" style="206" customWidth="1"/>
    <col min="4882" max="4886" width="2.7109375" style="206"/>
    <col min="4887" max="4888" width="3.42578125" style="206" customWidth="1"/>
    <col min="4889" max="4889" width="4.85546875" style="206" customWidth="1"/>
    <col min="4890" max="4890" width="2.7109375" style="206"/>
    <col min="4891" max="4891" width="4.5703125" style="206" customWidth="1"/>
    <col min="4892" max="4893" width="2.7109375" style="206"/>
    <col min="4894" max="4894" width="3.140625" style="206" customWidth="1"/>
    <col min="4895" max="4895" width="6" style="206" customWidth="1"/>
    <col min="4896" max="4896" width="3.42578125" style="206" customWidth="1"/>
    <col min="4897" max="4897" width="8.140625" style="206" customWidth="1"/>
    <col min="4898" max="4898" width="5.5703125" style="206" customWidth="1"/>
    <col min="4899" max="4899" width="21.140625" style="206" customWidth="1"/>
    <col min="4900" max="4900" width="11.42578125" style="206" customWidth="1"/>
    <col min="4901" max="4901" width="8" style="206" customWidth="1"/>
    <col min="4902" max="4903" width="10.140625" style="206" customWidth="1"/>
    <col min="4904" max="5122" width="2.7109375" style="206"/>
    <col min="5123" max="5123" width="4.42578125" style="206" customWidth="1"/>
    <col min="5124" max="5129" width="2.7109375" style="206"/>
    <col min="5130" max="5130" width="4.140625" style="206" customWidth="1"/>
    <col min="5131" max="5131" width="2.7109375" style="206"/>
    <col min="5132" max="5132" width="4.7109375" style="206" customWidth="1"/>
    <col min="5133" max="5133" width="2.7109375" style="206"/>
    <col min="5134" max="5134" width="3.5703125" style="206" customWidth="1"/>
    <col min="5135" max="5136" width="2.7109375" style="206"/>
    <col min="5137" max="5137" width="4.7109375" style="206" customWidth="1"/>
    <col min="5138" max="5142" width="2.7109375" style="206"/>
    <col min="5143" max="5144" width="3.42578125" style="206" customWidth="1"/>
    <col min="5145" max="5145" width="4.85546875" style="206" customWidth="1"/>
    <col min="5146" max="5146" width="2.7109375" style="206"/>
    <col min="5147" max="5147" width="4.5703125" style="206" customWidth="1"/>
    <col min="5148" max="5149" width="2.7109375" style="206"/>
    <col min="5150" max="5150" width="3.140625" style="206" customWidth="1"/>
    <col min="5151" max="5151" width="6" style="206" customWidth="1"/>
    <col min="5152" max="5152" width="3.42578125" style="206" customWidth="1"/>
    <col min="5153" max="5153" width="8.140625" style="206" customWidth="1"/>
    <col min="5154" max="5154" width="5.5703125" style="206" customWidth="1"/>
    <col min="5155" max="5155" width="21.140625" style="206" customWidth="1"/>
    <col min="5156" max="5156" width="11.42578125" style="206" customWidth="1"/>
    <col min="5157" max="5157" width="8" style="206" customWidth="1"/>
    <col min="5158" max="5159" width="10.140625" style="206" customWidth="1"/>
    <col min="5160" max="5378" width="2.7109375" style="206"/>
    <col min="5379" max="5379" width="4.42578125" style="206" customWidth="1"/>
    <col min="5380" max="5385" width="2.7109375" style="206"/>
    <col min="5386" max="5386" width="4.140625" style="206" customWidth="1"/>
    <col min="5387" max="5387" width="2.7109375" style="206"/>
    <col min="5388" max="5388" width="4.7109375" style="206" customWidth="1"/>
    <col min="5389" max="5389" width="2.7109375" style="206"/>
    <col min="5390" max="5390" width="3.5703125" style="206" customWidth="1"/>
    <col min="5391" max="5392" width="2.7109375" style="206"/>
    <col min="5393" max="5393" width="4.7109375" style="206" customWidth="1"/>
    <col min="5394" max="5398" width="2.7109375" style="206"/>
    <col min="5399" max="5400" width="3.42578125" style="206" customWidth="1"/>
    <col min="5401" max="5401" width="4.85546875" style="206" customWidth="1"/>
    <col min="5402" max="5402" width="2.7109375" style="206"/>
    <col min="5403" max="5403" width="4.5703125" style="206" customWidth="1"/>
    <col min="5404" max="5405" width="2.7109375" style="206"/>
    <col min="5406" max="5406" width="3.140625" style="206" customWidth="1"/>
    <col min="5407" max="5407" width="6" style="206" customWidth="1"/>
    <col min="5408" max="5408" width="3.42578125" style="206" customWidth="1"/>
    <col min="5409" max="5409" width="8.140625" style="206" customWidth="1"/>
    <col min="5410" max="5410" width="5.5703125" style="206" customWidth="1"/>
    <col min="5411" max="5411" width="21.140625" style="206" customWidth="1"/>
    <col min="5412" max="5412" width="11.42578125" style="206" customWidth="1"/>
    <col min="5413" max="5413" width="8" style="206" customWidth="1"/>
    <col min="5414" max="5415" width="10.140625" style="206" customWidth="1"/>
    <col min="5416" max="5634" width="2.7109375" style="206"/>
    <col min="5635" max="5635" width="4.42578125" style="206" customWidth="1"/>
    <col min="5636" max="5641" width="2.7109375" style="206"/>
    <col min="5642" max="5642" width="4.140625" style="206" customWidth="1"/>
    <col min="5643" max="5643" width="2.7109375" style="206"/>
    <col min="5644" max="5644" width="4.7109375" style="206" customWidth="1"/>
    <col min="5645" max="5645" width="2.7109375" style="206"/>
    <col min="5646" max="5646" width="3.5703125" style="206" customWidth="1"/>
    <col min="5647" max="5648" width="2.7109375" style="206"/>
    <col min="5649" max="5649" width="4.7109375" style="206" customWidth="1"/>
    <col min="5650" max="5654" width="2.7109375" style="206"/>
    <col min="5655" max="5656" width="3.42578125" style="206" customWidth="1"/>
    <col min="5657" max="5657" width="4.85546875" style="206" customWidth="1"/>
    <col min="5658" max="5658" width="2.7109375" style="206"/>
    <col min="5659" max="5659" width="4.5703125" style="206" customWidth="1"/>
    <col min="5660" max="5661" width="2.7109375" style="206"/>
    <col min="5662" max="5662" width="3.140625" style="206" customWidth="1"/>
    <col min="5663" max="5663" width="6" style="206" customWidth="1"/>
    <col min="5664" max="5664" width="3.42578125" style="206" customWidth="1"/>
    <col min="5665" max="5665" width="8.140625" style="206" customWidth="1"/>
    <col min="5666" max="5666" width="5.5703125" style="206" customWidth="1"/>
    <col min="5667" max="5667" width="21.140625" style="206" customWidth="1"/>
    <col min="5668" max="5668" width="11.42578125" style="206" customWidth="1"/>
    <col min="5669" max="5669" width="8" style="206" customWidth="1"/>
    <col min="5670" max="5671" width="10.140625" style="206" customWidth="1"/>
    <col min="5672" max="5890" width="2.7109375" style="206"/>
    <col min="5891" max="5891" width="4.42578125" style="206" customWidth="1"/>
    <col min="5892" max="5897" width="2.7109375" style="206"/>
    <col min="5898" max="5898" width="4.140625" style="206" customWidth="1"/>
    <col min="5899" max="5899" width="2.7109375" style="206"/>
    <col min="5900" max="5900" width="4.7109375" style="206" customWidth="1"/>
    <col min="5901" max="5901" width="2.7109375" style="206"/>
    <col min="5902" max="5902" width="3.5703125" style="206" customWidth="1"/>
    <col min="5903" max="5904" width="2.7109375" style="206"/>
    <col min="5905" max="5905" width="4.7109375" style="206" customWidth="1"/>
    <col min="5906" max="5910" width="2.7109375" style="206"/>
    <col min="5911" max="5912" width="3.42578125" style="206" customWidth="1"/>
    <col min="5913" max="5913" width="4.85546875" style="206" customWidth="1"/>
    <col min="5914" max="5914" width="2.7109375" style="206"/>
    <col min="5915" max="5915" width="4.5703125" style="206" customWidth="1"/>
    <col min="5916" max="5917" width="2.7109375" style="206"/>
    <col min="5918" max="5918" width="3.140625" style="206" customWidth="1"/>
    <col min="5919" max="5919" width="6" style="206" customWidth="1"/>
    <col min="5920" max="5920" width="3.42578125" style="206" customWidth="1"/>
    <col min="5921" max="5921" width="8.140625" style="206" customWidth="1"/>
    <col min="5922" max="5922" width="5.5703125" style="206" customWidth="1"/>
    <col min="5923" max="5923" width="21.140625" style="206" customWidth="1"/>
    <col min="5924" max="5924" width="11.42578125" style="206" customWidth="1"/>
    <col min="5925" max="5925" width="8" style="206" customWidth="1"/>
    <col min="5926" max="5927" width="10.140625" style="206" customWidth="1"/>
    <col min="5928" max="6146" width="2.7109375" style="206"/>
    <col min="6147" max="6147" width="4.42578125" style="206" customWidth="1"/>
    <col min="6148" max="6153" width="2.7109375" style="206"/>
    <col min="6154" max="6154" width="4.140625" style="206" customWidth="1"/>
    <col min="6155" max="6155" width="2.7109375" style="206"/>
    <col min="6156" max="6156" width="4.7109375" style="206" customWidth="1"/>
    <col min="6157" max="6157" width="2.7109375" style="206"/>
    <col min="6158" max="6158" width="3.5703125" style="206" customWidth="1"/>
    <col min="6159" max="6160" width="2.7109375" style="206"/>
    <col min="6161" max="6161" width="4.7109375" style="206" customWidth="1"/>
    <col min="6162" max="6166" width="2.7109375" style="206"/>
    <col min="6167" max="6168" width="3.42578125" style="206" customWidth="1"/>
    <col min="6169" max="6169" width="4.85546875" style="206" customWidth="1"/>
    <col min="6170" max="6170" width="2.7109375" style="206"/>
    <col min="6171" max="6171" width="4.5703125" style="206" customWidth="1"/>
    <col min="6172" max="6173" width="2.7109375" style="206"/>
    <col min="6174" max="6174" width="3.140625" style="206" customWidth="1"/>
    <col min="6175" max="6175" width="6" style="206" customWidth="1"/>
    <col min="6176" max="6176" width="3.42578125" style="206" customWidth="1"/>
    <col min="6177" max="6177" width="8.140625" style="206" customWidth="1"/>
    <col min="6178" max="6178" width="5.5703125" style="206" customWidth="1"/>
    <col min="6179" max="6179" width="21.140625" style="206" customWidth="1"/>
    <col min="6180" max="6180" width="11.42578125" style="206" customWidth="1"/>
    <col min="6181" max="6181" width="8" style="206" customWidth="1"/>
    <col min="6182" max="6183" width="10.140625" style="206" customWidth="1"/>
    <col min="6184" max="6402" width="2.7109375" style="206"/>
    <col min="6403" max="6403" width="4.42578125" style="206" customWidth="1"/>
    <col min="6404" max="6409" width="2.7109375" style="206"/>
    <col min="6410" max="6410" width="4.140625" style="206" customWidth="1"/>
    <col min="6411" max="6411" width="2.7109375" style="206"/>
    <col min="6412" max="6412" width="4.7109375" style="206" customWidth="1"/>
    <col min="6413" max="6413" width="2.7109375" style="206"/>
    <col min="6414" max="6414" width="3.5703125" style="206" customWidth="1"/>
    <col min="6415" max="6416" width="2.7109375" style="206"/>
    <col min="6417" max="6417" width="4.7109375" style="206" customWidth="1"/>
    <col min="6418" max="6422" width="2.7109375" style="206"/>
    <col min="6423" max="6424" width="3.42578125" style="206" customWidth="1"/>
    <col min="6425" max="6425" width="4.85546875" style="206" customWidth="1"/>
    <col min="6426" max="6426" width="2.7109375" style="206"/>
    <col min="6427" max="6427" width="4.5703125" style="206" customWidth="1"/>
    <col min="6428" max="6429" width="2.7109375" style="206"/>
    <col min="6430" max="6430" width="3.140625" style="206" customWidth="1"/>
    <col min="6431" max="6431" width="6" style="206" customWidth="1"/>
    <col min="6432" max="6432" width="3.42578125" style="206" customWidth="1"/>
    <col min="6433" max="6433" width="8.140625" style="206" customWidth="1"/>
    <col min="6434" max="6434" width="5.5703125" style="206" customWidth="1"/>
    <col min="6435" max="6435" width="21.140625" style="206" customWidth="1"/>
    <col min="6436" max="6436" width="11.42578125" style="206" customWidth="1"/>
    <col min="6437" max="6437" width="8" style="206" customWidth="1"/>
    <col min="6438" max="6439" width="10.140625" style="206" customWidth="1"/>
    <col min="6440" max="6658" width="2.7109375" style="206"/>
    <col min="6659" max="6659" width="4.42578125" style="206" customWidth="1"/>
    <col min="6660" max="6665" width="2.7109375" style="206"/>
    <col min="6666" max="6666" width="4.140625" style="206" customWidth="1"/>
    <col min="6667" max="6667" width="2.7109375" style="206"/>
    <col min="6668" max="6668" width="4.7109375" style="206" customWidth="1"/>
    <col min="6669" max="6669" width="2.7109375" style="206"/>
    <col min="6670" max="6670" width="3.5703125" style="206" customWidth="1"/>
    <col min="6671" max="6672" width="2.7109375" style="206"/>
    <col min="6673" max="6673" width="4.7109375" style="206" customWidth="1"/>
    <col min="6674" max="6678" width="2.7109375" style="206"/>
    <col min="6679" max="6680" width="3.42578125" style="206" customWidth="1"/>
    <col min="6681" max="6681" width="4.85546875" style="206" customWidth="1"/>
    <col min="6682" max="6682" width="2.7109375" style="206"/>
    <col min="6683" max="6683" width="4.5703125" style="206" customWidth="1"/>
    <col min="6684" max="6685" width="2.7109375" style="206"/>
    <col min="6686" max="6686" width="3.140625" style="206" customWidth="1"/>
    <col min="6687" max="6687" width="6" style="206" customWidth="1"/>
    <col min="6688" max="6688" width="3.42578125" style="206" customWidth="1"/>
    <col min="6689" max="6689" width="8.140625" style="206" customWidth="1"/>
    <col min="6690" max="6690" width="5.5703125" style="206" customWidth="1"/>
    <col min="6691" max="6691" width="21.140625" style="206" customWidth="1"/>
    <col min="6692" max="6692" width="11.42578125" style="206" customWidth="1"/>
    <col min="6693" max="6693" width="8" style="206" customWidth="1"/>
    <col min="6694" max="6695" width="10.140625" style="206" customWidth="1"/>
    <col min="6696" max="6914" width="2.7109375" style="206"/>
    <col min="6915" max="6915" width="4.42578125" style="206" customWidth="1"/>
    <col min="6916" max="6921" width="2.7109375" style="206"/>
    <col min="6922" max="6922" width="4.140625" style="206" customWidth="1"/>
    <col min="6923" max="6923" width="2.7109375" style="206"/>
    <col min="6924" max="6924" width="4.7109375" style="206" customWidth="1"/>
    <col min="6925" max="6925" width="2.7109375" style="206"/>
    <col min="6926" max="6926" width="3.5703125" style="206" customWidth="1"/>
    <col min="6927" max="6928" width="2.7109375" style="206"/>
    <col min="6929" max="6929" width="4.7109375" style="206" customWidth="1"/>
    <col min="6930" max="6934" width="2.7109375" style="206"/>
    <col min="6935" max="6936" width="3.42578125" style="206" customWidth="1"/>
    <col min="6937" max="6937" width="4.85546875" style="206" customWidth="1"/>
    <col min="6938" max="6938" width="2.7109375" style="206"/>
    <col min="6939" max="6939" width="4.5703125" style="206" customWidth="1"/>
    <col min="6940" max="6941" width="2.7109375" style="206"/>
    <col min="6942" max="6942" width="3.140625" style="206" customWidth="1"/>
    <col min="6943" max="6943" width="6" style="206" customWidth="1"/>
    <col min="6944" max="6944" width="3.42578125" style="206" customWidth="1"/>
    <col min="6945" max="6945" width="8.140625" style="206" customWidth="1"/>
    <col min="6946" max="6946" width="5.5703125" style="206" customWidth="1"/>
    <col min="6947" max="6947" width="21.140625" style="206" customWidth="1"/>
    <col min="6948" max="6948" width="11.42578125" style="206" customWidth="1"/>
    <col min="6949" max="6949" width="8" style="206" customWidth="1"/>
    <col min="6950" max="6951" width="10.140625" style="206" customWidth="1"/>
    <col min="6952" max="7170" width="2.7109375" style="206"/>
    <col min="7171" max="7171" width="4.42578125" style="206" customWidth="1"/>
    <col min="7172" max="7177" width="2.7109375" style="206"/>
    <col min="7178" max="7178" width="4.140625" style="206" customWidth="1"/>
    <col min="7179" max="7179" width="2.7109375" style="206"/>
    <col min="7180" max="7180" width="4.7109375" style="206" customWidth="1"/>
    <col min="7181" max="7181" width="2.7109375" style="206"/>
    <col min="7182" max="7182" width="3.5703125" style="206" customWidth="1"/>
    <col min="7183" max="7184" width="2.7109375" style="206"/>
    <col min="7185" max="7185" width="4.7109375" style="206" customWidth="1"/>
    <col min="7186" max="7190" width="2.7109375" style="206"/>
    <col min="7191" max="7192" width="3.42578125" style="206" customWidth="1"/>
    <col min="7193" max="7193" width="4.85546875" style="206" customWidth="1"/>
    <col min="7194" max="7194" width="2.7109375" style="206"/>
    <col min="7195" max="7195" width="4.5703125" style="206" customWidth="1"/>
    <col min="7196" max="7197" width="2.7109375" style="206"/>
    <col min="7198" max="7198" width="3.140625" style="206" customWidth="1"/>
    <col min="7199" max="7199" width="6" style="206" customWidth="1"/>
    <col min="7200" max="7200" width="3.42578125" style="206" customWidth="1"/>
    <col min="7201" max="7201" width="8.140625" style="206" customWidth="1"/>
    <col min="7202" max="7202" width="5.5703125" style="206" customWidth="1"/>
    <col min="7203" max="7203" width="21.140625" style="206" customWidth="1"/>
    <col min="7204" max="7204" width="11.42578125" style="206" customWidth="1"/>
    <col min="7205" max="7205" width="8" style="206" customWidth="1"/>
    <col min="7206" max="7207" width="10.140625" style="206" customWidth="1"/>
    <col min="7208" max="7426" width="2.7109375" style="206"/>
    <col min="7427" max="7427" width="4.42578125" style="206" customWidth="1"/>
    <col min="7428" max="7433" width="2.7109375" style="206"/>
    <col min="7434" max="7434" width="4.140625" style="206" customWidth="1"/>
    <col min="7435" max="7435" width="2.7109375" style="206"/>
    <col min="7436" max="7436" width="4.7109375" style="206" customWidth="1"/>
    <col min="7437" max="7437" width="2.7109375" style="206"/>
    <col min="7438" max="7438" width="3.5703125" style="206" customWidth="1"/>
    <col min="7439" max="7440" width="2.7109375" style="206"/>
    <col min="7441" max="7441" width="4.7109375" style="206" customWidth="1"/>
    <col min="7442" max="7446" width="2.7109375" style="206"/>
    <col min="7447" max="7448" width="3.42578125" style="206" customWidth="1"/>
    <col min="7449" max="7449" width="4.85546875" style="206" customWidth="1"/>
    <col min="7450" max="7450" width="2.7109375" style="206"/>
    <col min="7451" max="7451" width="4.5703125" style="206" customWidth="1"/>
    <col min="7452" max="7453" width="2.7109375" style="206"/>
    <col min="7454" max="7454" width="3.140625" style="206" customWidth="1"/>
    <col min="7455" max="7455" width="6" style="206" customWidth="1"/>
    <col min="7456" max="7456" width="3.42578125" style="206" customWidth="1"/>
    <col min="7457" max="7457" width="8.140625" style="206" customWidth="1"/>
    <col min="7458" max="7458" width="5.5703125" style="206" customWidth="1"/>
    <col min="7459" max="7459" width="21.140625" style="206" customWidth="1"/>
    <col min="7460" max="7460" width="11.42578125" style="206" customWidth="1"/>
    <col min="7461" max="7461" width="8" style="206" customWidth="1"/>
    <col min="7462" max="7463" width="10.140625" style="206" customWidth="1"/>
    <col min="7464" max="7682" width="2.7109375" style="206"/>
    <col min="7683" max="7683" width="4.42578125" style="206" customWidth="1"/>
    <col min="7684" max="7689" width="2.7109375" style="206"/>
    <col min="7690" max="7690" width="4.140625" style="206" customWidth="1"/>
    <col min="7691" max="7691" width="2.7109375" style="206"/>
    <col min="7692" max="7692" width="4.7109375" style="206" customWidth="1"/>
    <col min="7693" max="7693" width="2.7109375" style="206"/>
    <col min="7694" max="7694" width="3.5703125" style="206" customWidth="1"/>
    <col min="7695" max="7696" width="2.7109375" style="206"/>
    <col min="7697" max="7697" width="4.7109375" style="206" customWidth="1"/>
    <col min="7698" max="7702" width="2.7109375" style="206"/>
    <col min="7703" max="7704" width="3.42578125" style="206" customWidth="1"/>
    <col min="7705" max="7705" width="4.85546875" style="206" customWidth="1"/>
    <col min="7706" max="7706" width="2.7109375" style="206"/>
    <col min="7707" max="7707" width="4.5703125" style="206" customWidth="1"/>
    <col min="7708" max="7709" width="2.7109375" style="206"/>
    <col min="7710" max="7710" width="3.140625" style="206" customWidth="1"/>
    <col min="7711" max="7711" width="6" style="206" customWidth="1"/>
    <col min="7712" max="7712" width="3.42578125" style="206" customWidth="1"/>
    <col min="7713" max="7713" width="8.140625" style="206" customWidth="1"/>
    <col min="7714" max="7714" width="5.5703125" style="206" customWidth="1"/>
    <col min="7715" max="7715" width="21.140625" style="206" customWidth="1"/>
    <col min="7716" max="7716" width="11.42578125" style="206" customWidth="1"/>
    <col min="7717" max="7717" width="8" style="206" customWidth="1"/>
    <col min="7718" max="7719" width="10.140625" style="206" customWidth="1"/>
    <col min="7720" max="7938" width="2.7109375" style="206"/>
    <col min="7939" max="7939" width="4.42578125" style="206" customWidth="1"/>
    <col min="7940" max="7945" width="2.7109375" style="206"/>
    <col min="7946" max="7946" width="4.140625" style="206" customWidth="1"/>
    <col min="7947" max="7947" width="2.7109375" style="206"/>
    <col min="7948" max="7948" width="4.7109375" style="206" customWidth="1"/>
    <col min="7949" max="7949" width="2.7109375" style="206"/>
    <col min="7950" max="7950" width="3.5703125" style="206" customWidth="1"/>
    <col min="7951" max="7952" width="2.7109375" style="206"/>
    <col min="7953" max="7953" width="4.7109375" style="206" customWidth="1"/>
    <col min="7954" max="7958" width="2.7109375" style="206"/>
    <col min="7959" max="7960" width="3.42578125" style="206" customWidth="1"/>
    <col min="7961" max="7961" width="4.85546875" style="206" customWidth="1"/>
    <col min="7962" max="7962" width="2.7109375" style="206"/>
    <col min="7963" max="7963" width="4.5703125" style="206" customWidth="1"/>
    <col min="7964" max="7965" width="2.7109375" style="206"/>
    <col min="7966" max="7966" width="3.140625" style="206" customWidth="1"/>
    <col min="7967" max="7967" width="6" style="206" customWidth="1"/>
    <col min="7968" max="7968" width="3.42578125" style="206" customWidth="1"/>
    <col min="7969" max="7969" width="8.140625" style="206" customWidth="1"/>
    <col min="7970" max="7970" width="5.5703125" style="206" customWidth="1"/>
    <col min="7971" max="7971" width="21.140625" style="206" customWidth="1"/>
    <col min="7972" max="7972" width="11.42578125" style="206" customWidth="1"/>
    <col min="7973" max="7973" width="8" style="206" customWidth="1"/>
    <col min="7974" max="7975" width="10.140625" style="206" customWidth="1"/>
    <col min="7976" max="8194" width="2.7109375" style="206"/>
    <col min="8195" max="8195" width="4.42578125" style="206" customWidth="1"/>
    <col min="8196" max="8201" width="2.7109375" style="206"/>
    <col min="8202" max="8202" width="4.140625" style="206" customWidth="1"/>
    <col min="8203" max="8203" width="2.7109375" style="206"/>
    <col min="8204" max="8204" width="4.7109375" style="206" customWidth="1"/>
    <col min="8205" max="8205" width="2.7109375" style="206"/>
    <col min="8206" max="8206" width="3.5703125" style="206" customWidth="1"/>
    <col min="8207" max="8208" width="2.7109375" style="206"/>
    <col min="8209" max="8209" width="4.7109375" style="206" customWidth="1"/>
    <col min="8210" max="8214" width="2.7109375" style="206"/>
    <col min="8215" max="8216" width="3.42578125" style="206" customWidth="1"/>
    <col min="8217" max="8217" width="4.85546875" style="206" customWidth="1"/>
    <col min="8218" max="8218" width="2.7109375" style="206"/>
    <col min="8219" max="8219" width="4.5703125" style="206" customWidth="1"/>
    <col min="8220" max="8221" width="2.7109375" style="206"/>
    <col min="8222" max="8222" width="3.140625" style="206" customWidth="1"/>
    <col min="8223" max="8223" width="6" style="206" customWidth="1"/>
    <col min="8224" max="8224" width="3.42578125" style="206" customWidth="1"/>
    <col min="8225" max="8225" width="8.140625" style="206" customWidth="1"/>
    <col min="8226" max="8226" width="5.5703125" style="206" customWidth="1"/>
    <col min="8227" max="8227" width="21.140625" style="206" customWidth="1"/>
    <col min="8228" max="8228" width="11.42578125" style="206" customWidth="1"/>
    <col min="8229" max="8229" width="8" style="206" customWidth="1"/>
    <col min="8230" max="8231" width="10.140625" style="206" customWidth="1"/>
    <col min="8232" max="8450" width="2.7109375" style="206"/>
    <col min="8451" max="8451" width="4.42578125" style="206" customWidth="1"/>
    <col min="8452" max="8457" width="2.7109375" style="206"/>
    <col min="8458" max="8458" width="4.140625" style="206" customWidth="1"/>
    <col min="8459" max="8459" width="2.7109375" style="206"/>
    <col min="8460" max="8460" width="4.7109375" style="206" customWidth="1"/>
    <col min="8461" max="8461" width="2.7109375" style="206"/>
    <col min="8462" max="8462" width="3.5703125" style="206" customWidth="1"/>
    <col min="8463" max="8464" width="2.7109375" style="206"/>
    <col min="8465" max="8465" width="4.7109375" style="206" customWidth="1"/>
    <col min="8466" max="8470" width="2.7109375" style="206"/>
    <col min="8471" max="8472" width="3.42578125" style="206" customWidth="1"/>
    <col min="8473" max="8473" width="4.85546875" style="206" customWidth="1"/>
    <col min="8474" max="8474" width="2.7109375" style="206"/>
    <col min="8475" max="8475" width="4.5703125" style="206" customWidth="1"/>
    <col min="8476" max="8477" width="2.7109375" style="206"/>
    <col min="8478" max="8478" width="3.140625" style="206" customWidth="1"/>
    <col min="8479" max="8479" width="6" style="206" customWidth="1"/>
    <col min="8480" max="8480" width="3.42578125" style="206" customWidth="1"/>
    <col min="8481" max="8481" width="8.140625" style="206" customWidth="1"/>
    <col min="8482" max="8482" width="5.5703125" style="206" customWidth="1"/>
    <col min="8483" max="8483" width="21.140625" style="206" customWidth="1"/>
    <col min="8484" max="8484" width="11.42578125" style="206" customWidth="1"/>
    <col min="8485" max="8485" width="8" style="206" customWidth="1"/>
    <col min="8486" max="8487" width="10.140625" style="206" customWidth="1"/>
    <col min="8488" max="8706" width="2.7109375" style="206"/>
    <col min="8707" max="8707" width="4.42578125" style="206" customWidth="1"/>
    <col min="8708" max="8713" width="2.7109375" style="206"/>
    <col min="8714" max="8714" width="4.140625" style="206" customWidth="1"/>
    <col min="8715" max="8715" width="2.7109375" style="206"/>
    <col min="8716" max="8716" width="4.7109375" style="206" customWidth="1"/>
    <col min="8717" max="8717" width="2.7109375" style="206"/>
    <col min="8718" max="8718" width="3.5703125" style="206" customWidth="1"/>
    <col min="8719" max="8720" width="2.7109375" style="206"/>
    <col min="8721" max="8721" width="4.7109375" style="206" customWidth="1"/>
    <col min="8722" max="8726" width="2.7109375" style="206"/>
    <col min="8727" max="8728" width="3.42578125" style="206" customWidth="1"/>
    <col min="8729" max="8729" width="4.85546875" style="206" customWidth="1"/>
    <col min="8730" max="8730" width="2.7109375" style="206"/>
    <col min="8731" max="8731" width="4.5703125" style="206" customWidth="1"/>
    <col min="8732" max="8733" width="2.7109375" style="206"/>
    <col min="8734" max="8734" width="3.140625" style="206" customWidth="1"/>
    <col min="8735" max="8735" width="6" style="206" customWidth="1"/>
    <col min="8736" max="8736" width="3.42578125" style="206" customWidth="1"/>
    <col min="8737" max="8737" width="8.140625" style="206" customWidth="1"/>
    <col min="8738" max="8738" width="5.5703125" style="206" customWidth="1"/>
    <col min="8739" max="8739" width="21.140625" style="206" customWidth="1"/>
    <col min="8740" max="8740" width="11.42578125" style="206" customWidth="1"/>
    <col min="8741" max="8741" width="8" style="206" customWidth="1"/>
    <col min="8742" max="8743" width="10.140625" style="206" customWidth="1"/>
    <col min="8744" max="8962" width="2.7109375" style="206"/>
    <col min="8963" max="8963" width="4.42578125" style="206" customWidth="1"/>
    <col min="8964" max="8969" width="2.7109375" style="206"/>
    <col min="8970" max="8970" width="4.140625" style="206" customWidth="1"/>
    <col min="8971" max="8971" width="2.7109375" style="206"/>
    <col min="8972" max="8972" width="4.7109375" style="206" customWidth="1"/>
    <col min="8973" max="8973" width="2.7109375" style="206"/>
    <col min="8974" max="8974" width="3.5703125" style="206" customWidth="1"/>
    <col min="8975" max="8976" width="2.7109375" style="206"/>
    <col min="8977" max="8977" width="4.7109375" style="206" customWidth="1"/>
    <col min="8978" max="8982" width="2.7109375" style="206"/>
    <col min="8983" max="8984" width="3.42578125" style="206" customWidth="1"/>
    <col min="8985" max="8985" width="4.85546875" style="206" customWidth="1"/>
    <col min="8986" max="8986" width="2.7109375" style="206"/>
    <col min="8987" max="8987" width="4.5703125" style="206" customWidth="1"/>
    <col min="8988" max="8989" width="2.7109375" style="206"/>
    <col min="8990" max="8990" width="3.140625" style="206" customWidth="1"/>
    <col min="8991" max="8991" width="6" style="206" customWidth="1"/>
    <col min="8992" max="8992" width="3.42578125" style="206" customWidth="1"/>
    <col min="8993" max="8993" width="8.140625" style="206" customWidth="1"/>
    <col min="8994" max="8994" width="5.5703125" style="206" customWidth="1"/>
    <col min="8995" max="8995" width="21.140625" style="206" customWidth="1"/>
    <col min="8996" max="8996" width="11.42578125" style="206" customWidth="1"/>
    <col min="8997" max="8997" width="8" style="206" customWidth="1"/>
    <col min="8998" max="8999" width="10.140625" style="206" customWidth="1"/>
    <col min="9000" max="9218" width="2.7109375" style="206"/>
    <col min="9219" max="9219" width="4.42578125" style="206" customWidth="1"/>
    <col min="9220" max="9225" width="2.7109375" style="206"/>
    <col min="9226" max="9226" width="4.140625" style="206" customWidth="1"/>
    <col min="9227" max="9227" width="2.7109375" style="206"/>
    <col min="9228" max="9228" width="4.7109375" style="206" customWidth="1"/>
    <col min="9229" max="9229" width="2.7109375" style="206"/>
    <col min="9230" max="9230" width="3.5703125" style="206" customWidth="1"/>
    <col min="9231" max="9232" width="2.7109375" style="206"/>
    <col min="9233" max="9233" width="4.7109375" style="206" customWidth="1"/>
    <col min="9234" max="9238" width="2.7109375" style="206"/>
    <col min="9239" max="9240" width="3.42578125" style="206" customWidth="1"/>
    <col min="9241" max="9241" width="4.85546875" style="206" customWidth="1"/>
    <col min="9242" max="9242" width="2.7109375" style="206"/>
    <col min="9243" max="9243" width="4.5703125" style="206" customWidth="1"/>
    <col min="9244" max="9245" width="2.7109375" style="206"/>
    <col min="9246" max="9246" width="3.140625" style="206" customWidth="1"/>
    <col min="9247" max="9247" width="6" style="206" customWidth="1"/>
    <col min="9248" max="9248" width="3.42578125" style="206" customWidth="1"/>
    <col min="9249" max="9249" width="8.140625" style="206" customWidth="1"/>
    <col min="9250" max="9250" width="5.5703125" style="206" customWidth="1"/>
    <col min="9251" max="9251" width="21.140625" style="206" customWidth="1"/>
    <col min="9252" max="9252" width="11.42578125" style="206" customWidth="1"/>
    <col min="9253" max="9253" width="8" style="206" customWidth="1"/>
    <col min="9254" max="9255" width="10.140625" style="206" customWidth="1"/>
    <col min="9256" max="9474" width="2.7109375" style="206"/>
    <col min="9475" max="9475" width="4.42578125" style="206" customWidth="1"/>
    <col min="9476" max="9481" width="2.7109375" style="206"/>
    <col min="9482" max="9482" width="4.140625" style="206" customWidth="1"/>
    <col min="9483" max="9483" width="2.7109375" style="206"/>
    <col min="9484" max="9484" width="4.7109375" style="206" customWidth="1"/>
    <col min="9485" max="9485" width="2.7109375" style="206"/>
    <col min="9486" max="9486" width="3.5703125" style="206" customWidth="1"/>
    <col min="9487" max="9488" width="2.7109375" style="206"/>
    <col min="9489" max="9489" width="4.7109375" style="206" customWidth="1"/>
    <col min="9490" max="9494" width="2.7109375" style="206"/>
    <col min="9495" max="9496" width="3.42578125" style="206" customWidth="1"/>
    <col min="9497" max="9497" width="4.85546875" style="206" customWidth="1"/>
    <col min="9498" max="9498" width="2.7109375" style="206"/>
    <col min="9499" max="9499" width="4.5703125" style="206" customWidth="1"/>
    <col min="9500" max="9501" width="2.7109375" style="206"/>
    <col min="9502" max="9502" width="3.140625" style="206" customWidth="1"/>
    <col min="9503" max="9503" width="6" style="206" customWidth="1"/>
    <col min="9504" max="9504" width="3.42578125" style="206" customWidth="1"/>
    <col min="9505" max="9505" width="8.140625" style="206" customWidth="1"/>
    <col min="9506" max="9506" width="5.5703125" style="206" customWidth="1"/>
    <col min="9507" max="9507" width="21.140625" style="206" customWidth="1"/>
    <col min="9508" max="9508" width="11.42578125" style="206" customWidth="1"/>
    <col min="9509" max="9509" width="8" style="206" customWidth="1"/>
    <col min="9510" max="9511" width="10.140625" style="206" customWidth="1"/>
    <col min="9512" max="9730" width="2.7109375" style="206"/>
    <col min="9731" max="9731" width="4.42578125" style="206" customWidth="1"/>
    <col min="9732" max="9737" width="2.7109375" style="206"/>
    <col min="9738" max="9738" width="4.140625" style="206" customWidth="1"/>
    <col min="9739" max="9739" width="2.7109375" style="206"/>
    <col min="9740" max="9740" width="4.7109375" style="206" customWidth="1"/>
    <col min="9741" max="9741" width="2.7109375" style="206"/>
    <col min="9742" max="9742" width="3.5703125" style="206" customWidth="1"/>
    <col min="9743" max="9744" width="2.7109375" style="206"/>
    <col min="9745" max="9745" width="4.7109375" style="206" customWidth="1"/>
    <col min="9746" max="9750" width="2.7109375" style="206"/>
    <col min="9751" max="9752" width="3.42578125" style="206" customWidth="1"/>
    <col min="9753" max="9753" width="4.85546875" style="206" customWidth="1"/>
    <col min="9754" max="9754" width="2.7109375" style="206"/>
    <col min="9755" max="9755" width="4.5703125" style="206" customWidth="1"/>
    <col min="9756" max="9757" width="2.7109375" style="206"/>
    <col min="9758" max="9758" width="3.140625" style="206" customWidth="1"/>
    <col min="9759" max="9759" width="6" style="206" customWidth="1"/>
    <col min="9760" max="9760" width="3.42578125" style="206" customWidth="1"/>
    <col min="9761" max="9761" width="8.140625" style="206" customWidth="1"/>
    <col min="9762" max="9762" width="5.5703125" style="206" customWidth="1"/>
    <col min="9763" max="9763" width="21.140625" style="206" customWidth="1"/>
    <col min="9764" max="9764" width="11.42578125" style="206" customWidth="1"/>
    <col min="9765" max="9765" width="8" style="206" customWidth="1"/>
    <col min="9766" max="9767" width="10.140625" style="206" customWidth="1"/>
    <col min="9768" max="9986" width="2.7109375" style="206"/>
    <col min="9987" max="9987" width="4.42578125" style="206" customWidth="1"/>
    <col min="9988" max="9993" width="2.7109375" style="206"/>
    <col min="9994" max="9994" width="4.140625" style="206" customWidth="1"/>
    <col min="9995" max="9995" width="2.7109375" style="206"/>
    <col min="9996" max="9996" width="4.7109375" style="206" customWidth="1"/>
    <col min="9997" max="9997" width="2.7109375" style="206"/>
    <col min="9998" max="9998" width="3.5703125" style="206" customWidth="1"/>
    <col min="9999" max="10000" width="2.7109375" style="206"/>
    <col min="10001" max="10001" width="4.7109375" style="206" customWidth="1"/>
    <col min="10002" max="10006" width="2.7109375" style="206"/>
    <col min="10007" max="10008" width="3.42578125" style="206" customWidth="1"/>
    <col min="10009" max="10009" width="4.85546875" style="206" customWidth="1"/>
    <col min="10010" max="10010" width="2.7109375" style="206"/>
    <col min="10011" max="10011" width="4.5703125" style="206" customWidth="1"/>
    <col min="10012" max="10013" width="2.7109375" style="206"/>
    <col min="10014" max="10014" width="3.140625" style="206" customWidth="1"/>
    <col min="10015" max="10015" width="6" style="206" customWidth="1"/>
    <col min="10016" max="10016" width="3.42578125" style="206" customWidth="1"/>
    <col min="10017" max="10017" width="8.140625" style="206" customWidth="1"/>
    <col min="10018" max="10018" width="5.5703125" style="206" customWidth="1"/>
    <col min="10019" max="10019" width="21.140625" style="206" customWidth="1"/>
    <col min="10020" max="10020" width="11.42578125" style="206" customWidth="1"/>
    <col min="10021" max="10021" width="8" style="206" customWidth="1"/>
    <col min="10022" max="10023" width="10.140625" style="206" customWidth="1"/>
    <col min="10024" max="10242" width="2.7109375" style="206"/>
    <col min="10243" max="10243" width="4.42578125" style="206" customWidth="1"/>
    <col min="10244" max="10249" width="2.7109375" style="206"/>
    <col min="10250" max="10250" width="4.140625" style="206" customWidth="1"/>
    <col min="10251" max="10251" width="2.7109375" style="206"/>
    <col min="10252" max="10252" width="4.7109375" style="206" customWidth="1"/>
    <col min="10253" max="10253" width="2.7109375" style="206"/>
    <col min="10254" max="10254" width="3.5703125" style="206" customWidth="1"/>
    <col min="10255" max="10256" width="2.7109375" style="206"/>
    <col min="10257" max="10257" width="4.7109375" style="206" customWidth="1"/>
    <col min="10258" max="10262" width="2.7109375" style="206"/>
    <col min="10263" max="10264" width="3.42578125" style="206" customWidth="1"/>
    <col min="10265" max="10265" width="4.85546875" style="206" customWidth="1"/>
    <col min="10266" max="10266" width="2.7109375" style="206"/>
    <col min="10267" max="10267" width="4.5703125" style="206" customWidth="1"/>
    <col min="10268" max="10269" width="2.7109375" style="206"/>
    <col min="10270" max="10270" width="3.140625" style="206" customWidth="1"/>
    <col min="10271" max="10271" width="6" style="206" customWidth="1"/>
    <col min="10272" max="10272" width="3.42578125" style="206" customWidth="1"/>
    <col min="10273" max="10273" width="8.140625" style="206" customWidth="1"/>
    <col min="10274" max="10274" width="5.5703125" style="206" customWidth="1"/>
    <col min="10275" max="10275" width="21.140625" style="206" customWidth="1"/>
    <col min="10276" max="10276" width="11.42578125" style="206" customWidth="1"/>
    <col min="10277" max="10277" width="8" style="206" customWidth="1"/>
    <col min="10278" max="10279" width="10.140625" style="206" customWidth="1"/>
    <col min="10280" max="10498" width="2.7109375" style="206"/>
    <col min="10499" max="10499" width="4.42578125" style="206" customWidth="1"/>
    <col min="10500" max="10505" width="2.7109375" style="206"/>
    <col min="10506" max="10506" width="4.140625" style="206" customWidth="1"/>
    <col min="10507" max="10507" width="2.7109375" style="206"/>
    <col min="10508" max="10508" width="4.7109375" style="206" customWidth="1"/>
    <col min="10509" max="10509" width="2.7109375" style="206"/>
    <col min="10510" max="10510" width="3.5703125" style="206" customWidth="1"/>
    <col min="10511" max="10512" width="2.7109375" style="206"/>
    <col min="10513" max="10513" width="4.7109375" style="206" customWidth="1"/>
    <col min="10514" max="10518" width="2.7109375" style="206"/>
    <col min="10519" max="10520" width="3.42578125" style="206" customWidth="1"/>
    <col min="10521" max="10521" width="4.85546875" style="206" customWidth="1"/>
    <col min="10522" max="10522" width="2.7109375" style="206"/>
    <col min="10523" max="10523" width="4.5703125" style="206" customWidth="1"/>
    <col min="10524" max="10525" width="2.7109375" style="206"/>
    <col min="10526" max="10526" width="3.140625" style="206" customWidth="1"/>
    <col min="10527" max="10527" width="6" style="206" customWidth="1"/>
    <col min="10528" max="10528" width="3.42578125" style="206" customWidth="1"/>
    <col min="10529" max="10529" width="8.140625" style="206" customWidth="1"/>
    <col min="10530" max="10530" width="5.5703125" style="206" customWidth="1"/>
    <col min="10531" max="10531" width="21.140625" style="206" customWidth="1"/>
    <col min="10532" max="10532" width="11.42578125" style="206" customWidth="1"/>
    <col min="10533" max="10533" width="8" style="206" customWidth="1"/>
    <col min="10534" max="10535" width="10.140625" style="206" customWidth="1"/>
    <col min="10536" max="10754" width="2.7109375" style="206"/>
    <col min="10755" max="10755" width="4.42578125" style="206" customWidth="1"/>
    <col min="10756" max="10761" width="2.7109375" style="206"/>
    <col min="10762" max="10762" width="4.140625" style="206" customWidth="1"/>
    <col min="10763" max="10763" width="2.7109375" style="206"/>
    <col min="10764" max="10764" width="4.7109375" style="206" customWidth="1"/>
    <col min="10765" max="10765" width="2.7109375" style="206"/>
    <col min="10766" max="10766" width="3.5703125" style="206" customWidth="1"/>
    <col min="10767" max="10768" width="2.7109375" style="206"/>
    <col min="10769" max="10769" width="4.7109375" style="206" customWidth="1"/>
    <col min="10770" max="10774" width="2.7109375" style="206"/>
    <col min="10775" max="10776" width="3.42578125" style="206" customWidth="1"/>
    <col min="10777" max="10777" width="4.85546875" style="206" customWidth="1"/>
    <col min="10778" max="10778" width="2.7109375" style="206"/>
    <col min="10779" max="10779" width="4.5703125" style="206" customWidth="1"/>
    <col min="10780" max="10781" width="2.7109375" style="206"/>
    <col min="10782" max="10782" width="3.140625" style="206" customWidth="1"/>
    <col min="10783" max="10783" width="6" style="206" customWidth="1"/>
    <col min="10784" max="10784" width="3.42578125" style="206" customWidth="1"/>
    <col min="10785" max="10785" width="8.140625" style="206" customWidth="1"/>
    <col min="10786" max="10786" width="5.5703125" style="206" customWidth="1"/>
    <col min="10787" max="10787" width="21.140625" style="206" customWidth="1"/>
    <col min="10788" max="10788" width="11.42578125" style="206" customWidth="1"/>
    <col min="10789" max="10789" width="8" style="206" customWidth="1"/>
    <col min="10790" max="10791" width="10.140625" style="206" customWidth="1"/>
    <col min="10792" max="11010" width="2.7109375" style="206"/>
    <col min="11011" max="11011" width="4.42578125" style="206" customWidth="1"/>
    <col min="11012" max="11017" width="2.7109375" style="206"/>
    <col min="11018" max="11018" width="4.140625" style="206" customWidth="1"/>
    <col min="11019" max="11019" width="2.7109375" style="206"/>
    <col min="11020" max="11020" width="4.7109375" style="206" customWidth="1"/>
    <col min="11021" max="11021" width="2.7109375" style="206"/>
    <col min="11022" max="11022" width="3.5703125" style="206" customWidth="1"/>
    <col min="11023" max="11024" width="2.7109375" style="206"/>
    <col min="11025" max="11025" width="4.7109375" style="206" customWidth="1"/>
    <col min="11026" max="11030" width="2.7109375" style="206"/>
    <col min="11031" max="11032" width="3.42578125" style="206" customWidth="1"/>
    <col min="11033" max="11033" width="4.85546875" style="206" customWidth="1"/>
    <col min="11034" max="11034" width="2.7109375" style="206"/>
    <col min="11035" max="11035" width="4.5703125" style="206" customWidth="1"/>
    <col min="11036" max="11037" width="2.7109375" style="206"/>
    <col min="11038" max="11038" width="3.140625" style="206" customWidth="1"/>
    <col min="11039" max="11039" width="6" style="206" customWidth="1"/>
    <col min="11040" max="11040" width="3.42578125" style="206" customWidth="1"/>
    <col min="11041" max="11041" width="8.140625" style="206" customWidth="1"/>
    <col min="11042" max="11042" width="5.5703125" style="206" customWidth="1"/>
    <col min="11043" max="11043" width="21.140625" style="206" customWidth="1"/>
    <col min="11044" max="11044" width="11.42578125" style="206" customWidth="1"/>
    <col min="11045" max="11045" width="8" style="206" customWidth="1"/>
    <col min="11046" max="11047" width="10.140625" style="206" customWidth="1"/>
    <col min="11048" max="11266" width="2.7109375" style="206"/>
    <col min="11267" max="11267" width="4.42578125" style="206" customWidth="1"/>
    <col min="11268" max="11273" width="2.7109375" style="206"/>
    <col min="11274" max="11274" width="4.140625" style="206" customWidth="1"/>
    <col min="11275" max="11275" width="2.7109375" style="206"/>
    <col min="11276" max="11276" width="4.7109375" style="206" customWidth="1"/>
    <col min="11277" max="11277" width="2.7109375" style="206"/>
    <col min="11278" max="11278" width="3.5703125" style="206" customWidth="1"/>
    <col min="11279" max="11280" width="2.7109375" style="206"/>
    <col min="11281" max="11281" width="4.7109375" style="206" customWidth="1"/>
    <col min="11282" max="11286" width="2.7109375" style="206"/>
    <col min="11287" max="11288" width="3.42578125" style="206" customWidth="1"/>
    <col min="11289" max="11289" width="4.85546875" style="206" customWidth="1"/>
    <col min="11290" max="11290" width="2.7109375" style="206"/>
    <col min="11291" max="11291" width="4.5703125" style="206" customWidth="1"/>
    <col min="11292" max="11293" width="2.7109375" style="206"/>
    <col min="11294" max="11294" width="3.140625" style="206" customWidth="1"/>
    <col min="11295" max="11295" width="6" style="206" customWidth="1"/>
    <col min="11296" max="11296" width="3.42578125" style="206" customWidth="1"/>
    <col min="11297" max="11297" width="8.140625" style="206" customWidth="1"/>
    <col min="11298" max="11298" width="5.5703125" style="206" customWidth="1"/>
    <col min="11299" max="11299" width="21.140625" style="206" customWidth="1"/>
    <col min="11300" max="11300" width="11.42578125" style="206" customWidth="1"/>
    <col min="11301" max="11301" width="8" style="206" customWidth="1"/>
    <col min="11302" max="11303" width="10.140625" style="206" customWidth="1"/>
    <col min="11304" max="11522" width="2.7109375" style="206"/>
    <col min="11523" max="11523" width="4.42578125" style="206" customWidth="1"/>
    <col min="11524" max="11529" width="2.7109375" style="206"/>
    <col min="11530" max="11530" width="4.140625" style="206" customWidth="1"/>
    <col min="11531" max="11531" width="2.7109375" style="206"/>
    <col min="11532" max="11532" width="4.7109375" style="206" customWidth="1"/>
    <col min="11533" max="11533" width="2.7109375" style="206"/>
    <col min="11534" max="11534" width="3.5703125" style="206" customWidth="1"/>
    <col min="11535" max="11536" width="2.7109375" style="206"/>
    <col min="11537" max="11537" width="4.7109375" style="206" customWidth="1"/>
    <col min="11538" max="11542" width="2.7109375" style="206"/>
    <col min="11543" max="11544" width="3.42578125" style="206" customWidth="1"/>
    <col min="11545" max="11545" width="4.85546875" style="206" customWidth="1"/>
    <col min="11546" max="11546" width="2.7109375" style="206"/>
    <col min="11547" max="11547" width="4.5703125" style="206" customWidth="1"/>
    <col min="11548" max="11549" width="2.7109375" style="206"/>
    <col min="11550" max="11550" width="3.140625" style="206" customWidth="1"/>
    <col min="11551" max="11551" width="6" style="206" customWidth="1"/>
    <col min="11552" max="11552" width="3.42578125" style="206" customWidth="1"/>
    <col min="11553" max="11553" width="8.140625" style="206" customWidth="1"/>
    <col min="11554" max="11554" width="5.5703125" style="206" customWidth="1"/>
    <col min="11555" max="11555" width="21.140625" style="206" customWidth="1"/>
    <col min="11556" max="11556" width="11.42578125" style="206" customWidth="1"/>
    <col min="11557" max="11557" width="8" style="206" customWidth="1"/>
    <col min="11558" max="11559" width="10.140625" style="206" customWidth="1"/>
    <col min="11560" max="11778" width="2.7109375" style="206"/>
    <col min="11779" max="11779" width="4.42578125" style="206" customWidth="1"/>
    <col min="11780" max="11785" width="2.7109375" style="206"/>
    <col min="11786" max="11786" width="4.140625" style="206" customWidth="1"/>
    <col min="11787" max="11787" width="2.7109375" style="206"/>
    <col min="11788" max="11788" width="4.7109375" style="206" customWidth="1"/>
    <col min="11789" max="11789" width="2.7109375" style="206"/>
    <col min="11790" max="11790" width="3.5703125" style="206" customWidth="1"/>
    <col min="11791" max="11792" width="2.7109375" style="206"/>
    <col min="11793" max="11793" width="4.7109375" style="206" customWidth="1"/>
    <col min="11794" max="11798" width="2.7109375" style="206"/>
    <col min="11799" max="11800" width="3.42578125" style="206" customWidth="1"/>
    <col min="11801" max="11801" width="4.85546875" style="206" customWidth="1"/>
    <col min="11802" max="11802" width="2.7109375" style="206"/>
    <col min="11803" max="11803" width="4.5703125" style="206" customWidth="1"/>
    <col min="11804" max="11805" width="2.7109375" style="206"/>
    <col min="11806" max="11806" width="3.140625" style="206" customWidth="1"/>
    <col min="11807" max="11807" width="6" style="206" customWidth="1"/>
    <col min="11808" max="11808" width="3.42578125" style="206" customWidth="1"/>
    <col min="11809" max="11809" width="8.140625" style="206" customWidth="1"/>
    <col min="11810" max="11810" width="5.5703125" style="206" customWidth="1"/>
    <col min="11811" max="11811" width="21.140625" style="206" customWidth="1"/>
    <col min="11812" max="11812" width="11.42578125" style="206" customWidth="1"/>
    <col min="11813" max="11813" width="8" style="206" customWidth="1"/>
    <col min="11814" max="11815" width="10.140625" style="206" customWidth="1"/>
    <col min="11816" max="12034" width="2.7109375" style="206"/>
    <col min="12035" max="12035" width="4.42578125" style="206" customWidth="1"/>
    <col min="12036" max="12041" width="2.7109375" style="206"/>
    <col min="12042" max="12042" width="4.140625" style="206" customWidth="1"/>
    <col min="12043" max="12043" width="2.7109375" style="206"/>
    <col min="12044" max="12044" width="4.7109375" style="206" customWidth="1"/>
    <col min="12045" max="12045" width="2.7109375" style="206"/>
    <col min="12046" max="12046" width="3.5703125" style="206" customWidth="1"/>
    <col min="12047" max="12048" width="2.7109375" style="206"/>
    <col min="12049" max="12049" width="4.7109375" style="206" customWidth="1"/>
    <col min="12050" max="12054" width="2.7109375" style="206"/>
    <col min="12055" max="12056" width="3.42578125" style="206" customWidth="1"/>
    <col min="12057" max="12057" width="4.85546875" style="206" customWidth="1"/>
    <col min="12058" max="12058" width="2.7109375" style="206"/>
    <col min="12059" max="12059" width="4.5703125" style="206" customWidth="1"/>
    <col min="12060" max="12061" width="2.7109375" style="206"/>
    <col min="12062" max="12062" width="3.140625" style="206" customWidth="1"/>
    <col min="12063" max="12063" width="6" style="206" customWidth="1"/>
    <col min="12064" max="12064" width="3.42578125" style="206" customWidth="1"/>
    <col min="12065" max="12065" width="8.140625" style="206" customWidth="1"/>
    <col min="12066" max="12066" width="5.5703125" style="206" customWidth="1"/>
    <col min="12067" max="12067" width="21.140625" style="206" customWidth="1"/>
    <col min="12068" max="12068" width="11.42578125" style="206" customWidth="1"/>
    <col min="12069" max="12069" width="8" style="206" customWidth="1"/>
    <col min="12070" max="12071" width="10.140625" style="206" customWidth="1"/>
    <col min="12072" max="12290" width="2.7109375" style="206"/>
    <col min="12291" max="12291" width="4.42578125" style="206" customWidth="1"/>
    <col min="12292" max="12297" width="2.7109375" style="206"/>
    <col min="12298" max="12298" width="4.140625" style="206" customWidth="1"/>
    <col min="12299" max="12299" width="2.7109375" style="206"/>
    <col min="12300" max="12300" width="4.7109375" style="206" customWidth="1"/>
    <col min="12301" max="12301" width="2.7109375" style="206"/>
    <col min="12302" max="12302" width="3.5703125" style="206" customWidth="1"/>
    <col min="12303" max="12304" width="2.7109375" style="206"/>
    <col min="12305" max="12305" width="4.7109375" style="206" customWidth="1"/>
    <col min="12306" max="12310" width="2.7109375" style="206"/>
    <col min="12311" max="12312" width="3.42578125" style="206" customWidth="1"/>
    <col min="12313" max="12313" width="4.85546875" style="206" customWidth="1"/>
    <col min="12314" max="12314" width="2.7109375" style="206"/>
    <col min="12315" max="12315" width="4.5703125" style="206" customWidth="1"/>
    <col min="12316" max="12317" width="2.7109375" style="206"/>
    <col min="12318" max="12318" width="3.140625" style="206" customWidth="1"/>
    <col min="12319" max="12319" width="6" style="206" customWidth="1"/>
    <col min="12320" max="12320" width="3.42578125" style="206" customWidth="1"/>
    <col min="12321" max="12321" width="8.140625" style="206" customWidth="1"/>
    <col min="12322" max="12322" width="5.5703125" style="206" customWidth="1"/>
    <col min="12323" max="12323" width="21.140625" style="206" customWidth="1"/>
    <col min="12324" max="12324" width="11.42578125" style="206" customWidth="1"/>
    <col min="12325" max="12325" width="8" style="206" customWidth="1"/>
    <col min="12326" max="12327" width="10.140625" style="206" customWidth="1"/>
    <col min="12328" max="12546" width="2.7109375" style="206"/>
    <col min="12547" max="12547" width="4.42578125" style="206" customWidth="1"/>
    <col min="12548" max="12553" width="2.7109375" style="206"/>
    <col min="12554" max="12554" width="4.140625" style="206" customWidth="1"/>
    <col min="12555" max="12555" width="2.7109375" style="206"/>
    <col min="12556" max="12556" width="4.7109375" style="206" customWidth="1"/>
    <col min="12557" max="12557" width="2.7109375" style="206"/>
    <col min="12558" max="12558" width="3.5703125" style="206" customWidth="1"/>
    <col min="12559" max="12560" width="2.7109375" style="206"/>
    <col min="12561" max="12561" width="4.7109375" style="206" customWidth="1"/>
    <col min="12562" max="12566" width="2.7109375" style="206"/>
    <col min="12567" max="12568" width="3.42578125" style="206" customWidth="1"/>
    <col min="12569" max="12569" width="4.85546875" style="206" customWidth="1"/>
    <col min="12570" max="12570" width="2.7109375" style="206"/>
    <col min="12571" max="12571" width="4.5703125" style="206" customWidth="1"/>
    <col min="12572" max="12573" width="2.7109375" style="206"/>
    <col min="12574" max="12574" width="3.140625" style="206" customWidth="1"/>
    <col min="12575" max="12575" width="6" style="206" customWidth="1"/>
    <col min="12576" max="12576" width="3.42578125" style="206" customWidth="1"/>
    <col min="12577" max="12577" width="8.140625" style="206" customWidth="1"/>
    <col min="12578" max="12578" width="5.5703125" style="206" customWidth="1"/>
    <col min="12579" max="12579" width="21.140625" style="206" customWidth="1"/>
    <col min="12580" max="12580" width="11.42578125" style="206" customWidth="1"/>
    <col min="12581" max="12581" width="8" style="206" customWidth="1"/>
    <col min="12582" max="12583" width="10.140625" style="206" customWidth="1"/>
    <col min="12584" max="12802" width="2.7109375" style="206"/>
    <col min="12803" max="12803" width="4.42578125" style="206" customWidth="1"/>
    <col min="12804" max="12809" width="2.7109375" style="206"/>
    <col min="12810" max="12810" width="4.140625" style="206" customWidth="1"/>
    <col min="12811" max="12811" width="2.7109375" style="206"/>
    <col min="12812" max="12812" width="4.7109375" style="206" customWidth="1"/>
    <col min="12813" max="12813" width="2.7109375" style="206"/>
    <col min="12814" max="12814" width="3.5703125" style="206" customWidth="1"/>
    <col min="12815" max="12816" width="2.7109375" style="206"/>
    <col min="12817" max="12817" width="4.7109375" style="206" customWidth="1"/>
    <col min="12818" max="12822" width="2.7109375" style="206"/>
    <col min="12823" max="12824" width="3.42578125" style="206" customWidth="1"/>
    <col min="12825" max="12825" width="4.85546875" style="206" customWidth="1"/>
    <col min="12826" max="12826" width="2.7109375" style="206"/>
    <col min="12827" max="12827" width="4.5703125" style="206" customWidth="1"/>
    <col min="12828" max="12829" width="2.7109375" style="206"/>
    <col min="12830" max="12830" width="3.140625" style="206" customWidth="1"/>
    <col min="12831" max="12831" width="6" style="206" customWidth="1"/>
    <col min="12832" max="12832" width="3.42578125" style="206" customWidth="1"/>
    <col min="12833" max="12833" width="8.140625" style="206" customWidth="1"/>
    <col min="12834" max="12834" width="5.5703125" style="206" customWidth="1"/>
    <col min="12835" max="12835" width="21.140625" style="206" customWidth="1"/>
    <col min="12836" max="12836" width="11.42578125" style="206" customWidth="1"/>
    <col min="12837" max="12837" width="8" style="206" customWidth="1"/>
    <col min="12838" max="12839" width="10.140625" style="206" customWidth="1"/>
    <col min="12840" max="13058" width="2.7109375" style="206"/>
    <col min="13059" max="13059" width="4.42578125" style="206" customWidth="1"/>
    <col min="13060" max="13065" width="2.7109375" style="206"/>
    <col min="13066" max="13066" width="4.140625" style="206" customWidth="1"/>
    <col min="13067" max="13067" width="2.7109375" style="206"/>
    <col min="13068" max="13068" width="4.7109375" style="206" customWidth="1"/>
    <col min="13069" max="13069" width="2.7109375" style="206"/>
    <col min="13070" max="13070" width="3.5703125" style="206" customWidth="1"/>
    <col min="13071" max="13072" width="2.7109375" style="206"/>
    <col min="13073" max="13073" width="4.7109375" style="206" customWidth="1"/>
    <col min="13074" max="13078" width="2.7109375" style="206"/>
    <col min="13079" max="13080" width="3.42578125" style="206" customWidth="1"/>
    <col min="13081" max="13081" width="4.85546875" style="206" customWidth="1"/>
    <col min="13082" max="13082" width="2.7109375" style="206"/>
    <col min="13083" max="13083" width="4.5703125" style="206" customWidth="1"/>
    <col min="13084" max="13085" width="2.7109375" style="206"/>
    <col min="13086" max="13086" width="3.140625" style="206" customWidth="1"/>
    <col min="13087" max="13087" width="6" style="206" customWidth="1"/>
    <col min="13088" max="13088" width="3.42578125" style="206" customWidth="1"/>
    <col min="13089" max="13089" width="8.140625" style="206" customWidth="1"/>
    <col min="13090" max="13090" width="5.5703125" style="206" customWidth="1"/>
    <col min="13091" max="13091" width="21.140625" style="206" customWidth="1"/>
    <col min="13092" max="13092" width="11.42578125" style="206" customWidth="1"/>
    <col min="13093" max="13093" width="8" style="206" customWidth="1"/>
    <col min="13094" max="13095" width="10.140625" style="206" customWidth="1"/>
    <col min="13096" max="13314" width="2.7109375" style="206"/>
    <col min="13315" max="13315" width="4.42578125" style="206" customWidth="1"/>
    <col min="13316" max="13321" width="2.7109375" style="206"/>
    <col min="13322" max="13322" width="4.140625" style="206" customWidth="1"/>
    <col min="13323" max="13323" width="2.7109375" style="206"/>
    <col min="13324" max="13324" width="4.7109375" style="206" customWidth="1"/>
    <col min="13325" max="13325" width="2.7109375" style="206"/>
    <col min="13326" max="13326" width="3.5703125" style="206" customWidth="1"/>
    <col min="13327" max="13328" width="2.7109375" style="206"/>
    <col min="13329" max="13329" width="4.7109375" style="206" customWidth="1"/>
    <col min="13330" max="13334" width="2.7109375" style="206"/>
    <col min="13335" max="13336" width="3.42578125" style="206" customWidth="1"/>
    <col min="13337" max="13337" width="4.85546875" style="206" customWidth="1"/>
    <col min="13338" max="13338" width="2.7109375" style="206"/>
    <col min="13339" max="13339" width="4.5703125" style="206" customWidth="1"/>
    <col min="13340" max="13341" width="2.7109375" style="206"/>
    <col min="13342" max="13342" width="3.140625" style="206" customWidth="1"/>
    <col min="13343" max="13343" width="6" style="206" customWidth="1"/>
    <col min="13344" max="13344" width="3.42578125" style="206" customWidth="1"/>
    <col min="13345" max="13345" width="8.140625" style="206" customWidth="1"/>
    <col min="13346" max="13346" width="5.5703125" style="206" customWidth="1"/>
    <col min="13347" max="13347" width="21.140625" style="206" customWidth="1"/>
    <col min="13348" max="13348" width="11.42578125" style="206" customWidth="1"/>
    <col min="13349" max="13349" width="8" style="206" customWidth="1"/>
    <col min="13350" max="13351" width="10.140625" style="206" customWidth="1"/>
    <col min="13352" max="13570" width="2.7109375" style="206"/>
    <col min="13571" max="13571" width="4.42578125" style="206" customWidth="1"/>
    <col min="13572" max="13577" width="2.7109375" style="206"/>
    <col min="13578" max="13578" width="4.140625" style="206" customWidth="1"/>
    <col min="13579" max="13579" width="2.7109375" style="206"/>
    <col min="13580" max="13580" width="4.7109375" style="206" customWidth="1"/>
    <col min="13581" max="13581" width="2.7109375" style="206"/>
    <col min="13582" max="13582" width="3.5703125" style="206" customWidth="1"/>
    <col min="13583" max="13584" width="2.7109375" style="206"/>
    <col min="13585" max="13585" width="4.7109375" style="206" customWidth="1"/>
    <col min="13586" max="13590" width="2.7109375" style="206"/>
    <col min="13591" max="13592" width="3.42578125" style="206" customWidth="1"/>
    <col min="13593" max="13593" width="4.85546875" style="206" customWidth="1"/>
    <col min="13594" max="13594" width="2.7109375" style="206"/>
    <col min="13595" max="13595" width="4.5703125" style="206" customWidth="1"/>
    <col min="13596" max="13597" width="2.7109375" style="206"/>
    <col min="13598" max="13598" width="3.140625" style="206" customWidth="1"/>
    <col min="13599" max="13599" width="6" style="206" customWidth="1"/>
    <col min="13600" max="13600" width="3.42578125" style="206" customWidth="1"/>
    <col min="13601" max="13601" width="8.140625" style="206" customWidth="1"/>
    <col min="13602" max="13602" width="5.5703125" style="206" customWidth="1"/>
    <col min="13603" max="13603" width="21.140625" style="206" customWidth="1"/>
    <col min="13604" max="13604" width="11.42578125" style="206" customWidth="1"/>
    <col min="13605" max="13605" width="8" style="206" customWidth="1"/>
    <col min="13606" max="13607" width="10.140625" style="206" customWidth="1"/>
    <col min="13608" max="13826" width="2.7109375" style="206"/>
    <col min="13827" max="13827" width="4.42578125" style="206" customWidth="1"/>
    <col min="13828" max="13833" width="2.7109375" style="206"/>
    <col min="13834" max="13834" width="4.140625" style="206" customWidth="1"/>
    <col min="13835" max="13835" width="2.7109375" style="206"/>
    <col min="13836" max="13836" width="4.7109375" style="206" customWidth="1"/>
    <col min="13837" max="13837" width="2.7109375" style="206"/>
    <col min="13838" max="13838" width="3.5703125" style="206" customWidth="1"/>
    <col min="13839" max="13840" width="2.7109375" style="206"/>
    <col min="13841" max="13841" width="4.7109375" style="206" customWidth="1"/>
    <col min="13842" max="13846" width="2.7109375" style="206"/>
    <col min="13847" max="13848" width="3.42578125" style="206" customWidth="1"/>
    <col min="13849" max="13849" width="4.85546875" style="206" customWidth="1"/>
    <col min="13850" max="13850" width="2.7109375" style="206"/>
    <col min="13851" max="13851" width="4.5703125" style="206" customWidth="1"/>
    <col min="13852" max="13853" width="2.7109375" style="206"/>
    <col min="13854" max="13854" width="3.140625" style="206" customWidth="1"/>
    <col min="13855" max="13855" width="6" style="206" customWidth="1"/>
    <col min="13856" max="13856" width="3.42578125" style="206" customWidth="1"/>
    <col min="13857" max="13857" width="8.140625" style="206" customWidth="1"/>
    <col min="13858" max="13858" width="5.5703125" style="206" customWidth="1"/>
    <col min="13859" max="13859" width="21.140625" style="206" customWidth="1"/>
    <col min="13860" max="13860" width="11.42578125" style="206" customWidth="1"/>
    <col min="13861" max="13861" width="8" style="206" customWidth="1"/>
    <col min="13862" max="13863" width="10.140625" style="206" customWidth="1"/>
    <col min="13864" max="14082" width="2.7109375" style="206"/>
    <col min="14083" max="14083" width="4.42578125" style="206" customWidth="1"/>
    <col min="14084" max="14089" width="2.7109375" style="206"/>
    <col min="14090" max="14090" width="4.140625" style="206" customWidth="1"/>
    <col min="14091" max="14091" width="2.7109375" style="206"/>
    <col min="14092" max="14092" width="4.7109375" style="206" customWidth="1"/>
    <col min="14093" max="14093" width="2.7109375" style="206"/>
    <col min="14094" max="14094" width="3.5703125" style="206" customWidth="1"/>
    <col min="14095" max="14096" width="2.7109375" style="206"/>
    <col min="14097" max="14097" width="4.7109375" style="206" customWidth="1"/>
    <col min="14098" max="14102" width="2.7109375" style="206"/>
    <col min="14103" max="14104" width="3.42578125" style="206" customWidth="1"/>
    <col min="14105" max="14105" width="4.85546875" style="206" customWidth="1"/>
    <col min="14106" max="14106" width="2.7109375" style="206"/>
    <col min="14107" max="14107" width="4.5703125" style="206" customWidth="1"/>
    <col min="14108" max="14109" width="2.7109375" style="206"/>
    <col min="14110" max="14110" width="3.140625" style="206" customWidth="1"/>
    <col min="14111" max="14111" width="6" style="206" customWidth="1"/>
    <col min="14112" max="14112" width="3.42578125" style="206" customWidth="1"/>
    <col min="14113" max="14113" width="8.140625" style="206" customWidth="1"/>
    <col min="14114" max="14114" width="5.5703125" style="206" customWidth="1"/>
    <col min="14115" max="14115" width="21.140625" style="206" customWidth="1"/>
    <col min="14116" max="14116" width="11.42578125" style="206" customWidth="1"/>
    <col min="14117" max="14117" width="8" style="206" customWidth="1"/>
    <col min="14118" max="14119" width="10.140625" style="206" customWidth="1"/>
    <col min="14120" max="14338" width="2.7109375" style="206"/>
    <col min="14339" max="14339" width="4.42578125" style="206" customWidth="1"/>
    <col min="14340" max="14345" width="2.7109375" style="206"/>
    <col min="14346" max="14346" width="4.140625" style="206" customWidth="1"/>
    <col min="14347" max="14347" width="2.7109375" style="206"/>
    <col min="14348" max="14348" width="4.7109375" style="206" customWidth="1"/>
    <col min="14349" max="14349" width="2.7109375" style="206"/>
    <col min="14350" max="14350" width="3.5703125" style="206" customWidth="1"/>
    <col min="14351" max="14352" width="2.7109375" style="206"/>
    <col min="14353" max="14353" width="4.7109375" style="206" customWidth="1"/>
    <col min="14354" max="14358" width="2.7109375" style="206"/>
    <col min="14359" max="14360" width="3.42578125" style="206" customWidth="1"/>
    <col min="14361" max="14361" width="4.85546875" style="206" customWidth="1"/>
    <col min="14362" max="14362" width="2.7109375" style="206"/>
    <col min="14363" max="14363" width="4.5703125" style="206" customWidth="1"/>
    <col min="14364" max="14365" width="2.7109375" style="206"/>
    <col min="14366" max="14366" width="3.140625" style="206" customWidth="1"/>
    <col min="14367" max="14367" width="6" style="206" customWidth="1"/>
    <col min="14368" max="14368" width="3.42578125" style="206" customWidth="1"/>
    <col min="14369" max="14369" width="8.140625" style="206" customWidth="1"/>
    <col min="14370" max="14370" width="5.5703125" style="206" customWidth="1"/>
    <col min="14371" max="14371" width="21.140625" style="206" customWidth="1"/>
    <col min="14372" max="14372" width="11.42578125" style="206" customWidth="1"/>
    <col min="14373" max="14373" width="8" style="206" customWidth="1"/>
    <col min="14374" max="14375" width="10.140625" style="206" customWidth="1"/>
    <col min="14376" max="14594" width="2.7109375" style="206"/>
    <col min="14595" max="14595" width="4.42578125" style="206" customWidth="1"/>
    <col min="14596" max="14601" width="2.7109375" style="206"/>
    <col min="14602" max="14602" width="4.140625" style="206" customWidth="1"/>
    <col min="14603" max="14603" width="2.7109375" style="206"/>
    <col min="14604" max="14604" width="4.7109375" style="206" customWidth="1"/>
    <col min="14605" max="14605" width="2.7109375" style="206"/>
    <col min="14606" max="14606" width="3.5703125" style="206" customWidth="1"/>
    <col min="14607" max="14608" width="2.7109375" style="206"/>
    <col min="14609" max="14609" width="4.7109375" style="206" customWidth="1"/>
    <col min="14610" max="14614" width="2.7109375" style="206"/>
    <col min="14615" max="14616" width="3.42578125" style="206" customWidth="1"/>
    <col min="14617" max="14617" width="4.85546875" style="206" customWidth="1"/>
    <col min="14618" max="14618" width="2.7109375" style="206"/>
    <col min="14619" max="14619" width="4.5703125" style="206" customWidth="1"/>
    <col min="14620" max="14621" width="2.7109375" style="206"/>
    <col min="14622" max="14622" width="3.140625" style="206" customWidth="1"/>
    <col min="14623" max="14623" width="6" style="206" customWidth="1"/>
    <col min="14624" max="14624" width="3.42578125" style="206" customWidth="1"/>
    <col min="14625" max="14625" width="8.140625" style="206" customWidth="1"/>
    <col min="14626" max="14626" width="5.5703125" style="206" customWidth="1"/>
    <col min="14627" max="14627" width="21.140625" style="206" customWidth="1"/>
    <col min="14628" max="14628" width="11.42578125" style="206" customWidth="1"/>
    <col min="14629" max="14629" width="8" style="206" customWidth="1"/>
    <col min="14630" max="14631" width="10.140625" style="206" customWidth="1"/>
    <col min="14632" max="14850" width="2.7109375" style="206"/>
    <col min="14851" max="14851" width="4.42578125" style="206" customWidth="1"/>
    <col min="14852" max="14857" width="2.7109375" style="206"/>
    <col min="14858" max="14858" width="4.140625" style="206" customWidth="1"/>
    <col min="14859" max="14859" width="2.7109375" style="206"/>
    <col min="14860" max="14860" width="4.7109375" style="206" customWidth="1"/>
    <col min="14861" max="14861" width="2.7109375" style="206"/>
    <col min="14862" max="14862" width="3.5703125" style="206" customWidth="1"/>
    <col min="14863" max="14864" width="2.7109375" style="206"/>
    <col min="14865" max="14865" width="4.7109375" style="206" customWidth="1"/>
    <col min="14866" max="14870" width="2.7109375" style="206"/>
    <col min="14871" max="14872" width="3.42578125" style="206" customWidth="1"/>
    <col min="14873" max="14873" width="4.85546875" style="206" customWidth="1"/>
    <col min="14874" max="14874" width="2.7109375" style="206"/>
    <col min="14875" max="14875" width="4.5703125" style="206" customWidth="1"/>
    <col min="14876" max="14877" width="2.7109375" style="206"/>
    <col min="14878" max="14878" width="3.140625" style="206" customWidth="1"/>
    <col min="14879" max="14879" width="6" style="206" customWidth="1"/>
    <col min="14880" max="14880" width="3.42578125" style="206" customWidth="1"/>
    <col min="14881" max="14881" width="8.140625" style="206" customWidth="1"/>
    <col min="14882" max="14882" width="5.5703125" style="206" customWidth="1"/>
    <col min="14883" max="14883" width="21.140625" style="206" customWidth="1"/>
    <col min="14884" max="14884" width="11.42578125" style="206" customWidth="1"/>
    <col min="14885" max="14885" width="8" style="206" customWidth="1"/>
    <col min="14886" max="14887" width="10.140625" style="206" customWidth="1"/>
    <col min="14888" max="15106" width="2.7109375" style="206"/>
    <col min="15107" max="15107" width="4.42578125" style="206" customWidth="1"/>
    <col min="15108" max="15113" width="2.7109375" style="206"/>
    <col min="15114" max="15114" width="4.140625" style="206" customWidth="1"/>
    <col min="15115" max="15115" width="2.7109375" style="206"/>
    <col min="15116" max="15116" width="4.7109375" style="206" customWidth="1"/>
    <col min="15117" max="15117" width="2.7109375" style="206"/>
    <col min="15118" max="15118" width="3.5703125" style="206" customWidth="1"/>
    <col min="15119" max="15120" width="2.7109375" style="206"/>
    <col min="15121" max="15121" width="4.7109375" style="206" customWidth="1"/>
    <col min="15122" max="15126" width="2.7109375" style="206"/>
    <col min="15127" max="15128" width="3.42578125" style="206" customWidth="1"/>
    <col min="15129" max="15129" width="4.85546875" style="206" customWidth="1"/>
    <col min="15130" max="15130" width="2.7109375" style="206"/>
    <col min="15131" max="15131" width="4.5703125" style="206" customWidth="1"/>
    <col min="15132" max="15133" width="2.7109375" style="206"/>
    <col min="15134" max="15134" width="3.140625" style="206" customWidth="1"/>
    <col min="15135" max="15135" width="6" style="206" customWidth="1"/>
    <col min="15136" max="15136" width="3.42578125" style="206" customWidth="1"/>
    <col min="15137" max="15137" width="8.140625" style="206" customWidth="1"/>
    <col min="15138" max="15138" width="5.5703125" style="206" customWidth="1"/>
    <col min="15139" max="15139" width="21.140625" style="206" customWidth="1"/>
    <col min="15140" max="15140" width="11.42578125" style="206" customWidth="1"/>
    <col min="15141" max="15141" width="8" style="206" customWidth="1"/>
    <col min="15142" max="15143" width="10.140625" style="206" customWidth="1"/>
    <col min="15144" max="15362" width="2.7109375" style="206"/>
    <col min="15363" max="15363" width="4.42578125" style="206" customWidth="1"/>
    <col min="15364" max="15369" width="2.7109375" style="206"/>
    <col min="15370" max="15370" width="4.140625" style="206" customWidth="1"/>
    <col min="15371" max="15371" width="2.7109375" style="206"/>
    <col min="15372" max="15372" width="4.7109375" style="206" customWidth="1"/>
    <col min="15373" max="15373" width="2.7109375" style="206"/>
    <col min="15374" max="15374" width="3.5703125" style="206" customWidth="1"/>
    <col min="15375" max="15376" width="2.7109375" style="206"/>
    <col min="15377" max="15377" width="4.7109375" style="206" customWidth="1"/>
    <col min="15378" max="15382" width="2.7109375" style="206"/>
    <col min="15383" max="15384" width="3.42578125" style="206" customWidth="1"/>
    <col min="15385" max="15385" width="4.85546875" style="206" customWidth="1"/>
    <col min="15386" max="15386" width="2.7109375" style="206"/>
    <col min="15387" max="15387" width="4.5703125" style="206" customWidth="1"/>
    <col min="15388" max="15389" width="2.7109375" style="206"/>
    <col min="15390" max="15390" width="3.140625" style="206" customWidth="1"/>
    <col min="15391" max="15391" width="6" style="206" customWidth="1"/>
    <col min="15392" max="15392" width="3.42578125" style="206" customWidth="1"/>
    <col min="15393" max="15393" width="8.140625" style="206" customWidth="1"/>
    <col min="15394" max="15394" width="5.5703125" style="206" customWidth="1"/>
    <col min="15395" max="15395" width="21.140625" style="206" customWidth="1"/>
    <col min="15396" max="15396" width="11.42578125" style="206" customWidth="1"/>
    <col min="15397" max="15397" width="8" style="206" customWidth="1"/>
    <col min="15398" max="15399" width="10.140625" style="206" customWidth="1"/>
    <col min="15400" max="15618" width="2.7109375" style="206"/>
    <col min="15619" max="15619" width="4.42578125" style="206" customWidth="1"/>
    <col min="15620" max="15625" width="2.7109375" style="206"/>
    <col min="15626" max="15626" width="4.140625" style="206" customWidth="1"/>
    <col min="15627" max="15627" width="2.7109375" style="206"/>
    <col min="15628" max="15628" width="4.7109375" style="206" customWidth="1"/>
    <col min="15629" max="15629" width="2.7109375" style="206"/>
    <col min="15630" max="15630" width="3.5703125" style="206" customWidth="1"/>
    <col min="15631" max="15632" width="2.7109375" style="206"/>
    <col min="15633" max="15633" width="4.7109375" style="206" customWidth="1"/>
    <col min="15634" max="15638" width="2.7109375" style="206"/>
    <col min="15639" max="15640" width="3.42578125" style="206" customWidth="1"/>
    <col min="15641" max="15641" width="4.85546875" style="206" customWidth="1"/>
    <col min="15642" max="15642" width="2.7109375" style="206"/>
    <col min="15643" max="15643" width="4.5703125" style="206" customWidth="1"/>
    <col min="15644" max="15645" width="2.7109375" style="206"/>
    <col min="15646" max="15646" width="3.140625" style="206" customWidth="1"/>
    <col min="15647" max="15647" width="6" style="206" customWidth="1"/>
    <col min="15648" max="15648" width="3.42578125" style="206" customWidth="1"/>
    <col min="15649" max="15649" width="8.140625" style="206" customWidth="1"/>
    <col min="15650" max="15650" width="5.5703125" style="206" customWidth="1"/>
    <col min="15651" max="15651" width="21.140625" style="206" customWidth="1"/>
    <col min="15652" max="15652" width="11.42578125" style="206" customWidth="1"/>
    <col min="15653" max="15653" width="8" style="206" customWidth="1"/>
    <col min="15654" max="15655" width="10.140625" style="206" customWidth="1"/>
    <col min="15656" max="15874" width="2.7109375" style="206"/>
    <col min="15875" max="15875" width="4.42578125" style="206" customWidth="1"/>
    <col min="15876" max="15881" width="2.7109375" style="206"/>
    <col min="15882" max="15882" width="4.140625" style="206" customWidth="1"/>
    <col min="15883" max="15883" width="2.7109375" style="206"/>
    <col min="15884" max="15884" width="4.7109375" style="206" customWidth="1"/>
    <col min="15885" max="15885" width="2.7109375" style="206"/>
    <col min="15886" max="15886" width="3.5703125" style="206" customWidth="1"/>
    <col min="15887" max="15888" width="2.7109375" style="206"/>
    <col min="15889" max="15889" width="4.7109375" style="206" customWidth="1"/>
    <col min="15890" max="15894" width="2.7109375" style="206"/>
    <col min="15895" max="15896" width="3.42578125" style="206" customWidth="1"/>
    <col min="15897" max="15897" width="4.85546875" style="206" customWidth="1"/>
    <col min="15898" max="15898" width="2.7109375" style="206"/>
    <col min="15899" max="15899" width="4.5703125" style="206" customWidth="1"/>
    <col min="15900" max="15901" width="2.7109375" style="206"/>
    <col min="15902" max="15902" width="3.140625" style="206" customWidth="1"/>
    <col min="15903" max="15903" width="6" style="206" customWidth="1"/>
    <col min="15904" max="15904" width="3.42578125" style="206" customWidth="1"/>
    <col min="15905" max="15905" width="8.140625" style="206" customWidth="1"/>
    <col min="15906" max="15906" width="5.5703125" style="206" customWidth="1"/>
    <col min="15907" max="15907" width="21.140625" style="206" customWidth="1"/>
    <col min="15908" max="15908" width="11.42578125" style="206" customWidth="1"/>
    <col min="15909" max="15909" width="8" style="206" customWidth="1"/>
    <col min="15910" max="15911" width="10.140625" style="206" customWidth="1"/>
    <col min="15912" max="16130" width="2.7109375" style="206"/>
    <col min="16131" max="16131" width="4.42578125" style="206" customWidth="1"/>
    <col min="16132" max="16137" width="2.7109375" style="206"/>
    <col min="16138" max="16138" width="4.140625" style="206" customWidth="1"/>
    <col min="16139" max="16139" width="2.7109375" style="206"/>
    <col min="16140" max="16140" width="4.7109375" style="206" customWidth="1"/>
    <col min="16141" max="16141" width="2.7109375" style="206"/>
    <col min="16142" max="16142" width="3.5703125" style="206" customWidth="1"/>
    <col min="16143" max="16144" width="2.7109375" style="206"/>
    <col min="16145" max="16145" width="4.7109375" style="206" customWidth="1"/>
    <col min="16146" max="16150" width="2.7109375" style="206"/>
    <col min="16151" max="16152" width="3.42578125" style="206" customWidth="1"/>
    <col min="16153" max="16153" width="4.85546875" style="206" customWidth="1"/>
    <col min="16154" max="16154" width="2.7109375" style="206"/>
    <col min="16155" max="16155" width="4.5703125" style="206" customWidth="1"/>
    <col min="16156" max="16157" width="2.7109375" style="206"/>
    <col min="16158" max="16158" width="3.140625" style="206" customWidth="1"/>
    <col min="16159" max="16159" width="6" style="206" customWidth="1"/>
    <col min="16160" max="16160" width="3.42578125" style="206" customWidth="1"/>
    <col min="16161" max="16161" width="8.140625" style="206" customWidth="1"/>
    <col min="16162" max="16162" width="5.5703125" style="206" customWidth="1"/>
    <col min="16163" max="16163" width="21.140625" style="206" customWidth="1"/>
    <col min="16164" max="16164" width="11.42578125" style="206" customWidth="1"/>
    <col min="16165" max="16165" width="8" style="206" customWidth="1"/>
    <col min="16166" max="16167" width="10.140625" style="206" customWidth="1"/>
    <col min="16168" max="16384" width="2.7109375" style="206"/>
  </cols>
  <sheetData>
    <row r="1" spans="1:56" ht="14.25" customHeight="1" thickBot="1" x14ac:dyDescent="0.3"/>
    <row r="2" spans="1:56" ht="48" customHeight="1" thickBot="1" x14ac:dyDescent="0.3">
      <c r="A2" s="1062"/>
      <c r="B2" s="1063"/>
      <c r="C2" s="1063"/>
      <c r="D2" s="1063"/>
      <c r="E2" s="1063"/>
      <c r="F2" s="1063"/>
      <c r="G2" s="1063"/>
      <c r="H2" s="1063"/>
      <c r="I2" s="1064"/>
      <c r="J2" s="1028" t="str">
        <f>[6]Clasificación!$I$2</f>
        <v>LABORATORIO DE SUELOS Y MATERIALES "UNIVO"</v>
      </c>
      <c r="K2" s="1029"/>
      <c r="L2" s="1029"/>
      <c r="M2" s="1029"/>
      <c r="N2" s="1029"/>
      <c r="O2" s="1029"/>
      <c r="P2" s="1029"/>
      <c r="Q2" s="1029"/>
      <c r="R2" s="1029"/>
      <c r="S2" s="1029"/>
      <c r="T2" s="1029"/>
      <c r="U2" s="1029"/>
      <c r="V2" s="1029"/>
      <c r="W2" s="1029"/>
      <c r="X2" s="1029"/>
      <c r="Y2" s="1029"/>
      <c r="Z2" s="1029"/>
      <c r="AA2" s="1029"/>
      <c r="AB2" s="1029"/>
      <c r="AC2" s="1029"/>
      <c r="AD2" s="1029"/>
      <c r="AE2" s="1030"/>
    </row>
    <row r="3" spans="1:56" s="210" customFormat="1" ht="42" customHeight="1" thickBot="1" x14ac:dyDescent="0.3">
      <c r="A3" s="1065"/>
      <c r="B3" s="1066"/>
      <c r="C3" s="1066"/>
      <c r="D3" s="1066"/>
      <c r="E3" s="1066"/>
      <c r="F3" s="1066"/>
      <c r="G3" s="1066"/>
      <c r="H3" s="1066"/>
      <c r="I3" s="1067"/>
      <c r="J3" s="1031" t="s">
        <v>262</v>
      </c>
      <c r="K3" s="1032"/>
      <c r="L3" s="1032"/>
      <c r="M3" s="1032"/>
      <c r="N3" s="1032"/>
      <c r="O3" s="1032"/>
      <c r="P3" s="1032"/>
      <c r="Q3" s="1032"/>
      <c r="R3" s="1032"/>
      <c r="S3" s="1032"/>
      <c r="T3" s="1032"/>
      <c r="U3" s="1032"/>
      <c r="V3" s="1032"/>
      <c r="W3" s="1032"/>
      <c r="X3" s="1032"/>
      <c r="Y3" s="1032"/>
      <c r="Z3" s="1032"/>
      <c r="AA3" s="1032"/>
      <c r="AB3" s="1032"/>
      <c r="AC3" s="1032"/>
      <c r="AD3" s="1032"/>
      <c r="AE3" s="1033"/>
      <c r="AF3" s="208"/>
      <c r="AG3" s="209" t="s">
        <v>174</v>
      </c>
      <c r="AH3" s="207" t="s">
        <v>175</v>
      </c>
      <c r="AI3" s="207"/>
      <c r="AJ3" s="62"/>
      <c r="AK3" s="62"/>
      <c r="AL3" s="62"/>
    </row>
    <row r="4" spans="1:56" s="213" customFormat="1" ht="60" customHeight="1" x14ac:dyDescent="0.2">
      <c r="A4" s="1034" t="s">
        <v>0</v>
      </c>
      <c r="B4" s="1035"/>
      <c r="C4" s="1035"/>
      <c r="D4" s="211"/>
      <c r="E4" s="1036">
        <f>Granulometría!E4</f>
        <v>0</v>
      </c>
      <c r="F4" s="1036"/>
      <c r="G4" s="1036"/>
      <c r="H4" s="1036"/>
      <c r="I4" s="1036"/>
      <c r="J4" s="1036"/>
      <c r="K4" s="1036"/>
      <c r="L4" s="1036"/>
      <c r="M4" s="1036"/>
      <c r="N4" s="1036"/>
      <c r="O4" s="1036"/>
      <c r="P4" s="1036"/>
      <c r="Q4" s="1036"/>
      <c r="R4" s="1036"/>
      <c r="S4" s="1036"/>
      <c r="T4" s="1036"/>
      <c r="U4" s="1036"/>
      <c r="V4" s="1036"/>
      <c r="W4" s="1036"/>
      <c r="X4" s="1036"/>
      <c r="Y4" s="1036"/>
      <c r="Z4" s="1036"/>
      <c r="AA4" s="1036"/>
      <c r="AB4" s="1036"/>
      <c r="AC4" s="1036"/>
      <c r="AD4" s="1036"/>
      <c r="AE4" s="1037"/>
      <c r="AF4" s="212"/>
      <c r="AH4" s="214"/>
      <c r="AI4" s="58"/>
    </row>
    <row r="5" spans="1:56" s="213" customFormat="1" ht="18.75" customHeight="1" x14ac:dyDescent="0.2">
      <c r="A5" s="1452" t="s">
        <v>7</v>
      </c>
      <c r="B5" s="1453"/>
      <c r="C5" s="1453"/>
      <c r="D5" s="1453"/>
      <c r="E5" s="1048">
        <f>Granulometría!E5</f>
        <v>0</v>
      </c>
      <c r="F5" s="1048"/>
      <c r="G5" s="1048"/>
      <c r="H5" s="1048"/>
      <c r="I5" s="1048"/>
      <c r="J5" s="1048"/>
      <c r="K5" s="1048"/>
      <c r="L5" s="1048"/>
      <c r="M5" s="1048"/>
      <c r="N5" s="1048"/>
      <c r="O5" s="1048"/>
      <c r="P5" s="1048"/>
      <c r="Q5" s="1048"/>
      <c r="R5" s="1048"/>
      <c r="S5" s="1048"/>
      <c r="T5" s="1048"/>
      <c r="U5" s="1048"/>
      <c r="V5" s="1048"/>
      <c r="W5" s="1048"/>
      <c r="X5" s="1048"/>
      <c r="Y5" s="1048"/>
      <c r="Z5" s="1048"/>
      <c r="AA5" s="1048"/>
      <c r="AB5" s="1048"/>
      <c r="AC5" s="1048"/>
      <c r="AD5" s="1048"/>
      <c r="AE5" s="1049"/>
      <c r="AF5" s="212"/>
      <c r="AI5" s="58"/>
    </row>
    <row r="6" spans="1:56" s="213" customFormat="1" ht="12.2" customHeight="1" x14ac:dyDescent="0.2">
      <c r="A6" s="661" t="s">
        <v>82</v>
      </c>
      <c r="B6" s="662"/>
      <c r="C6" s="662"/>
      <c r="D6" s="663"/>
      <c r="E6" s="1050" t="s">
        <v>8</v>
      </c>
      <c r="F6" s="1051"/>
      <c r="G6" s="1051"/>
      <c r="H6" s="1051"/>
      <c r="I6" s="1051"/>
      <c r="J6" s="1051"/>
      <c r="K6" s="1051"/>
      <c r="L6" s="1054">
        <f>Granulometría!M6</f>
        <v>0</v>
      </c>
      <c r="M6" s="1054"/>
      <c r="N6" s="1054"/>
      <c r="O6" s="1054"/>
      <c r="P6" s="1054"/>
      <c r="Q6" s="1054"/>
      <c r="R6" s="1054"/>
      <c r="S6" s="1054"/>
      <c r="T6" s="1054"/>
      <c r="U6" s="1054"/>
      <c r="V6" s="1054"/>
      <c r="W6" s="1054"/>
      <c r="X6" s="1054"/>
      <c r="Y6" s="1055" t="s">
        <v>83</v>
      </c>
      <c r="Z6" s="1055"/>
      <c r="AA6" s="1055"/>
      <c r="AB6" s="1056"/>
      <c r="AC6" s="1057"/>
      <c r="AD6" s="1057"/>
      <c r="AE6" s="1058"/>
      <c r="AF6" s="215"/>
      <c r="AH6" s="61"/>
      <c r="AI6" s="61"/>
    </row>
    <row r="7" spans="1:56" s="213" customFormat="1" ht="13.7" customHeight="1" x14ac:dyDescent="0.2">
      <c r="A7" s="1059"/>
      <c r="B7" s="1060"/>
      <c r="C7" s="1060"/>
      <c r="D7" s="1061"/>
      <c r="E7" s="1052"/>
      <c r="F7" s="1053"/>
      <c r="G7" s="1053"/>
      <c r="H7" s="1053"/>
      <c r="I7" s="1053"/>
      <c r="J7" s="1053"/>
      <c r="K7" s="1053"/>
      <c r="L7" s="1036"/>
      <c r="M7" s="1036"/>
      <c r="N7" s="1036"/>
      <c r="O7" s="1036"/>
      <c r="P7" s="1036"/>
      <c r="Q7" s="1036"/>
      <c r="R7" s="1036"/>
      <c r="S7" s="1036"/>
      <c r="T7" s="1036"/>
      <c r="U7" s="1036"/>
      <c r="V7" s="1036"/>
      <c r="W7" s="1036"/>
      <c r="X7" s="1036"/>
      <c r="Y7" s="1055" t="s">
        <v>84</v>
      </c>
      <c r="Z7" s="1055"/>
      <c r="AA7" s="1055"/>
      <c r="AB7" s="1056"/>
      <c r="AC7" s="1057"/>
      <c r="AD7" s="1057"/>
      <c r="AE7" s="1058"/>
      <c r="AF7" s="216"/>
      <c r="AH7" s="62"/>
      <c r="AI7" s="62"/>
    </row>
    <row r="8" spans="1:56" s="213" customFormat="1" ht="24.75" customHeight="1" x14ac:dyDescent="0.2">
      <c r="A8" s="1038" t="s">
        <v>9</v>
      </c>
      <c r="B8" s="1039"/>
      <c r="C8" s="1039"/>
      <c r="D8" s="1039"/>
      <c r="E8" s="1040"/>
      <c r="F8" s="1040"/>
      <c r="G8" s="1040"/>
      <c r="H8" s="1041"/>
      <c r="I8" s="1042" t="s">
        <v>10</v>
      </c>
      <c r="J8" s="1043"/>
      <c r="K8" s="1043"/>
      <c r="L8" s="1043"/>
      <c r="M8" s="1043"/>
      <c r="N8" s="1043"/>
      <c r="O8" s="1043"/>
      <c r="P8" s="1043"/>
      <c r="Q8" s="1043"/>
      <c r="R8" s="1044"/>
      <c r="S8" s="1045" t="s">
        <v>11</v>
      </c>
      <c r="T8" s="1046"/>
      <c r="U8" s="1046"/>
      <c r="V8" s="1043" t="str">
        <f>Granulometría!V8</f>
        <v>ING MICHELLE ZELAYA</v>
      </c>
      <c r="W8" s="1043"/>
      <c r="X8" s="1043"/>
      <c r="Y8" s="1043"/>
      <c r="Z8" s="1043"/>
      <c r="AA8" s="1043"/>
      <c r="AB8" s="1043"/>
      <c r="AC8" s="1043"/>
      <c r="AD8" s="1043"/>
      <c r="AE8" s="1047"/>
      <c r="AF8" s="217"/>
      <c r="AH8" s="62"/>
      <c r="AI8" s="62"/>
    </row>
    <row r="9" spans="1:56" ht="7.5" customHeight="1" x14ac:dyDescent="0.25">
      <c r="A9" s="218"/>
      <c r="B9" s="410"/>
      <c r="C9" s="410"/>
      <c r="D9" s="410"/>
      <c r="E9" s="410"/>
      <c r="F9" s="410"/>
      <c r="G9" s="410"/>
      <c r="H9" s="411"/>
      <c r="I9" s="411"/>
      <c r="J9" s="411"/>
      <c r="K9" s="411"/>
      <c r="L9" s="411"/>
      <c r="M9" s="411"/>
      <c r="N9" s="411"/>
      <c r="O9" s="412"/>
      <c r="P9" s="412"/>
      <c r="Q9" s="412"/>
      <c r="R9" s="412"/>
      <c r="S9" s="412"/>
      <c r="T9" s="412"/>
      <c r="U9" s="412"/>
      <c r="V9" s="412"/>
      <c r="W9" s="412"/>
      <c r="X9" s="412"/>
      <c r="Y9" s="412"/>
      <c r="Z9" s="412"/>
      <c r="AA9" s="412"/>
      <c r="AB9" s="412"/>
      <c r="AC9" s="412"/>
      <c r="AD9" s="412"/>
      <c r="AE9" s="219"/>
    </row>
    <row r="10" spans="1:56" s="223" customFormat="1" ht="16.5" customHeight="1" x14ac:dyDescent="0.25">
      <c r="A10" s="1023" t="s">
        <v>176</v>
      </c>
      <c r="B10" s="1024"/>
      <c r="C10" s="1025" t="s">
        <v>177</v>
      </c>
      <c r="D10" s="1025"/>
      <c r="E10" s="1025"/>
      <c r="F10" s="1024" t="s">
        <v>178</v>
      </c>
      <c r="G10" s="1024"/>
      <c r="H10" s="1024"/>
      <c r="I10" s="220" t="s">
        <v>17</v>
      </c>
      <c r="J10" s="1026" t="s">
        <v>179</v>
      </c>
      <c r="K10" s="1026"/>
      <c r="L10" s="1026"/>
      <c r="M10" s="1019" t="s">
        <v>180</v>
      </c>
      <c r="N10" s="1019"/>
      <c r="O10" s="1027" t="s">
        <v>181</v>
      </c>
      <c r="P10" s="1027"/>
      <c r="Q10" s="1027"/>
      <c r="R10" s="1019" t="s">
        <v>182</v>
      </c>
      <c r="S10" s="1019"/>
      <c r="T10" s="1019"/>
      <c r="U10" s="1020" t="s">
        <v>183</v>
      </c>
      <c r="V10" s="1020"/>
      <c r="W10" s="1020"/>
      <c r="X10" s="221">
        <v>5</v>
      </c>
      <c r="Y10" s="1021" t="s">
        <v>184</v>
      </c>
      <c r="Z10" s="1021"/>
      <c r="AA10" s="1021"/>
      <c r="AB10" s="1021"/>
      <c r="AC10" s="1021"/>
      <c r="AD10" s="1021"/>
      <c r="AE10" s="222">
        <v>25</v>
      </c>
      <c r="AH10" s="207"/>
      <c r="AI10" s="207"/>
      <c r="AJ10" s="62"/>
      <c r="AK10" s="62"/>
      <c r="AL10" s="62"/>
    </row>
    <row r="11" spans="1:56" ht="5.25" customHeight="1" x14ac:dyDescent="0.25">
      <c r="A11" s="218"/>
      <c r="B11" s="410"/>
      <c r="C11" s="410"/>
      <c r="D11" s="410"/>
      <c r="E11" s="410"/>
      <c r="F11" s="410"/>
      <c r="G11" s="410"/>
      <c r="H11" s="411"/>
      <c r="I11" s="411"/>
      <c r="J11" s="411"/>
      <c r="K11" s="411"/>
      <c r="L11" s="411"/>
      <c r="M11" s="411"/>
      <c r="N11" s="411"/>
      <c r="O11" s="412"/>
      <c r="P11" s="412"/>
      <c r="Q11" s="412"/>
      <c r="R11" s="412"/>
      <c r="S11" s="412"/>
      <c r="T11" s="412"/>
      <c r="U11" s="412"/>
      <c r="V11" s="412"/>
      <c r="W11" s="412"/>
      <c r="X11" s="412"/>
      <c r="Y11" s="412"/>
      <c r="Z11" s="412"/>
      <c r="AA11" s="412"/>
      <c r="AB11" s="412"/>
      <c r="AC11" s="412"/>
      <c r="AD11" s="412"/>
      <c r="AE11" s="219"/>
    </row>
    <row r="12" spans="1:56" ht="16.5" customHeight="1" x14ac:dyDescent="0.25">
      <c r="A12" s="224"/>
      <c r="B12" s="225" t="s">
        <v>185</v>
      </c>
      <c r="C12" s="226"/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7"/>
      <c r="O12" s="1022">
        <v>0</v>
      </c>
      <c r="P12" s="1022">
        <v>0</v>
      </c>
      <c r="Q12" s="1022">
        <v>0</v>
      </c>
      <c r="R12" s="1022">
        <v>0</v>
      </c>
      <c r="S12" s="1022">
        <f>O12+0.02</f>
        <v>0.02</v>
      </c>
      <c r="T12" s="1022">
        <v>0</v>
      </c>
      <c r="U12" s="1022">
        <v>0</v>
      </c>
      <c r="V12" s="1022">
        <v>0</v>
      </c>
      <c r="W12" s="1022">
        <f>S12+0.02</f>
        <v>0.04</v>
      </c>
      <c r="X12" s="1022">
        <v>0</v>
      </c>
      <c r="Y12" s="1022">
        <v>0</v>
      </c>
      <c r="Z12" s="1022">
        <v>0</v>
      </c>
      <c r="AA12" s="1022">
        <f>W12+0.02</f>
        <v>0.06</v>
      </c>
      <c r="AB12" s="1022"/>
      <c r="AC12" s="1022"/>
      <c r="AD12" s="1022"/>
      <c r="AE12" s="228"/>
      <c r="AF12" s="229"/>
      <c r="AG12" s="229"/>
      <c r="AH12" s="230"/>
      <c r="AJ12" s="231"/>
      <c r="AK12" s="231"/>
      <c r="AL12" s="1014"/>
      <c r="AM12" s="1014"/>
      <c r="AN12" s="1014"/>
      <c r="AO12" s="1014"/>
      <c r="AP12" s="1014"/>
      <c r="AQ12" s="1014"/>
      <c r="AR12" s="1014"/>
      <c r="AS12" s="1014"/>
      <c r="AT12" s="1014"/>
    </row>
    <row r="13" spans="1:56" ht="16.5" customHeight="1" x14ac:dyDescent="0.25">
      <c r="A13" s="224"/>
      <c r="B13" s="937" t="s">
        <v>186</v>
      </c>
      <c r="C13" s="1015"/>
      <c r="D13" s="1015"/>
      <c r="E13" s="1015"/>
      <c r="F13" s="1015"/>
      <c r="G13" s="1015"/>
      <c r="H13" s="1015"/>
      <c r="I13" s="1015"/>
      <c r="J13" s="1015"/>
      <c r="K13" s="1015"/>
      <c r="L13" s="1015"/>
      <c r="M13" s="232"/>
      <c r="N13" s="233" t="s">
        <v>187</v>
      </c>
      <c r="O13" s="1016"/>
      <c r="P13" s="1017"/>
      <c r="Q13" s="1017"/>
      <c r="R13" s="1018"/>
      <c r="S13" s="1016"/>
      <c r="T13" s="1017"/>
      <c r="U13" s="1017"/>
      <c r="V13" s="1018"/>
      <c r="W13" s="1016"/>
      <c r="X13" s="1017"/>
      <c r="Y13" s="1017"/>
      <c r="Z13" s="1018"/>
      <c r="AA13" s="1016"/>
      <c r="AB13" s="1017"/>
      <c r="AC13" s="1017"/>
      <c r="AD13" s="1018"/>
      <c r="AE13" s="413"/>
      <c r="AF13" s="408">
        <v>5857.56</v>
      </c>
      <c r="AG13" s="408">
        <v>5830.47</v>
      </c>
      <c r="AH13" s="409">
        <v>5803.38</v>
      </c>
      <c r="AJ13" s="231"/>
      <c r="AK13" s="231"/>
      <c r="AL13" s="1012"/>
      <c r="AM13" s="1013"/>
      <c r="AN13" s="1013"/>
      <c r="AO13" s="1012"/>
      <c r="AP13" s="1013"/>
      <c r="AQ13" s="1013"/>
      <c r="AR13" s="1012"/>
      <c r="AS13" s="1013"/>
      <c r="AT13" s="1013"/>
    </row>
    <row r="14" spans="1:56" ht="16.5" customHeight="1" x14ac:dyDescent="0.25">
      <c r="A14" s="224"/>
      <c r="B14" s="978" t="s">
        <v>188</v>
      </c>
      <c r="C14" s="979"/>
      <c r="D14" s="979"/>
      <c r="E14" s="979"/>
      <c r="F14" s="979"/>
      <c r="G14" s="979"/>
      <c r="H14" s="979"/>
      <c r="I14" s="979"/>
      <c r="J14" s="979"/>
      <c r="K14" s="979"/>
      <c r="L14" s="979"/>
      <c r="M14" s="234"/>
      <c r="N14" s="235" t="s">
        <v>187</v>
      </c>
      <c r="O14" s="1011"/>
      <c r="P14" s="1011"/>
      <c r="Q14" s="1011"/>
      <c r="R14" s="1011"/>
      <c r="S14" s="1011"/>
      <c r="T14" s="1011"/>
      <c r="U14" s="1011"/>
      <c r="V14" s="1011"/>
      <c r="W14" s="1011"/>
      <c r="X14" s="1011"/>
      <c r="Y14" s="1011"/>
      <c r="Z14" s="1011"/>
      <c r="AA14" s="1011"/>
      <c r="AB14" s="1011"/>
      <c r="AC14" s="1011"/>
      <c r="AD14" s="1011"/>
      <c r="AE14" s="236"/>
      <c r="AF14" s="237"/>
      <c r="AG14" s="237"/>
      <c r="AJ14" s="231"/>
      <c r="AK14" s="231"/>
      <c r="AL14" s="1013"/>
      <c r="AM14" s="1013"/>
      <c r="AN14" s="1013"/>
      <c r="AO14" s="1013"/>
      <c r="AP14" s="1013"/>
      <c r="AQ14" s="1013"/>
      <c r="AR14" s="1013"/>
      <c r="AS14" s="1013"/>
      <c r="AT14" s="1013"/>
    </row>
    <row r="15" spans="1:56" ht="16.5" customHeight="1" x14ac:dyDescent="0.25">
      <c r="A15" s="224"/>
      <c r="B15" s="978" t="s">
        <v>189</v>
      </c>
      <c r="C15" s="979"/>
      <c r="D15" s="979"/>
      <c r="E15" s="979"/>
      <c r="F15" s="979"/>
      <c r="G15" s="979"/>
      <c r="H15" s="979"/>
      <c r="I15" s="979"/>
      <c r="J15" s="979"/>
      <c r="K15" s="979"/>
      <c r="L15" s="979"/>
      <c r="M15" s="234"/>
      <c r="N15" s="235" t="s">
        <v>187</v>
      </c>
      <c r="O15" s="1010">
        <f t="shared" ref="O15:Z15" si="0">(O13-O14)</f>
        <v>0</v>
      </c>
      <c r="P15" s="1010">
        <f t="shared" si="0"/>
        <v>0</v>
      </c>
      <c r="Q15" s="1010">
        <f t="shared" si="0"/>
        <v>0</v>
      </c>
      <c r="R15" s="1010">
        <f t="shared" si="0"/>
        <v>0</v>
      </c>
      <c r="S15" s="1010">
        <f t="shared" si="0"/>
        <v>0</v>
      </c>
      <c r="T15" s="1010">
        <f t="shared" si="0"/>
        <v>0</v>
      </c>
      <c r="U15" s="1010">
        <f t="shared" si="0"/>
        <v>0</v>
      </c>
      <c r="V15" s="1010">
        <f t="shared" si="0"/>
        <v>0</v>
      </c>
      <c r="W15" s="1010">
        <f t="shared" si="0"/>
        <v>0</v>
      </c>
      <c r="X15" s="1010">
        <f t="shared" si="0"/>
        <v>0</v>
      </c>
      <c r="Y15" s="1010">
        <f t="shared" si="0"/>
        <v>0</v>
      </c>
      <c r="Z15" s="1010">
        <f t="shared" si="0"/>
        <v>0</v>
      </c>
      <c r="AA15" s="1010">
        <f t="shared" ref="AA15:AD15" si="1">(AA13-AA14)</f>
        <v>0</v>
      </c>
      <c r="AB15" s="1010">
        <f t="shared" si="1"/>
        <v>0</v>
      </c>
      <c r="AC15" s="1010">
        <f t="shared" si="1"/>
        <v>0</v>
      </c>
      <c r="AD15" s="1010">
        <f t="shared" si="1"/>
        <v>0</v>
      </c>
      <c r="AE15" s="238"/>
      <c r="AF15" s="239"/>
      <c r="AG15" s="239"/>
      <c r="AJ15" s="240"/>
      <c r="AK15" s="240"/>
      <c r="AL15" s="241"/>
      <c r="AM15" s="241"/>
      <c r="AN15" s="241"/>
      <c r="AO15" s="241"/>
      <c r="AP15" s="241"/>
      <c r="AQ15" s="242"/>
      <c r="AR15" s="239"/>
      <c r="AS15" s="239"/>
      <c r="AT15" s="239"/>
    </row>
    <row r="16" spans="1:56" ht="16.5" customHeight="1" x14ac:dyDescent="0.25">
      <c r="A16" s="224"/>
      <c r="B16" s="978" t="s">
        <v>190</v>
      </c>
      <c r="C16" s="979"/>
      <c r="D16" s="979"/>
      <c r="E16" s="979"/>
      <c r="F16" s="979"/>
      <c r="G16" s="979"/>
      <c r="H16" s="979"/>
      <c r="I16" s="979"/>
      <c r="J16" s="979"/>
      <c r="K16" s="979"/>
      <c r="L16" s="979"/>
      <c r="M16" s="234"/>
      <c r="N16" s="235" t="s">
        <v>191</v>
      </c>
      <c r="O16" s="1011"/>
      <c r="P16" s="1011"/>
      <c r="Q16" s="1011"/>
      <c r="R16" s="1011"/>
      <c r="S16" s="1011"/>
      <c r="T16" s="1011"/>
      <c r="U16" s="1011"/>
      <c r="V16" s="1011"/>
      <c r="W16" s="1011"/>
      <c r="X16" s="1011"/>
      <c r="Y16" s="1011"/>
      <c r="Z16" s="1011"/>
      <c r="AA16" s="1011"/>
      <c r="AB16" s="1011"/>
      <c r="AC16" s="1011"/>
      <c r="AD16" s="1011"/>
      <c r="AE16" s="238"/>
      <c r="AF16" s="239"/>
      <c r="AG16" s="239"/>
      <c r="AJ16" s="240"/>
      <c r="AK16" s="240"/>
      <c r="AL16" s="1007" t="s">
        <v>192</v>
      </c>
      <c r="AM16" s="1007"/>
      <c r="AN16" s="1007"/>
      <c r="AO16" s="1007"/>
      <c r="AP16" s="1007"/>
      <c r="AQ16" s="1007"/>
      <c r="AR16" s="1007"/>
      <c r="AS16" s="1007"/>
      <c r="AT16" s="1007"/>
      <c r="AU16" s="1007"/>
      <c r="AV16" s="1007"/>
      <c r="AW16" s="1007"/>
      <c r="AX16" s="1007"/>
      <c r="AY16" s="1007"/>
      <c r="AZ16" s="1007"/>
      <c r="BA16" s="1007"/>
      <c r="BB16" s="1007"/>
      <c r="BC16" s="1007"/>
      <c r="BD16" s="1007"/>
    </row>
    <row r="17" spans="1:68" ht="16.5" customHeight="1" x14ac:dyDescent="0.25">
      <c r="A17" s="224"/>
      <c r="B17" s="978" t="s">
        <v>193</v>
      </c>
      <c r="C17" s="979"/>
      <c r="D17" s="979"/>
      <c r="E17" s="979"/>
      <c r="F17" s="979"/>
      <c r="G17" s="979"/>
      <c r="H17" s="979"/>
      <c r="I17" s="979"/>
      <c r="J17" s="979"/>
      <c r="K17" s="979"/>
      <c r="L17" s="234"/>
      <c r="M17" s="234"/>
      <c r="N17" s="235" t="s">
        <v>194</v>
      </c>
      <c r="O17" s="1008" t="e">
        <f t="shared" ref="O17:Z17" si="2">O15/O16</f>
        <v>#DIV/0!</v>
      </c>
      <c r="P17" s="1008" t="e">
        <f t="shared" si="2"/>
        <v>#DIV/0!</v>
      </c>
      <c r="Q17" s="1008" t="e">
        <f t="shared" si="2"/>
        <v>#DIV/0!</v>
      </c>
      <c r="R17" s="1008" t="e">
        <f t="shared" si="2"/>
        <v>#DIV/0!</v>
      </c>
      <c r="S17" s="1008" t="e">
        <f t="shared" si="2"/>
        <v>#DIV/0!</v>
      </c>
      <c r="T17" s="1008" t="e">
        <f t="shared" si="2"/>
        <v>#DIV/0!</v>
      </c>
      <c r="U17" s="1008" t="e">
        <f t="shared" si="2"/>
        <v>#DIV/0!</v>
      </c>
      <c r="V17" s="1008" t="e">
        <f t="shared" si="2"/>
        <v>#DIV/0!</v>
      </c>
      <c r="W17" s="1008" t="e">
        <f t="shared" si="2"/>
        <v>#DIV/0!</v>
      </c>
      <c r="X17" s="1008" t="e">
        <f t="shared" si="2"/>
        <v>#DIV/0!</v>
      </c>
      <c r="Y17" s="1008" t="e">
        <f t="shared" si="2"/>
        <v>#DIV/0!</v>
      </c>
      <c r="Z17" s="1008" t="e">
        <f t="shared" si="2"/>
        <v>#DIV/0!</v>
      </c>
      <c r="AA17" s="1008" t="e">
        <f t="shared" ref="AA17:AD17" si="3">AA15/AA16</f>
        <v>#DIV/0!</v>
      </c>
      <c r="AB17" s="1008" t="e">
        <f t="shared" si="3"/>
        <v>#DIV/0!</v>
      </c>
      <c r="AC17" s="1008" t="e">
        <f t="shared" si="3"/>
        <v>#DIV/0!</v>
      </c>
      <c r="AD17" s="1008" t="e">
        <f t="shared" si="3"/>
        <v>#DIV/0!</v>
      </c>
      <c r="AE17" s="238"/>
      <c r="AF17" s="239"/>
      <c r="AG17" s="239"/>
      <c r="AJ17" s="240"/>
      <c r="AK17" s="240"/>
      <c r="AL17" s="1009">
        <v>0.13200000000000001</v>
      </c>
      <c r="AM17" s="1009"/>
      <c r="AN17" s="1009"/>
      <c r="AO17" s="1009"/>
      <c r="AP17" s="1009"/>
      <c r="AQ17" s="1009"/>
      <c r="AR17" s="1009"/>
      <c r="AS17" s="1009"/>
      <c r="AT17" s="1009"/>
      <c r="AU17" s="1009"/>
      <c r="AV17" s="1009"/>
      <c r="AW17" s="1009"/>
      <c r="AX17" s="1009"/>
      <c r="AY17" s="1009"/>
      <c r="AZ17" s="1009"/>
      <c r="BA17" s="1009"/>
      <c r="BB17" s="1009"/>
      <c r="BC17" s="1009"/>
      <c r="BD17" s="1009"/>
    </row>
    <row r="18" spans="1:68" ht="16.5" customHeight="1" x14ac:dyDescent="0.25">
      <c r="A18" s="224"/>
      <c r="B18" s="975" t="s">
        <v>195</v>
      </c>
      <c r="C18" s="976"/>
      <c r="D18" s="976"/>
      <c r="E18" s="976"/>
      <c r="F18" s="976"/>
      <c r="G18" s="976"/>
      <c r="H18" s="976"/>
      <c r="I18" s="976"/>
      <c r="J18" s="976"/>
      <c r="K18" s="976"/>
      <c r="L18" s="243"/>
      <c r="M18" s="243"/>
      <c r="N18" s="244" t="s">
        <v>194</v>
      </c>
      <c r="O18" s="1005" t="e">
        <f>O17/(1+O26)*1000</f>
        <v>#DIV/0!</v>
      </c>
      <c r="P18" s="1005" t="e">
        <f>P17/(1+P25)</f>
        <v>#DIV/0!</v>
      </c>
      <c r="Q18" s="1005" t="e">
        <f>Q17/(1+Q25)</f>
        <v>#DIV/0!</v>
      </c>
      <c r="R18" s="1005" t="e">
        <f>R17/(1+R25)</f>
        <v>#DIV/0!</v>
      </c>
      <c r="S18" s="1005" t="e">
        <f>S17/(1+S26)*1000</f>
        <v>#DIV/0!</v>
      </c>
      <c r="T18" s="1005" t="e">
        <f>T17/(1+T25)</f>
        <v>#DIV/0!</v>
      </c>
      <c r="U18" s="1005" t="e">
        <f>U17/(1+U25)</f>
        <v>#DIV/0!</v>
      </c>
      <c r="V18" s="1005" t="e">
        <f>V17/(1+V25)</f>
        <v>#DIV/0!</v>
      </c>
      <c r="W18" s="1005" t="e">
        <f>W17/(1+W26)*1000</f>
        <v>#DIV/0!</v>
      </c>
      <c r="X18" s="1005" t="e">
        <f>X17/(1+X25)</f>
        <v>#DIV/0!</v>
      </c>
      <c r="Y18" s="1005" t="e">
        <f>Y17/(1+Y25)</f>
        <v>#DIV/0!</v>
      </c>
      <c r="Z18" s="1005" t="e">
        <f>Z17/(1+Z25)</f>
        <v>#DIV/0!</v>
      </c>
      <c r="AA18" s="1005" t="e">
        <f>AA17/(1+AA26)*1000</f>
        <v>#DIV/0!</v>
      </c>
      <c r="AB18" s="1005" t="e">
        <f>AB17/(1+AB25)</f>
        <v>#DIV/0!</v>
      </c>
      <c r="AC18" s="1005" t="e">
        <f>AC17/(1+AC25)</f>
        <v>#DIV/0!</v>
      </c>
      <c r="AD18" s="1005" t="e">
        <f>AD17/(1+AD25)</f>
        <v>#DIV/0!</v>
      </c>
      <c r="AE18" s="238"/>
      <c r="AF18" s="239"/>
      <c r="AG18" s="239"/>
      <c r="AJ18" s="240"/>
      <c r="AK18" s="240"/>
      <c r="AL18" s="1006" t="s">
        <v>196</v>
      </c>
      <c r="AM18" s="1006"/>
      <c r="AN18" s="1006"/>
      <c r="AO18" s="1006"/>
      <c r="AP18" s="1006"/>
      <c r="AQ18" s="1006"/>
      <c r="AR18" s="1006"/>
      <c r="AS18" s="1006"/>
      <c r="AT18" s="1006"/>
      <c r="AU18" s="1006"/>
      <c r="AV18" s="1006"/>
      <c r="AW18" s="1006"/>
      <c r="AX18" s="1006"/>
      <c r="AY18" s="1006"/>
      <c r="AZ18" s="1006"/>
      <c r="BA18" s="1006"/>
      <c r="BB18" s="1006"/>
      <c r="BC18" s="1006"/>
      <c r="BD18" s="1006"/>
    </row>
    <row r="19" spans="1:68" ht="5.25" customHeight="1" x14ac:dyDescent="0.25">
      <c r="A19" s="224"/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5"/>
      <c r="O19" s="416"/>
      <c r="P19" s="416"/>
      <c r="Q19" s="416"/>
      <c r="R19" s="417"/>
      <c r="S19" s="417"/>
      <c r="T19" s="417"/>
      <c r="U19" s="417"/>
      <c r="V19" s="418"/>
      <c r="W19" s="418"/>
      <c r="X19" s="418"/>
      <c r="Y19" s="419"/>
      <c r="Z19" s="419"/>
      <c r="AA19" s="419"/>
      <c r="AB19" s="419"/>
      <c r="AC19" s="419"/>
      <c r="AD19" s="420"/>
      <c r="AE19" s="238"/>
      <c r="AF19" s="239"/>
      <c r="AG19" s="239"/>
      <c r="AJ19" s="240"/>
      <c r="AK19" s="240"/>
      <c r="AL19" s="990">
        <v>1874</v>
      </c>
      <c r="AM19" s="991"/>
      <c r="AN19" s="991"/>
      <c r="AO19" s="991"/>
      <c r="AP19" s="991"/>
      <c r="AQ19" s="991"/>
      <c r="AR19" s="991"/>
      <c r="AS19" s="991"/>
      <c r="AT19" s="991"/>
      <c r="AU19" s="991"/>
      <c r="AV19" s="991"/>
      <c r="AW19" s="991"/>
      <c r="AX19" s="991"/>
      <c r="AY19" s="991"/>
      <c r="AZ19" s="994" t="s">
        <v>55</v>
      </c>
      <c r="BA19" s="994"/>
      <c r="BB19" s="994"/>
      <c r="BC19" s="994"/>
      <c r="BD19" s="995"/>
    </row>
    <row r="20" spans="1:68" ht="16.5" customHeight="1" x14ac:dyDescent="0.25">
      <c r="A20" s="224"/>
      <c r="B20" s="998" t="s">
        <v>197</v>
      </c>
      <c r="C20" s="999"/>
      <c r="D20" s="999"/>
      <c r="E20" s="999"/>
      <c r="F20" s="999"/>
      <c r="G20" s="999"/>
      <c r="H20" s="999"/>
      <c r="I20" s="999"/>
      <c r="J20" s="999"/>
      <c r="K20" s="999"/>
      <c r="L20" s="999"/>
      <c r="M20" s="245"/>
      <c r="N20" s="245"/>
      <c r="O20" s="1000"/>
      <c r="P20" s="1000"/>
      <c r="Q20" s="1000"/>
      <c r="R20" s="1000"/>
      <c r="S20" s="1001"/>
      <c r="T20" s="1002"/>
      <c r="U20" s="1002"/>
      <c r="V20" s="1003"/>
      <c r="W20" s="1001"/>
      <c r="X20" s="1002"/>
      <c r="Y20" s="1002"/>
      <c r="Z20" s="1003"/>
      <c r="AA20" s="1001"/>
      <c r="AB20" s="1002"/>
      <c r="AC20" s="1002"/>
      <c r="AD20" s="1004"/>
      <c r="AE20" s="238"/>
      <c r="AF20" s="239"/>
      <c r="AG20" s="239"/>
      <c r="AJ20" s="246"/>
      <c r="AK20" s="246"/>
      <c r="AL20" s="992"/>
      <c r="AM20" s="993"/>
      <c r="AN20" s="993"/>
      <c r="AO20" s="993"/>
      <c r="AP20" s="993"/>
      <c r="AQ20" s="993"/>
      <c r="AR20" s="993"/>
      <c r="AS20" s="993"/>
      <c r="AT20" s="993"/>
      <c r="AU20" s="993"/>
      <c r="AV20" s="993"/>
      <c r="AW20" s="993"/>
      <c r="AX20" s="993"/>
      <c r="AY20" s="993"/>
      <c r="AZ20" s="996"/>
      <c r="BA20" s="996"/>
      <c r="BB20" s="996"/>
      <c r="BC20" s="996"/>
      <c r="BD20" s="997"/>
    </row>
    <row r="21" spans="1:68" ht="16.5" customHeight="1" x14ac:dyDescent="0.25">
      <c r="A21" s="224"/>
      <c r="B21" s="937" t="s">
        <v>198</v>
      </c>
      <c r="C21" s="938"/>
      <c r="D21" s="938"/>
      <c r="E21" s="938"/>
      <c r="F21" s="938"/>
      <c r="G21" s="938"/>
      <c r="H21" s="938"/>
      <c r="I21" s="938"/>
      <c r="J21" s="938"/>
      <c r="K21" s="938"/>
      <c r="L21" s="938"/>
      <c r="M21" s="232"/>
      <c r="N21" s="233" t="s">
        <v>187</v>
      </c>
      <c r="O21" s="939"/>
      <c r="P21" s="939"/>
      <c r="Q21" s="939"/>
      <c r="R21" s="939"/>
      <c r="S21" s="939"/>
      <c r="T21" s="939"/>
      <c r="U21" s="939"/>
      <c r="V21" s="939"/>
      <c r="W21" s="940"/>
      <c r="X21" s="941"/>
      <c r="Y21" s="941"/>
      <c r="Z21" s="942"/>
      <c r="AA21" s="940"/>
      <c r="AB21" s="941"/>
      <c r="AC21" s="941"/>
      <c r="AD21" s="942"/>
      <c r="AE21" s="228"/>
      <c r="AF21" s="229"/>
      <c r="AG21" s="229"/>
      <c r="AJ21" s="231"/>
      <c r="AK21" s="231"/>
      <c r="AL21" s="989" t="s">
        <v>199</v>
      </c>
      <c r="AM21" s="989"/>
      <c r="AN21" s="989"/>
      <c r="AO21" s="989"/>
      <c r="AP21" s="989"/>
      <c r="AQ21" s="989"/>
      <c r="AR21" s="989"/>
      <c r="AS21" s="989"/>
      <c r="AT21" s="989"/>
      <c r="AU21" s="989"/>
      <c r="AV21" s="989"/>
      <c r="AW21" s="989"/>
      <c r="AX21" s="989"/>
      <c r="AY21" s="989"/>
      <c r="AZ21" s="989"/>
      <c r="BA21" s="989"/>
      <c r="BB21" s="989"/>
      <c r="BC21" s="989"/>
      <c r="BD21" s="989"/>
    </row>
    <row r="22" spans="1:68" ht="16.5" customHeight="1" x14ac:dyDescent="0.25">
      <c r="A22" s="224"/>
      <c r="B22" s="978" t="s">
        <v>200</v>
      </c>
      <c r="C22" s="979"/>
      <c r="D22" s="979"/>
      <c r="E22" s="979"/>
      <c r="F22" s="979"/>
      <c r="G22" s="979"/>
      <c r="H22" s="979"/>
      <c r="I22" s="979"/>
      <c r="J22" s="979"/>
      <c r="K22" s="979"/>
      <c r="L22" s="979"/>
      <c r="M22" s="234"/>
      <c r="N22" s="235" t="s">
        <v>187</v>
      </c>
      <c r="O22" s="980"/>
      <c r="P22" s="980"/>
      <c r="Q22" s="980"/>
      <c r="R22" s="980"/>
      <c r="S22" s="980"/>
      <c r="T22" s="980"/>
      <c r="U22" s="980"/>
      <c r="V22" s="980"/>
      <c r="W22" s="984"/>
      <c r="X22" s="985"/>
      <c r="Y22" s="985"/>
      <c r="Z22" s="986"/>
      <c r="AA22" s="984"/>
      <c r="AB22" s="985"/>
      <c r="AC22" s="985"/>
      <c r="AD22" s="986"/>
      <c r="AE22" s="228"/>
      <c r="AF22" s="229"/>
      <c r="AG22" s="229"/>
      <c r="AJ22" s="231"/>
      <c r="AK22" s="231"/>
      <c r="AL22" s="987">
        <v>2121</v>
      </c>
      <c r="AM22" s="988"/>
      <c r="AN22" s="988"/>
      <c r="AO22" s="988"/>
      <c r="AP22" s="988"/>
      <c r="AQ22" s="988"/>
      <c r="AR22" s="988"/>
      <c r="AS22" s="988"/>
      <c r="AT22" s="988"/>
      <c r="AU22" s="988"/>
      <c r="AV22" s="988"/>
      <c r="AW22" s="988"/>
      <c r="AX22" s="988"/>
      <c r="AY22" s="988"/>
      <c r="AZ22" s="982" t="s">
        <v>55</v>
      </c>
      <c r="BA22" s="982"/>
      <c r="BB22" s="982"/>
      <c r="BC22" s="982"/>
      <c r="BD22" s="983"/>
    </row>
    <row r="23" spans="1:68" ht="16.5" customHeight="1" x14ac:dyDescent="0.25">
      <c r="A23" s="224"/>
      <c r="B23" s="978" t="s">
        <v>201</v>
      </c>
      <c r="C23" s="979"/>
      <c r="D23" s="979"/>
      <c r="E23" s="979"/>
      <c r="F23" s="979"/>
      <c r="G23" s="979"/>
      <c r="H23" s="979"/>
      <c r="I23" s="979"/>
      <c r="J23" s="979"/>
      <c r="K23" s="979"/>
      <c r="L23" s="979"/>
      <c r="M23" s="234"/>
      <c r="N23" s="235" t="s">
        <v>187</v>
      </c>
      <c r="O23" s="981">
        <f>O21-O22</f>
        <v>0</v>
      </c>
      <c r="P23" s="981"/>
      <c r="Q23" s="981"/>
      <c r="R23" s="981"/>
      <c r="S23" s="981">
        <f>S21-S22</f>
        <v>0</v>
      </c>
      <c r="T23" s="981"/>
      <c r="U23" s="981"/>
      <c r="V23" s="981"/>
      <c r="W23" s="981">
        <f>W21-W22</f>
        <v>0</v>
      </c>
      <c r="X23" s="981"/>
      <c r="Y23" s="981"/>
      <c r="Z23" s="981"/>
      <c r="AA23" s="981">
        <f>AA21-AA22</f>
        <v>0</v>
      </c>
      <c r="AB23" s="981"/>
      <c r="AC23" s="981"/>
      <c r="AD23" s="981"/>
      <c r="AE23" s="247"/>
      <c r="AF23" s="248"/>
      <c r="AG23" s="248"/>
      <c r="AJ23" s="231"/>
      <c r="AK23" s="231"/>
      <c r="AL23" s="249"/>
      <c r="AM23" s="248"/>
      <c r="AN23" s="248"/>
      <c r="AO23" s="249"/>
      <c r="AP23" s="248"/>
      <c r="AQ23" s="248"/>
      <c r="AR23" s="249"/>
      <c r="AS23" s="248"/>
      <c r="AT23" s="248"/>
      <c r="AZ23" s="250"/>
      <c r="BA23" s="250"/>
      <c r="BB23" s="250"/>
      <c r="BC23" s="250"/>
      <c r="BD23" s="250"/>
    </row>
    <row r="24" spans="1:68" ht="16.5" customHeight="1" x14ac:dyDescent="0.25">
      <c r="A24" s="224"/>
      <c r="B24" s="978" t="s">
        <v>202</v>
      </c>
      <c r="C24" s="979"/>
      <c r="D24" s="979"/>
      <c r="E24" s="979"/>
      <c r="F24" s="979"/>
      <c r="G24" s="979"/>
      <c r="H24" s="979"/>
      <c r="I24" s="979"/>
      <c r="J24" s="979"/>
      <c r="K24" s="979"/>
      <c r="L24" s="979"/>
      <c r="M24" s="234"/>
      <c r="N24" s="235" t="s">
        <v>187</v>
      </c>
      <c r="O24" s="980"/>
      <c r="P24" s="980"/>
      <c r="Q24" s="980"/>
      <c r="R24" s="980"/>
      <c r="S24" s="980"/>
      <c r="T24" s="980"/>
      <c r="U24" s="980"/>
      <c r="V24" s="980"/>
      <c r="W24" s="980"/>
      <c r="X24" s="980"/>
      <c r="Y24" s="980"/>
      <c r="Z24" s="980"/>
      <c r="AA24" s="980"/>
      <c r="AB24" s="980"/>
      <c r="AC24" s="980"/>
      <c r="AD24" s="980"/>
      <c r="AE24" s="247"/>
      <c r="AF24" s="248"/>
      <c r="AG24" s="248"/>
      <c r="AH24" s="251"/>
      <c r="AJ24" s="231"/>
      <c r="AK24" s="231"/>
      <c r="AL24" s="248"/>
      <c r="AM24" s="248"/>
      <c r="AN24" s="248"/>
      <c r="AO24" s="248"/>
      <c r="AP24" s="248"/>
      <c r="AQ24" s="248"/>
      <c r="AR24" s="248"/>
      <c r="AS24" s="248"/>
      <c r="AT24" s="248"/>
    </row>
    <row r="25" spans="1:68" ht="16.5" customHeight="1" x14ac:dyDescent="0.25">
      <c r="A25" s="224"/>
      <c r="B25" s="978" t="s">
        <v>203</v>
      </c>
      <c r="C25" s="979"/>
      <c r="D25" s="979"/>
      <c r="E25" s="979"/>
      <c r="F25" s="979"/>
      <c r="G25" s="979"/>
      <c r="H25" s="979"/>
      <c r="I25" s="979"/>
      <c r="J25" s="979"/>
      <c r="K25" s="979"/>
      <c r="L25" s="979"/>
      <c r="M25" s="234"/>
      <c r="N25" s="235" t="s">
        <v>187</v>
      </c>
      <c r="O25" s="981">
        <f>O22-O24</f>
        <v>0</v>
      </c>
      <c r="P25" s="981"/>
      <c r="Q25" s="981"/>
      <c r="R25" s="981"/>
      <c r="S25" s="981">
        <f>S22-S24</f>
        <v>0</v>
      </c>
      <c r="T25" s="981"/>
      <c r="U25" s="981"/>
      <c r="V25" s="981"/>
      <c r="W25" s="981">
        <f>W22-W24</f>
        <v>0</v>
      </c>
      <c r="X25" s="981"/>
      <c r="Y25" s="981"/>
      <c r="Z25" s="981"/>
      <c r="AA25" s="981">
        <f>AA22-AA24</f>
        <v>0</v>
      </c>
      <c r="AB25" s="981"/>
      <c r="AC25" s="981"/>
      <c r="AD25" s="981"/>
      <c r="AE25" s="252"/>
      <c r="AF25" s="253"/>
      <c r="AG25" s="253"/>
      <c r="AJ25" s="231"/>
      <c r="AK25" s="231"/>
      <c r="AL25" s="974"/>
      <c r="AM25" s="974"/>
      <c r="AN25" s="974"/>
      <c r="AO25" s="974"/>
      <c r="AP25" s="974"/>
      <c r="AQ25" s="974"/>
      <c r="AR25" s="974"/>
      <c r="AS25" s="974"/>
      <c r="AT25" s="974"/>
    </row>
    <row r="26" spans="1:68" ht="16.5" customHeight="1" x14ac:dyDescent="0.25">
      <c r="A26" s="224"/>
      <c r="B26" s="975" t="s">
        <v>204</v>
      </c>
      <c r="C26" s="976"/>
      <c r="D26" s="976"/>
      <c r="E26" s="976"/>
      <c r="F26" s="976"/>
      <c r="G26" s="976"/>
      <c r="H26" s="976"/>
      <c r="I26" s="976"/>
      <c r="J26" s="976"/>
      <c r="K26" s="976"/>
      <c r="L26" s="976"/>
      <c r="M26" s="243"/>
      <c r="N26" s="243"/>
      <c r="O26" s="977" t="e">
        <f>O23/O25</f>
        <v>#DIV/0!</v>
      </c>
      <c r="P26" s="977"/>
      <c r="Q26" s="977"/>
      <c r="R26" s="977"/>
      <c r="S26" s="977" t="e">
        <f>S23/S25</f>
        <v>#DIV/0!</v>
      </c>
      <c r="T26" s="977"/>
      <c r="U26" s="977"/>
      <c r="V26" s="977"/>
      <c r="W26" s="977" t="e">
        <f>W23/W25</f>
        <v>#DIV/0!</v>
      </c>
      <c r="X26" s="977"/>
      <c r="Y26" s="977"/>
      <c r="Z26" s="977"/>
      <c r="AA26" s="977" t="e">
        <f>AA23/AA25</f>
        <v>#DIV/0!</v>
      </c>
      <c r="AB26" s="977"/>
      <c r="AC26" s="977"/>
      <c r="AD26" s="977"/>
      <c r="AE26" s="252"/>
      <c r="AF26" s="253"/>
      <c r="AG26" s="253"/>
      <c r="AJ26" s="254"/>
      <c r="AK26" s="254"/>
      <c r="AL26" s="974"/>
      <c r="AM26" s="974"/>
      <c r="AN26" s="974"/>
      <c r="AO26" s="974"/>
      <c r="AP26" s="974"/>
      <c r="AQ26" s="974"/>
      <c r="AR26" s="974"/>
      <c r="AS26" s="974"/>
      <c r="AT26" s="974"/>
    </row>
    <row r="27" spans="1:68" ht="2.25" customHeight="1" x14ac:dyDescent="0.25">
      <c r="A27" s="255"/>
      <c r="B27" s="421"/>
      <c r="C27" s="421"/>
      <c r="D27" s="422"/>
      <c r="E27" s="422"/>
      <c r="F27" s="422"/>
      <c r="G27" s="422"/>
      <c r="H27" s="423"/>
      <c r="I27" s="423"/>
      <c r="J27" s="423"/>
      <c r="K27" s="423"/>
      <c r="L27" s="424"/>
      <c r="M27" s="424"/>
      <c r="N27" s="424"/>
      <c r="O27" s="424"/>
      <c r="P27" s="425"/>
      <c r="Q27" s="425"/>
      <c r="R27" s="425"/>
      <c r="S27" s="425"/>
      <c r="T27" s="426"/>
      <c r="U27" s="426"/>
      <c r="V27" s="426"/>
      <c r="W27" s="426"/>
      <c r="X27" s="427"/>
      <c r="Y27" s="427"/>
      <c r="Z27" s="427"/>
      <c r="AA27" s="427"/>
      <c r="AB27" s="427"/>
      <c r="AC27" s="427"/>
      <c r="AD27" s="427"/>
      <c r="AE27" s="256"/>
      <c r="AF27" s="257"/>
      <c r="AG27" s="257"/>
      <c r="AJ27" s="254"/>
      <c r="AK27" s="254"/>
      <c r="AL27" s="254"/>
      <c r="AM27" s="240"/>
    </row>
    <row r="28" spans="1:68" ht="11.25" customHeight="1" x14ac:dyDescent="0.25">
      <c r="A28" s="258"/>
      <c r="B28" s="428"/>
      <c r="C28" s="428"/>
      <c r="D28" s="428"/>
      <c r="E28" s="428"/>
      <c r="F28" s="428"/>
      <c r="G28" s="428"/>
      <c r="H28" s="428"/>
      <c r="I28" s="428"/>
      <c r="J28" s="428"/>
      <c r="K28" s="428"/>
      <c r="L28" s="428"/>
      <c r="M28" s="428"/>
      <c r="N28" s="428"/>
      <c r="O28" s="428"/>
      <c r="P28" s="428"/>
      <c r="Q28" s="428"/>
      <c r="R28" s="428"/>
      <c r="S28" s="428"/>
      <c r="T28" s="428"/>
      <c r="U28" s="428"/>
      <c r="V28" s="428"/>
      <c r="W28" s="428"/>
      <c r="X28" s="934" t="s">
        <v>192</v>
      </c>
      <c r="Y28" s="935"/>
      <c r="Z28" s="935"/>
      <c r="AA28" s="935"/>
      <c r="AB28" s="935"/>
      <c r="AC28" s="935"/>
      <c r="AD28" s="936"/>
      <c r="AE28" s="259"/>
      <c r="AF28" s="260"/>
      <c r="AG28" s="260"/>
      <c r="AJ28" s="260"/>
      <c r="AK28" s="260"/>
      <c r="AL28" s="260"/>
      <c r="AM28" s="260"/>
      <c r="AN28" s="260"/>
      <c r="AO28" s="260"/>
      <c r="AP28" s="260"/>
      <c r="AQ28" s="260"/>
      <c r="AR28" s="260"/>
      <c r="AS28" s="261"/>
      <c r="AT28" s="262"/>
      <c r="AU28" s="262"/>
      <c r="AV28" s="262"/>
      <c r="AW28" s="961"/>
      <c r="AX28" s="961"/>
      <c r="AY28" s="961"/>
      <c r="AZ28" s="961"/>
      <c r="BA28" s="961"/>
      <c r="BB28" s="961"/>
      <c r="BC28" s="961"/>
      <c r="BD28" s="961"/>
      <c r="BE28" s="262"/>
      <c r="BF28" s="262"/>
      <c r="BG28" s="262"/>
      <c r="BH28" s="961"/>
      <c r="BI28" s="961"/>
      <c r="BJ28" s="961"/>
      <c r="BK28" s="961"/>
      <c r="BL28" s="961"/>
      <c r="BM28" s="961"/>
      <c r="BN28" s="961"/>
      <c r="BO28" s="961"/>
    </row>
    <row r="29" spans="1:68" ht="11.25" customHeight="1" x14ac:dyDescent="0.25">
      <c r="A29" s="224"/>
      <c r="B29" s="429"/>
      <c r="C29" s="429"/>
      <c r="D29" s="429"/>
      <c r="E29" s="429"/>
      <c r="F29" s="429"/>
      <c r="G29" s="429"/>
      <c r="H29" s="429"/>
      <c r="I29" s="429"/>
      <c r="J29" s="429"/>
      <c r="K29" s="429"/>
      <c r="L29" s="429"/>
      <c r="M29" s="429"/>
      <c r="N29" s="429"/>
      <c r="O29" s="429"/>
      <c r="P29" s="429"/>
      <c r="Q29" s="429"/>
      <c r="R29" s="429"/>
      <c r="S29" s="429"/>
      <c r="T29" s="429"/>
      <c r="U29" s="429"/>
      <c r="V29" s="429"/>
      <c r="W29" s="429"/>
      <c r="X29" s="962">
        <f>AI30</f>
        <v>0.224</v>
      </c>
      <c r="Y29" s="963"/>
      <c r="Z29" s="963"/>
      <c r="AA29" s="963"/>
      <c r="AB29" s="963"/>
      <c r="AC29" s="963"/>
      <c r="AD29" s="964"/>
      <c r="AE29" s="228"/>
      <c r="AF29" s="229"/>
      <c r="AG29" s="260"/>
      <c r="AH29" s="263" t="s">
        <v>132</v>
      </c>
      <c r="AI29" s="263" t="s">
        <v>135</v>
      </c>
      <c r="AJ29" s="260"/>
      <c r="AK29" s="260"/>
      <c r="AL29" s="260"/>
      <c r="AM29" s="260"/>
      <c r="AN29" s="260"/>
      <c r="AO29" s="260"/>
      <c r="AP29" s="260"/>
      <c r="AQ29" s="260"/>
      <c r="AR29" s="260"/>
      <c r="AS29" s="261"/>
      <c r="AT29" s="262"/>
      <c r="AU29" s="262"/>
      <c r="AV29" s="262"/>
      <c r="AW29" s="961"/>
      <c r="AX29" s="961"/>
      <c r="AY29" s="961"/>
      <c r="AZ29" s="961"/>
      <c r="BA29" s="961"/>
      <c r="BB29" s="961"/>
      <c r="BC29" s="961"/>
      <c r="BD29" s="961"/>
      <c r="BE29" s="262"/>
      <c r="BF29" s="262"/>
      <c r="BG29" s="262"/>
      <c r="BH29" s="961"/>
      <c r="BI29" s="961"/>
      <c r="BJ29" s="961"/>
      <c r="BK29" s="961"/>
      <c r="BL29" s="961"/>
      <c r="BM29" s="961"/>
      <c r="BN29" s="961"/>
      <c r="BO29" s="961"/>
    </row>
    <row r="30" spans="1:68" ht="11.25" customHeight="1" x14ac:dyDescent="0.25">
      <c r="A30" s="224"/>
      <c r="B30" s="429"/>
      <c r="C30" s="429"/>
      <c r="D30" s="429"/>
      <c r="E30" s="429"/>
      <c r="F30" s="429"/>
      <c r="G30" s="429"/>
      <c r="H30" s="429"/>
      <c r="I30" s="429"/>
      <c r="J30" s="429"/>
      <c r="K30" s="429"/>
      <c r="L30" s="429"/>
      <c r="M30" s="429"/>
      <c r="N30" s="429"/>
      <c r="O30" s="429"/>
      <c r="P30" s="429"/>
      <c r="Q30" s="429"/>
      <c r="R30" s="429"/>
      <c r="S30" s="429"/>
      <c r="T30" s="429"/>
      <c r="U30" s="429"/>
      <c r="V30" s="429"/>
      <c r="W30" s="429"/>
      <c r="X30" s="965" t="s">
        <v>205</v>
      </c>
      <c r="Y30" s="966"/>
      <c r="Z30" s="966"/>
      <c r="AA30" s="966"/>
      <c r="AB30" s="966"/>
      <c r="AC30" s="966"/>
      <c r="AD30" s="967"/>
      <c r="AE30" s="264"/>
      <c r="AF30" s="262"/>
      <c r="AG30" s="260"/>
      <c r="AH30" s="265">
        <v>0</v>
      </c>
      <c r="AI30" s="265">
        <v>0.224</v>
      </c>
      <c r="AJ30" s="260"/>
      <c r="AK30" s="260"/>
      <c r="AL30" s="260"/>
      <c r="AM30" s="260"/>
      <c r="AN30" s="260"/>
      <c r="AO30" s="260"/>
      <c r="AP30" s="260"/>
      <c r="AQ30" s="260"/>
      <c r="AR30" s="260"/>
      <c r="AS30" s="266"/>
      <c r="AT30" s="262"/>
      <c r="AU30" s="262"/>
      <c r="AV30" s="262"/>
      <c r="AW30" s="968"/>
      <c r="AX30" s="968"/>
      <c r="AY30" s="968"/>
      <c r="AZ30" s="968"/>
      <c r="BA30" s="968"/>
      <c r="BB30" s="968"/>
      <c r="BC30" s="968"/>
      <c r="BD30" s="968"/>
      <c r="BE30" s="262"/>
      <c r="BF30" s="262"/>
      <c r="BG30" s="262"/>
      <c r="BH30" s="969"/>
      <c r="BI30" s="969"/>
      <c r="BJ30" s="969"/>
      <c r="BK30" s="969"/>
      <c r="BL30" s="969"/>
      <c r="BM30" s="969"/>
      <c r="BN30" s="969"/>
      <c r="BO30" s="969"/>
    </row>
    <row r="31" spans="1:68" ht="11.25" customHeight="1" x14ac:dyDescent="0.25">
      <c r="A31" s="224"/>
      <c r="B31" s="429"/>
      <c r="C31" s="429"/>
      <c r="D31" s="429"/>
      <c r="E31" s="429"/>
      <c r="F31" s="429"/>
      <c r="G31" s="429"/>
      <c r="H31" s="429"/>
      <c r="I31" s="429"/>
      <c r="J31" s="429"/>
      <c r="K31" s="429"/>
      <c r="L31" s="429"/>
      <c r="M31" s="429"/>
      <c r="N31" s="429"/>
      <c r="O31" s="429"/>
      <c r="P31" s="429"/>
      <c r="Q31" s="429"/>
      <c r="R31" s="429"/>
      <c r="S31" s="429"/>
      <c r="T31" s="429"/>
      <c r="U31" s="429"/>
      <c r="V31" s="429"/>
      <c r="W31" s="429"/>
      <c r="X31" s="970">
        <f>AH31</f>
        <v>1411.3</v>
      </c>
      <c r="Y31" s="971"/>
      <c r="Z31" s="971"/>
      <c r="AA31" s="971"/>
      <c r="AB31" s="972" t="s">
        <v>55</v>
      </c>
      <c r="AC31" s="972"/>
      <c r="AD31" s="973"/>
      <c r="AE31" s="264"/>
      <c r="AF31" s="262"/>
      <c r="AG31" s="260"/>
      <c r="AH31" s="265">
        <v>1411.3</v>
      </c>
      <c r="AI31" s="265">
        <f>AI30</f>
        <v>0.224</v>
      </c>
      <c r="AJ31" s="260"/>
      <c r="AK31" s="260"/>
      <c r="AL31" s="260"/>
      <c r="AM31" s="260"/>
      <c r="AN31" s="260"/>
      <c r="AO31" s="260"/>
      <c r="AP31" s="260"/>
      <c r="AQ31" s="260"/>
      <c r="AR31" s="260"/>
      <c r="AS31" s="266"/>
      <c r="AT31" s="262"/>
      <c r="AU31" s="262"/>
      <c r="AV31" s="262"/>
      <c r="AW31" s="968"/>
      <c r="AX31" s="968"/>
      <c r="AY31" s="968"/>
      <c r="AZ31" s="968"/>
      <c r="BA31" s="968"/>
      <c r="BB31" s="968"/>
      <c r="BC31" s="968"/>
      <c r="BD31" s="968"/>
      <c r="BE31" s="262"/>
      <c r="BF31" s="262"/>
      <c r="BG31" s="262"/>
      <c r="BH31" s="969"/>
      <c r="BI31" s="969"/>
      <c r="BJ31" s="969"/>
      <c r="BK31" s="969"/>
      <c r="BL31" s="969"/>
      <c r="BM31" s="969"/>
      <c r="BN31" s="969"/>
      <c r="BO31" s="969"/>
    </row>
    <row r="32" spans="1:68" s="62" customFormat="1" ht="11.25" customHeight="1" x14ac:dyDescent="0.25">
      <c r="A32" s="267"/>
      <c r="B32" s="430"/>
      <c r="C32" s="430"/>
      <c r="D32" s="430"/>
      <c r="E32" s="430"/>
      <c r="F32" s="430"/>
      <c r="G32" s="430"/>
      <c r="H32" s="430"/>
      <c r="I32" s="430"/>
      <c r="J32" s="430"/>
      <c r="K32" s="430"/>
      <c r="L32" s="430"/>
      <c r="M32" s="430"/>
      <c r="N32" s="430"/>
      <c r="O32" s="430"/>
      <c r="P32" s="430"/>
      <c r="Q32" s="430"/>
      <c r="R32" s="430"/>
      <c r="S32" s="430"/>
      <c r="T32" s="430"/>
      <c r="U32" s="430"/>
      <c r="V32" s="430"/>
      <c r="W32" s="430"/>
      <c r="X32" s="944" t="s">
        <v>199</v>
      </c>
      <c r="Y32" s="924"/>
      <c r="Z32" s="924"/>
      <c r="AA32" s="924"/>
      <c r="AB32" s="924"/>
      <c r="AC32" s="924"/>
      <c r="AD32" s="945"/>
      <c r="AE32" s="268"/>
      <c r="AF32" s="262"/>
      <c r="AG32" s="260"/>
      <c r="AH32" s="265">
        <f>AH31</f>
        <v>1411.3</v>
      </c>
      <c r="AI32" s="207">
        <v>0</v>
      </c>
      <c r="AJ32" s="260"/>
      <c r="AK32" s="260"/>
      <c r="AL32" s="260"/>
      <c r="AM32" s="260"/>
      <c r="AN32" s="260"/>
      <c r="AO32" s="260"/>
      <c r="AP32" s="260"/>
      <c r="AQ32" s="260"/>
      <c r="AR32" s="260"/>
      <c r="AS32" s="266"/>
      <c r="AT32" s="262"/>
      <c r="AU32" s="262"/>
      <c r="AV32" s="262"/>
      <c r="AW32" s="968"/>
      <c r="AX32" s="968"/>
      <c r="AY32" s="968"/>
      <c r="AZ32" s="968"/>
      <c r="BA32" s="968"/>
      <c r="BB32" s="968"/>
      <c r="BC32" s="968"/>
      <c r="BD32" s="968"/>
      <c r="BE32" s="262"/>
      <c r="BF32" s="262"/>
      <c r="BG32" s="262"/>
      <c r="BH32" s="969"/>
      <c r="BI32" s="969"/>
      <c r="BJ32" s="969"/>
      <c r="BK32" s="969"/>
      <c r="BL32" s="969"/>
      <c r="BM32" s="969"/>
      <c r="BN32" s="969"/>
      <c r="BO32" s="969"/>
      <c r="BP32" s="206"/>
    </row>
    <row r="33" spans="1:68" s="62" customFormat="1" ht="11.25" customHeight="1" x14ac:dyDescent="0.25">
      <c r="A33" s="267"/>
      <c r="B33" s="430"/>
      <c r="C33" s="430"/>
      <c r="D33" s="430"/>
      <c r="E33" s="430"/>
      <c r="F33" s="430"/>
      <c r="G33" s="430"/>
      <c r="H33" s="430"/>
      <c r="I33" s="430"/>
      <c r="J33" s="430"/>
      <c r="K33" s="430"/>
      <c r="L33" s="430"/>
      <c r="M33" s="430"/>
      <c r="N33" s="430"/>
      <c r="O33" s="430"/>
      <c r="P33" s="430"/>
      <c r="Q33" s="430"/>
      <c r="R33" s="430"/>
      <c r="S33" s="430"/>
      <c r="T33" s="430"/>
      <c r="U33" s="430"/>
      <c r="V33" s="430"/>
      <c r="W33" s="430"/>
      <c r="X33" s="920">
        <f>X31*(1+X29)</f>
        <v>1727.4312</v>
      </c>
      <c r="Y33" s="921"/>
      <c r="Z33" s="921"/>
      <c r="AA33" s="921"/>
      <c r="AB33" s="922" t="s">
        <v>55</v>
      </c>
      <c r="AC33" s="922"/>
      <c r="AD33" s="923"/>
      <c r="AE33" s="268"/>
      <c r="AF33" s="262"/>
      <c r="AG33" s="260"/>
      <c r="AH33" s="265">
        <f>AH32</f>
        <v>1411.3</v>
      </c>
      <c r="AI33" s="265">
        <f>AI30</f>
        <v>0.224</v>
      </c>
      <c r="AJ33" s="260"/>
      <c r="AK33" s="260"/>
      <c r="AL33" s="260"/>
      <c r="AM33" s="260"/>
      <c r="AN33" s="260"/>
      <c r="AO33" s="260"/>
      <c r="AP33" s="260"/>
      <c r="AQ33" s="260"/>
      <c r="AR33" s="260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  <c r="BJ33" s="206"/>
      <c r="BK33" s="206"/>
      <c r="BL33" s="206"/>
      <c r="BM33" s="206"/>
      <c r="BN33" s="206"/>
      <c r="BO33" s="206"/>
      <c r="BP33" s="206"/>
    </row>
    <row r="34" spans="1:68" s="62" customFormat="1" ht="4.7" customHeight="1" x14ac:dyDescent="0.25">
      <c r="A34" s="267"/>
      <c r="B34" s="430"/>
      <c r="C34" s="430"/>
      <c r="D34" s="430"/>
      <c r="E34" s="430"/>
      <c r="F34" s="430"/>
      <c r="G34" s="430"/>
      <c r="H34" s="430"/>
      <c r="I34" s="430"/>
      <c r="J34" s="430"/>
      <c r="K34" s="430"/>
      <c r="L34" s="430"/>
      <c r="M34" s="430"/>
      <c r="N34" s="430"/>
      <c r="O34" s="430"/>
      <c r="P34" s="430"/>
      <c r="Q34" s="430"/>
      <c r="R34" s="430"/>
      <c r="S34" s="430"/>
      <c r="T34" s="430"/>
      <c r="U34" s="430"/>
      <c r="V34" s="430"/>
      <c r="W34" s="430"/>
      <c r="X34" s="924"/>
      <c r="Y34" s="924"/>
      <c r="Z34" s="924"/>
      <c r="AA34" s="924"/>
      <c r="AB34" s="924"/>
      <c r="AC34" s="924"/>
      <c r="AD34" s="924"/>
      <c r="AE34" s="268"/>
      <c r="AF34" s="262"/>
      <c r="AG34" s="260"/>
      <c r="AH34" s="207"/>
      <c r="AI34" s="207"/>
      <c r="AJ34" s="260"/>
      <c r="AK34" s="260"/>
      <c r="AL34" s="260"/>
      <c r="AM34" s="260"/>
      <c r="AN34" s="260"/>
      <c r="AO34" s="260"/>
      <c r="AP34" s="260"/>
      <c r="AQ34" s="260"/>
      <c r="AR34" s="260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  <c r="BJ34" s="206"/>
      <c r="BK34" s="206"/>
      <c r="BL34" s="206"/>
      <c r="BM34" s="206"/>
      <c r="BN34" s="206"/>
      <c r="BO34" s="206"/>
      <c r="BP34" s="206"/>
    </row>
    <row r="35" spans="1:68" s="62" customFormat="1" ht="11.25" customHeight="1" x14ac:dyDescent="0.25">
      <c r="A35" s="267"/>
      <c r="B35" s="430"/>
      <c r="C35" s="430"/>
      <c r="D35" s="430"/>
      <c r="E35" s="430"/>
      <c r="F35" s="430"/>
      <c r="G35" s="430"/>
      <c r="H35" s="430"/>
      <c r="I35" s="430"/>
      <c r="J35" s="430"/>
      <c r="K35" s="430"/>
      <c r="L35" s="430"/>
      <c r="M35" s="430"/>
      <c r="N35" s="430"/>
      <c r="O35" s="430"/>
      <c r="P35" s="430"/>
      <c r="Q35" s="430"/>
      <c r="R35" s="430"/>
      <c r="S35" s="430"/>
      <c r="T35" s="430"/>
      <c r="U35" s="430"/>
      <c r="V35" s="430"/>
      <c r="W35" s="430"/>
      <c r="X35" s="925" t="s">
        <v>206</v>
      </c>
      <c r="Y35" s="926"/>
      <c r="Z35" s="926"/>
      <c r="AA35" s="926"/>
      <c r="AB35" s="926"/>
      <c r="AC35" s="926"/>
      <c r="AD35" s="927"/>
      <c r="AE35" s="268"/>
      <c r="AF35" s="262"/>
      <c r="AG35" s="260"/>
      <c r="AH35" s="207"/>
      <c r="AI35" s="207"/>
      <c r="AJ35" s="260"/>
      <c r="AK35" s="260"/>
      <c r="AL35" s="260"/>
      <c r="AM35" s="260"/>
      <c r="AN35" s="260"/>
      <c r="AO35" s="260"/>
      <c r="AP35" s="260"/>
      <c r="AQ35" s="260"/>
      <c r="AR35" s="260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  <c r="BJ35" s="206"/>
      <c r="BK35" s="206"/>
      <c r="BL35" s="206"/>
      <c r="BM35" s="206"/>
      <c r="BN35" s="206"/>
      <c r="BO35" s="206"/>
      <c r="BP35" s="206"/>
    </row>
    <row r="36" spans="1:68" s="62" customFormat="1" ht="11.25" customHeight="1" x14ac:dyDescent="0.25">
      <c r="A36" s="267"/>
      <c r="B36" s="430"/>
      <c r="C36" s="430"/>
      <c r="D36" s="430"/>
      <c r="E36" s="430"/>
      <c r="F36" s="430"/>
      <c r="G36" s="430"/>
      <c r="H36" s="430"/>
      <c r="I36" s="430"/>
      <c r="J36" s="430"/>
      <c r="K36" s="430"/>
      <c r="L36" s="430"/>
      <c r="M36" s="430"/>
      <c r="N36" s="430"/>
      <c r="O36" s="430"/>
      <c r="P36" s="430"/>
      <c r="Q36" s="430"/>
      <c r="R36" s="430"/>
      <c r="S36" s="430"/>
      <c r="T36" s="430"/>
      <c r="U36" s="430"/>
      <c r="V36" s="430"/>
      <c r="W36" s="430"/>
      <c r="X36" s="928"/>
      <c r="Y36" s="929"/>
      <c r="Z36" s="929"/>
      <c r="AA36" s="929"/>
      <c r="AB36" s="929"/>
      <c r="AC36" s="929"/>
      <c r="AD36" s="930"/>
      <c r="AE36" s="268"/>
      <c r="AF36" s="262"/>
      <c r="AG36" s="260"/>
      <c r="AH36" s="207"/>
      <c r="AI36" s="207"/>
      <c r="AJ36" s="260"/>
      <c r="AK36" s="260"/>
      <c r="AL36" s="260"/>
      <c r="AM36" s="260"/>
      <c r="AN36" s="260"/>
      <c r="AO36" s="260"/>
      <c r="AP36" s="260"/>
      <c r="AQ36" s="260"/>
      <c r="AR36" s="260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  <c r="BJ36" s="206"/>
      <c r="BK36" s="206"/>
      <c r="BL36" s="206"/>
      <c r="BM36" s="206"/>
      <c r="BN36" s="206"/>
      <c r="BO36" s="206"/>
      <c r="BP36" s="206"/>
    </row>
    <row r="37" spans="1:68" s="62" customFormat="1" ht="11.25" customHeight="1" x14ac:dyDescent="0.25">
      <c r="A37" s="267"/>
      <c r="B37" s="430"/>
      <c r="C37" s="430"/>
      <c r="D37" s="430"/>
      <c r="E37" s="430"/>
      <c r="F37" s="430"/>
      <c r="G37" s="430"/>
      <c r="H37" s="430"/>
      <c r="I37" s="430"/>
      <c r="J37" s="430"/>
      <c r="K37" s="430"/>
      <c r="L37" s="430"/>
      <c r="M37" s="430"/>
      <c r="N37" s="430"/>
      <c r="O37" s="430"/>
      <c r="P37" s="430"/>
      <c r="Q37" s="430"/>
      <c r="R37" s="430"/>
      <c r="S37" s="430"/>
      <c r="T37" s="430"/>
      <c r="U37" s="430"/>
      <c r="V37" s="430"/>
      <c r="W37" s="430"/>
      <c r="X37" s="931" t="s">
        <v>207</v>
      </c>
      <c r="Y37" s="932"/>
      <c r="Z37" s="932"/>
      <c r="AA37" s="932"/>
      <c r="AB37" s="932"/>
      <c r="AC37" s="932"/>
      <c r="AD37" s="933"/>
      <c r="AE37" s="268"/>
      <c r="AF37" s="262"/>
      <c r="AG37" s="260"/>
      <c r="AH37" s="207"/>
      <c r="AI37" s="207"/>
      <c r="AJ37" s="260"/>
      <c r="AK37" s="260"/>
      <c r="AL37" s="260"/>
      <c r="AM37" s="260"/>
      <c r="AN37" s="260"/>
      <c r="AO37" s="260"/>
      <c r="AP37" s="260"/>
      <c r="AQ37" s="260"/>
      <c r="AR37" s="260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  <c r="BJ37" s="206"/>
      <c r="BK37" s="206"/>
      <c r="BL37" s="206"/>
      <c r="BM37" s="206"/>
      <c r="BN37" s="206"/>
      <c r="BO37" s="206"/>
      <c r="BP37" s="206"/>
    </row>
    <row r="38" spans="1:68" s="62" customFormat="1" ht="11.25" customHeight="1" x14ac:dyDescent="0.25">
      <c r="A38" s="267"/>
      <c r="B38" s="430"/>
      <c r="C38" s="430"/>
      <c r="D38" s="430"/>
      <c r="E38" s="430"/>
      <c r="F38" s="430"/>
      <c r="G38" s="430"/>
      <c r="H38" s="430"/>
      <c r="I38" s="430"/>
      <c r="J38" s="430"/>
      <c r="K38" s="430"/>
      <c r="L38" s="430"/>
      <c r="M38" s="430"/>
      <c r="N38" s="430"/>
      <c r="O38" s="430"/>
      <c r="P38" s="430"/>
      <c r="Q38" s="430"/>
      <c r="R38" s="430"/>
      <c r="S38" s="430"/>
      <c r="T38" s="430"/>
      <c r="U38" s="430"/>
      <c r="V38" s="430"/>
      <c r="W38" s="430"/>
      <c r="X38" s="951"/>
      <c r="Y38" s="952"/>
      <c r="Z38" s="952"/>
      <c r="AA38" s="952"/>
      <c r="AB38" s="952"/>
      <c r="AC38" s="952"/>
      <c r="AD38" s="953"/>
      <c r="AE38" s="268"/>
      <c r="AF38" s="262"/>
      <c r="AG38" s="260"/>
      <c r="AH38" s="207"/>
      <c r="AI38" s="207"/>
      <c r="AJ38" s="260"/>
      <c r="AK38" s="260"/>
      <c r="AL38" s="260"/>
      <c r="AM38" s="260"/>
      <c r="AN38" s="260"/>
      <c r="AO38" s="260"/>
      <c r="AP38" s="260"/>
      <c r="AQ38" s="260"/>
      <c r="AR38" s="260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  <c r="BJ38" s="206"/>
      <c r="BK38" s="206"/>
      <c r="BL38" s="206"/>
      <c r="BM38" s="206"/>
      <c r="BN38" s="206"/>
      <c r="BO38" s="206"/>
      <c r="BP38" s="206"/>
    </row>
    <row r="39" spans="1:68" ht="11.25" customHeight="1" x14ac:dyDescent="0.2">
      <c r="A39" s="224"/>
      <c r="B39" s="429"/>
      <c r="C39" s="429"/>
      <c r="D39" s="429"/>
      <c r="E39" s="429"/>
      <c r="F39" s="429"/>
      <c r="G39" s="429"/>
      <c r="H39" s="429"/>
      <c r="I39" s="429"/>
      <c r="J39" s="429"/>
      <c r="K39" s="429"/>
      <c r="L39" s="429"/>
      <c r="M39" s="429"/>
      <c r="N39" s="429"/>
      <c r="O39" s="429"/>
      <c r="P39" s="429"/>
      <c r="Q39" s="429"/>
      <c r="R39" s="429"/>
      <c r="S39" s="429"/>
      <c r="T39" s="429"/>
      <c r="U39" s="429"/>
      <c r="V39" s="429"/>
      <c r="W39" s="429"/>
      <c r="X39" s="931" t="s">
        <v>208</v>
      </c>
      <c r="Y39" s="932"/>
      <c r="Z39" s="932"/>
      <c r="AA39" s="932"/>
      <c r="AB39" s="932"/>
      <c r="AC39" s="932"/>
      <c r="AD39" s="933"/>
      <c r="AE39" s="259"/>
      <c r="AF39" s="260"/>
      <c r="AG39" s="260"/>
      <c r="AH39" s="954" t="s">
        <v>209</v>
      </c>
      <c r="AI39" s="955"/>
      <c r="AJ39" s="956"/>
      <c r="AK39" s="269"/>
      <c r="AL39" s="260"/>
      <c r="AM39" s="260"/>
      <c r="AN39" s="260"/>
      <c r="AO39" s="260"/>
      <c r="AP39" s="260"/>
      <c r="AQ39" s="260"/>
      <c r="AR39" s="260"/>
    </row>
    <row r="40" spans="1:68" s="262" customFormat="1" ht="11.25" customHeight="1" x14ac:dyDescent="0.3">
      <c r="A40" s="270"/>
      <c r="B40" s="427"/>
      <c r="C40" s="427"/>
      <c r="D40" s="427"/>
      <c r="E40" s="427"/>
      <c r="F40" s="427"/>
      <c r="G40" s="427"/>
      <c r="H40" s="427"/>
      <c r="I40" s="427"/>
      <c r="J40" s="427"/>
      <c r="K40" s="427"/>
      <c r="L40" s="427"/>
      <c r="M40" s="427"/>
      <c r="N40" s="427"/>
      <c r="O40" s="427"/>
      <c r="P40" s="427"/>
      <c r="Q40" s="427"/>
      <c r="R40" s="427"/>
      <c r="S40" s="427"/>
      <c r="T40" s="427"/>
      <c r="U40" s="427"/>
      <c r="V40" s="427"/>
      <c r="W40" s="427"/>
      <c r="X40" s="957"/>
      <c r="Y40" s="958"/>
      <c r="Z40" s="958"/>
      <c r="AA40" s="958"/>
      <c r="AB40" s="959" t="s">
        <v>55</v>
      </c>
      <c r="AC40" s="959"/>
      <c r="AD40" s="960"/>
      <c r="AE40" s="259"/>
      <c r="AF40" s="260"/>
      <c r="AG40" s="260"/>
      <c r="AH40" s="271"/>
      <c r="AI40" s="272"/>
      <c r="AJ40" s="273"/>
      <c r="AK40" s="274"/>
      <c r="AL40" s="260"/>
      <c r="AM40" s="260"/>
      <c r="AN40" s="260"/>
      <c r="AO40" s="260"/>
      <c r="AP40" s="260"/>
      <c r="AQ40" s="260"/>
      <c r="AR40" s="260"/>
    </row>
    <row r="41" spans="1:68" s="262" customFormat="1" ht="11.25" customHeight="1" x14ac:dyDescent="0.2">
      <c r="A41" s="270"/>
      <c r="B41" s="427"/>
      <c r="C41" s="427"/>
      <c r="D41" s="427"/>
      <c r="E41" s="427"/>
      <c r="F41" s="427"/>
      <c r="G41" s="427"/>
      <c r="H41" s="427"/>
      <c r="I41" s="427"/>
      <c r="J41" s="427"/>
      <c r="K41" s="427"/>
      <c r="L41" s="427"/>
      <c r="M41" s="427"/>
      <c r="N41" s="427"/>
      <c r="O41" s="427"/>
      <c r="P41" s="427"/>
      <c r="Q41" s="427"/>
      <c r="R41" s="427"/>
      <c r="S41" s="427"/>
      <c r="T41" s="427"/>
      <c r="U41" s="427"/>
      <c r="V41" s="427"/>
      <c r="W41" s="427"/>
      <c r="X41" s="931" t="s">
        <v>210</v>
      </c>
      <c r="Y41" s="932"/>
      <c r="Z41" s="932"/>
      <c r="AA41" s="932"/>
      <c r="AB41" s="932"/>
      <c r="AC41" s="932"/>
      <c r="AD41" s="933"/>
      <c r="AE41" s="259"/>
      <c r="AF41" s="260"/>
      <c r="AG41" s="260"/>
      <c r="AH41" s="275" t="s">
        <v>211</v>
      </c>
      <c r="AI41" s="276">
        <f>X31</f>
        <v>1411.3</v>
      </c>
      <c r="AJ41" s="277" t="s">
        <v>212</v>
      </c>
      <c r="AK41" s="278"/>
      <c r="AL41" s="260"/>
      <c r="AM41" s="260"/>
      <c r="AN41" s="260"/>
      <c r="AO41" s="260"/>
      <c r="AP41" s="260"/>
      <c r="AQ41" s="260"/>
      <c r="AR41" s="260"/>
    </row>
    <row r="42" spans="1:68" s="262" customFormat="1" ht="11.25" customHeight="1" x14ac:dyDescent="0.2">
      <c r="A42" s="270"/>
      <c r="B42" s="427"/>
      <c r="C42" s="427"/>
      <c r="D42" s="427"/>
      <c r="E42" s="427"/>
      <c r="F42" s="427"/>
      <c r="G42" s="427"/>
      <c r="H42" s="427"/>
      <c r="I42" s="427"/>
      <c r="J42" s="427"/>
      <c r="K42" s="427"/>
      <c r="L42" s="427"/>
      <c r="M42" s="427"/>
      <c r="N42" s="427"/>
      <c r="O42" s="427"/>
      <c r="P42" s="427"/>
      <c r="Q42" s="427"/>
      <c r="R42" s="427"/>
      <c r="S42" s="427"/>
      <c r="T42" s="427"/>
      <c r="U42" s="427"/>
      <c r="V42" s="427"/>
      <c r="W42" s="427"/>
      <c r="X42" s="951"/>
      <c r="Y42" s="952"/>
      <c r="Z42" s="952"/>
      <c r="AA42" s="952"/>
      <c r="AB42" s="959" t="s">
        <v>55</v>
      </c>
      <c r="AC42" s="959"/>
      <c r="AD42" s="960"/>
      <c r="AE42" s="279"/>
      <c r="AH42" s="275" t="s">
        <v>213</v>
      </c>
      <c r="AI42" s="280" t="e">
        <f>'GRAV ESP RET 3-4" (2)'!G31</f>
        <v>#DIV/0!</v>
      </c>
      <c r="AJ42" s="281"/>
      <c r="AK42" s="282"/>
      <c r="AL42" s="206"/>
      <c r="AM42" s="206"/>
      <c r="AN42" s="206"/>
      <c r="AO42" s="206"/>
      <c r="AP42" s="206"/>
      <c r="AQ42" s="283"/>
    </row>
    <row r="43" spans="1:68" s="262" customFormat="1" ht="11.25" customHeight="1" x14ac:dyDescent="0.35">
      <c r="A43" s="270"/>
      <c r="B43" s="427"/>
      <c r="C43" s="427"/>
      <c r="D43" s="427"/>
      <c r="E43" s="427"/>
      <c r="F43" s="427"/>
      <c r="G43" s="427"/>
      <c r="H43" s="427"/>
      <c r="I43" s="427"/>
      <c r="J43" s="427"/>
      <c r="K43" s="427"/>
      <c r="L43" s="427"/>
      <c r="M43" s="427"/>
      <c r="N43" s="427"/>
      <c r="O43" s="427"/>
      <c r="P43" s="427"/>
      <c r="Q43" s="427"/>
      <c r="R43" s="427"/>
      <c r="S43" s="427"/>
      <c r="T43" s="427"/>
      <c r="U43" s="427"/>
      <c r="V43" s="427"/>
      <c r="W43" s="427"/>
      <c r="X43" s="944" t="s">
        <v>214</v>
      </c>
      <c r="Y43" s="924"/>
      <c r="Z43" s="924"/>
      <c r="AA43" s="924"/>
      <c r="AB43" s="924"/>
      <c r="AC43" s="924"/>
      <c r="AD43" s="945"/>
      <c r="AE43" s="284"/>
      <c r="AF43" s="285"/>
      <c r="AG43" s="285"/>
      <c r="AH43" s="275" t="s">
        <v>215</v>
      </c>
      <c r="AI43" s="286" t="e">
        <f>Granulometría!O19</f>
        <v>#DIV/0!</v>
      </c>
      <c r="AJ43" s="281"/>
      <c r="AK43" s="282"/>
      <c r="AL43" s="947"/>
      <c r="AM43" s="947"/>
      <c r="AN43" s="206"/>
      <c r="AO43" s="287"/>
      <c r="AP43" s="206"/>
      <c r="AQ43" s="283"/>
    </row>
    <row r="44" spans="1:68" s="262" customFormat="1" ht="11.25" customHeight="1" x14ac:dyDescent="0.35">
      <c r="A44" s="270"/>
      <c r="B44" s="427"/>
      <c r="C44" s="427"/>
      <c r="D44" s="427"/>
      <c r="E44" s="427"/>
      <c r="F44" s="427"/>
      <c r="G44" s="427"/>
      <c r="H44" s="427"/>
      <c r="I44" s="427"/>
      <c r="J44" s="427"/>
      <c r="K44" s="427"/>
      <c r="L44" s="427"/>
      <c r="M44" s="427"/>
      <c r="N44" s="427"/>
      <c r="O44" s="427"/>
      <c r="P44" s="427"/>
      <c r="Q44" s="427"/>
      <c r="R44" s="427"/>
      <c r="S44" s="427"/>
      <c r="T44" s="427"/>
      <c r="U44" s="427"/>
      <c r="V44" s="427"/>
      <c r="W44" s="427"/>
      <c r="X44" s="948"/>
      <c r="Y44" s="949"/>
      <c r="Z44" s="949"/>
      <c r="AA44" s="949"/>
      <c r="AB44" s="949"/>
      <c r="AC44" s="949"/>
      <c r="AD44" s="950"/>
      <c r="AE44" s="284"/>
      <c r="AF44" s="285"/>
      <c r="AG44" s="285"/>
      <c r="AH44" s="275" t="s">
        <v>216</v>
      </c>
      <c r="AI44" s="286" t="e">
        <f>Granulometría!T19</f>
        <v>#DIV/0!</v>
      </c>
      <c r="AJ44" s="281"/>
      <c r="AK44" s="282"/>
      <c r="AL44" s="288"/>
      <c r="AM44" s="289"/>
      <c r="AN44" s="206"/>
      <c r="AO44" s="287"/>
      <c r="AP44" s="206"/>
      <c r="AQ44" s="283"/>
    </row>
    <row r="45" spans="1:68" s="262" customFormat="1" ht="14.25" customHeight="1" x14ac:dyDescent="0.2">
      <c r="A45" s="270"/>
      <c r="B45" s="427"/>
      <c r="C45" s="427"/>
      <c r="D45" s="427"/>
      <c r="E45" s="427"/>
      <c r="F45" s="427"/>
      <c r="G45" s="427"/>
      <c r="H45" s="427"/>
      <c r="I45" s="427"/>
      <c r="J45" s="427"/>
      <c r="K45" s="427"/>
      <c r="L45" s="427"/>
      <c r="M45" s="427"/>
      <c r="N45" s="427"/>
      <c r="O45" s="427"/>
      <c r="P45" s="427"/>
      <c r="Q45" s="427"/>
      <c r="R45" s="427"/>
      <c r="S45" s="427"/>
      <c r="T45" s="427"/>
      <c r="U45" s="427"/>
      <c r="V45" s="427"/>
      <c r="W45" s="427"/>
      <c r="X45" s="924"/>
      <c r="Y45" s="924"/>
      <c r="Z45" s="924"/>
      <c r="AA45" s="924"/>
      <c r="AB45" s="924"/>
      <c r="AC45" s="924"/>
      <c r="AD45" s="924"/>
      <c r="AE45" s="290"/>
      <c r="AF45" s="291"/>
      <c r="AG45" s="291"/>
      <c r="AH45" s="275" t="s">
        <v>217</v>
      </c>
      <c r="AI45" s="504">
        <f>X29</f>
        <v>0.224</v>
      </c>
      <c r="AJ45" s="281"/>
      <c r="AK45" s="282"/>
      <c r="AL45" s="289"/>
      <c r="AM45" s="289"/>
      <c r="AN45" s="206"/>
      <c r="AO45" s="287"/>
      <c r="AP45" s="206"/>
      <c r="AQ45" s="283"/>
    </row>
    <row r="46" spans="1:68" s="262" customFormat="1" ht="11.25" customHeight="1" x14ac:dyDescent="0.2">
      <c r="A46" s="270"/>
      <c r="B46" s="427"/>
      <c r="C46" s="427"/>
      <c r="D46" s="427"/>
      <c r="E46" s="427"/>
      <c r="F46" s="427"/>
      <c r="G46" s="427"/>
      <c r="H46" s="427"/>
      <c r="I46" s="427"/>
      <c r="J46" s="427"/>
      <c r="K46" s="427"/>
      <c r="L46" s="427"/>
      <c r="M46" s="427"/>
      <c r="N46" s="427"/>
      <c r="O46" s="427"/>
      <c r="P46" s="427"/>
      <c r="Q46" s="427"/>
      <c r="R46" s="427"/>
      <c r="S46" s="427"/>
      <c r="T46" s="427"/>
      <c r="U46" s="427"/>
      <c r="V46" s="427"/>
      <c r="W46" s="427"/>
      <c r="X46" s="925" t="s">
        <v>166</v>
      </c>
      <c r="Y46" s="926"/>
      <c r="Z46" s="926"/>
      <c r="AA46" s="926"/>
      <c r="AB46" s="926"/>
      <c r="AC46" s="926"/>
      <c r="AD46" s="927"/>
      <c r="AE46" s="290"/>
      <c r="AF46" s="291"/>
      <c r="AG46" s="291"/>
      <c r="AH46" s="275"/>
      <c r="AI46" s="286"/>
      <c r="AJ46" s="281"/>
      <c r="AK46" s="282"/>
      <c r="AL46" s="289"/>
      <c r="AM46" s="289"/>
      <c r="AN46" s="206"/>
      <c r="AO46" s="287"/>
      <c r="AP46" s="206"/>
      <c r="AQ46" s="283"/>
    </row>
    <row r="47" spans="1:68" s="262" customFormat="1" ht="11.25" customHeight="1" x14ac:dyDescent="0.2">
      <c r="A47" s="270"/>
      <c r="B47" s="427"/>
      <c r="C47" s="427"/>
      <c r="D47" s="427"/>
      <c r="E47" s="427"/>
      <c r="F47" s="427"/>
      <c r="G47" s="427"/>
      <c r="H47" s="427"/>
      <c r="I47" s="427"/>
      <c r="J47" s="427"/>
      <c r="K47" s="427"/>
      <c r="L47" s="427"/>
      <c r="M47" s="427"/>
      <c r="N47" s="427"/>
      <c r="O47" s="427"/>
      <c r="P47" s="427"/>
      <c r="Q47" s="427"/>
      <c r="R47" s="427"/>
      <c r="S47" s="427"/>
      <c r="T47" s="427"/>
      <c r="U47" s="427"/>
      <c r="V47" s="427"/>
      <c r="W47" s="427"/>
      <c r="X47" s="944" t="s">
        <v>173</v>
      </c>
      <c r="Y47" s="924"/>
      <c r="Z47" s="924"/>
      <c r="AA47" s="924" t="str">
        <f>Clasificación!Z45</f>
        <v>A-1-b (IG=0)</v>
      </c>
      <c r="AB47" s="924"/>
      <c r="AC47" s="924"/>
      <c r="AD47" s="945"/>
      <c r="AE47" s="290"/>
      <c r="AF47" s="291"/>
      <c r="AG47" s="291"/>
      <c r="AH47" s="275" t="s">
        <v>218</v>
      </c>
      <c r="AI47" s="293" t="e">
        <f>(100*AI41*1000*AI42)/((AI41*AI43)+(1000*AI42*AI44))</f>
        <v>#DIV/0!</v>
      </c>
      <c r="AJ47" s="281" t="s">
        <v>212</v>
      </c>
      <c r="AK47" s="282"/>
      <c r="AL47" s="289"/>
      <c r="AM47" s="289"/>
      <c r="AN47" s="206"/>
      <c r="AO47" s="287"/>
      <c r="AP47" s="206"/>
      <c r="AQ47" s="283"/>
    </row>
    <row r="48" spans="1:68" s="262" customFormat="1" ht="12.2" customHeight="1" x14ac:dyDescent="0.2">
      <c r="A48" s="270"/>
      <c r="B48" s="427"/>
      <c r="C48" s="427"/>
      <c r="D48" s="427"/>
      <c r="E48" s="427"/>
      <c r="F48" s="427"/>
      <c r="G48" s="427"/>
      <c r="H48" s="427"/>
      <c r="I48" s="427"/>
      <c r="J48" s="427"/>
      <c r="K48" s="427"/>
      <c r="L48" s="427"/>
      <c r="M48" s="427"/>
      <c r="N48" s="427"/>
      <c r="O48" s="427"/>
      <c r="P48" s="427"/>
      <c r="Q48" s="427"/>
      <c r="R48" s="427"/>
      <c r="S48" s="427"/>
      <c r="T48" s="427"/>
      <c r="U48" s="427"/>
      <c r="V48" s="427"/>
      <c r="W48" s="427"/>
      <c r="X48" s="946" t="s">
        <v>169</v>
      </c>
      <c r="Y48" s="922"/>
      <c r="Z48" s="922"/>
      <c r="AA48" s="922" t="str">
        <f>Clasificación!Z38</f>
        <v>( SM )</v>
      </c>
      <c r="AB48" s="922"/>
      <c r="AC48" s="922"/>
      <c r="AD48" s="923"/>
      <c r="AE48" s="290"/>
      <c r="AF48" s="291"/>
      <c r="AG48" s="291"/>
      <c r="AH48" s="275" t="s">
        <v>219</v>
      </c>
      <c r="AI48" s="293" t="e">
        <f>((AI45*AI44)+(2*AI43))/100</f>
        <v>#DIV/0!</v>
      </c>
      <c r="AJ48" s="281"/>
      <c r="AK48" s="282"/>
      <c r="AL48" s="294"/>
      <c r="AM48" s="206"/>
      <c r="AN48" s="206"/>
      <c r="AO48" s="287"/>
      <c r="AP48" s="206"/>
      <c r="AQ48" s="283"/>
    </row>
    <row r="49" spans="1:43" s="262" customFormat="1" ht="24.75" customHeight="1" x14ac:dyDescent="0.2">
      <c r="A49" s="270"/>
      <c r="B49" s="427"/>
      <c r="C49" s="427"/>
      <c r="D49" s="427"/>
      <c r="E49" s="427"/>
      <c r="F49" s="427"/>
      <c r="G49" s="427"/>
      <c r="H49" s="427"/>
      <c r="I49" s="427"/>
      <c r="J49" s="427"/>
      <c r="K49" s="427"/>
      <c r="L49" s="427"/>
      <c r="M49" s="427"/>
      <c r="N49" s="427"/>
      <c r="O49" s="427"/>
      <c r="P49" s="427"/>
      <c r="Q49" s="427"/>
      <c r="R49" s="427"/>
      <c r="S49" s="427"/>
      <c r="T49" s="427"/>
      <c r="U49" s="427"/>
      <c r="V49" s="427"/>
      <c r="W49" s="427"/>
      <c r="X49" s="431"/>
      <c r="Y49" s="431"/>
      <c r="Z49" s="431"/>
      <c r="AA49" s="432"/>
      <c r="AB49" s="432"/>
      <c r="AC49" s="432"/>
      <c r="AD49" s="432"/>
      <c r="AE49" s="290"/>
      <c r="AF49" s="291"/>
      <c r="AG49" s="291"/>
      <c r="AH49" s="295"/>
      <c r="AI49" s="292"/>
      <c r="AJ49" s="296"/>
      <c r="AK49" s="297"/>
      <c r="AL49" s="294"/>
      <c r="AM49" s="206"/>
      <c r="AN49" s="206"/>
      <c r="AO49" s="287"/>
      <c r="AP49" s="206"/>
      <c r="AQ49" s="283"/>
    </row>
    <row r="50" spans="1:43" s="262" customFormat="1" ht="24.75" customHeight="1" x14ac:dyDescent="0.2">
      <c r="A50" s="270"/>
      <c r="B50" s="427"/>
      <c r="C50" s="427"/>
      <c r="D50" s="427"/>
      <c r="E50" s="427"/>
      <c r="F50" s="427"/>
      <c r="G50" s="427"/>
      <c r="H50" s="427"/>
      <c r="I50" s="427"/>
      <c r="J50" s="427"/>
      <c r="K50" s="427"/>
      <c r="L50" s="427"/>
      <c r="M50" s="427"/>
      <c r="N50" s="427"/>
      <c r="O50" s="427"/>
      <c r="P50" s="427"/>
      <c r="Q50" s="427"/>
      <c r="R50" s="427"/>
      <c r="S50" s="427"/>
      <c r="T50" s="427"/>
      <c r="U50" s="427"/>
      <c r="V50" s="427"/>
      <c r="W50" s="427"/>
      <c r="X50" s="431"/>
      <c r="Y50" s="431"/>
      <c r="Z50" s="431"/>
      <c r="AA50" s="432"/>
      <c r="AB50" s="432"/>
      <c r="AC50" s="432"/>
      <c r="AD50" s="432"/>
      <c r="AE50" s="290"/>
      <c r="AF50" s="291"/>
      <c r="AG50" s="291"/>
      <c r="AH50" s="298"/>
      <c r="AI50" s="298"/>
      <c r="AJ50" s="297"/>
      <c r="AK50" s="297"/>
      <c r="AL50" s="294"/>
      <c r="AM50" s="206"/>
      <c r="AN50" s="206"/>
      <c r="AO50" s="287"/>
      <c r="AP50" s="206"/>
      <c r="AQ50" s="283"/>
    </row>
    <row r="51" spans="1:43" s="262" customFormat="1" ht="24.75" customHeight="1" x14ac:dyDescent="0.2">
      <c r="A51" s="270"/>
      <c r="B51" s="427"/>
      <c r="C51" s="427"/>
      <c r="D51" s="427"/>
      <c r="E51" s="427"/>
      <c r="F51" s="427"/>
      <c r="G51" s="427"/>
      <c r="H51" s="427"/>
      <c r="I51" s="427"/>
      <c r="J51" s="427"/>
      <c r="K51" s="427"/>
      <c r="L51" s="427"/>
      <c r="M51" s="427"/>
      <c r="N51" s="427"/>
      <c r="O51" s="427"/>
      <c r="P51" s="427"/>
      <c r="Q51" s="427"/>
      <c r="R51" s="427"/>
      <c r="S51" s="427"/>
      <c r="T51" s="427"/>
      <c r="U51" s="427"/>
      <c r="V51" s="427"/>
      <c r="W51" s="427"/>
      <c r="X51" s="431"/>
      <c r="Y51" s="431"/>
      <c r="Z51" s="431"/>
      <c r="AA51" s="432"/>
      <c r="AB51" s="432"/>
      <c r="AC51" s="432"/>
      <c r="AD51" s="432"/>
      <c r="AE51" s="290"/>
      <c r="AF51" s="291"/>
      <c r="AG51" s="291"/>
      <c r="AH51" s="298"/>
      <c r="AI51" s="298"/>
      <c r="AJ51" s="297"/>
      <c r="AK51" s="297"/>
      <c r="AL51" s="294"/>
      <c r="AM51" s="206"/>
      <c r="AN51" s="206"/>
      <c r="AO51" s="287"/>
      <c r="AP51" s="206"/>
      <c r="AQ51" s="283"/>
    </row>
    <row r="52" spans="1:43" s="262" customFormat="1" ht="13.5" x14ac:dyDescent="0.2">
      <c r="A52" s="299"/>
      <c r="B52" s="433"/>
      <c r="C52" s="433"/>
      <c r="D52" s="433"/>
      <c r="E52" s="433"/>
      <c r="F52" s="433"/>
      <c r="G52" s="433"/>
      <c r="H52" s="433"/>
      <c r="I52" s="433"/>
      <c r="J52" s="433"/>
      <c r="K52" s="433"/>
      <c r="L52" s="433"/>
      <c r="M52" s="433"/>
      <c r="N52" s="433"/>
      <c r="O52" s="433"/>
      <c r="P52" s="433"/>
      <c r="Q52" s="433"/>
      <c r="R52" s="433"/>
      <c r="S52" s="433"/>
      <c r="T52" s="433"/>
      <c r="U52" s="433"/>
      <c r="V52" s="433"/>
      <c r="W52" s="433"/>
      <c r="X52" s="433"/>
      <c r="Y52" s="433"/>
      <c r="Z52" s="433"/>
      <c r="AA52" s="433"/>
      <c r="AB52" s="433"/>
      <c r="AC52" s="433"/>
      <c r="AD52" s="433"/>
      <c r="AE52" s="300"/>
      <c r="AF52" s="58"/>
      <c r="AG52" s="291"/>
      <c r="AH52" s="298"/>
      <c r="AI52" s="298"/>
      <c r="AJ52" s="297"/>
      <c r="AK52" s="297"/>
      <c r="AL52" s="294"/>
      <c r="AM52" s="206"/>
      <c r="AN52" s="206"/>
      <c r="AO52" s="287"/>
      <c r="AP52" s="206"/>
      <c r="AQ52" s="283"/>
    </row>
    <row r="53" spans="1:43" s="262" customFormat="1" ht="11.25" customHeight="1" x14ac:dyDescent="0.25">
      <c r="A53" s="299"/>
      <c r="B53" s="433"/>
      <c r="C53" s="433"/>
      <c r="D53" s="433"/>
      <c r="E53" s="433"/>
      <c r="F53" s="433"/>
      <c r="G53" s="433"/>
      <c r="H53" s="433"/>
      <c r="I53" s="433"/>
      <c r="J53" s="433"/>
      <c r="K53" s="433"/>
      <c r="L53" s="433"/>
      <c r="M53" s="433"/>
      <c r="N53" s="433"/>
      <c r="O53" s="433"/>
      <c r="P53" s="433"/>
      <c r="Q53" s="433"/>
      <c r="R53" s="433"/>
      <c r="S53" s="433"/>
      <c r="T53" s="433"/>
      <c r="U53" s="433"/>
      <c r="V53" s="433"/>
      <c r="W53" s="433"/>
      <c r="X53" s="433"/>
      <c r="Y53" s="433"/>
      <c r="Z53" s="433"/>
      <c r="AA53" s="433"/>
      <c r="AB53" s="433"/>
      <c r="AC53" s="433"/>
      <c r="AD53" s="433"/>
      <c r="AE53" s="300"/>
      <c r="AF53" s="58"/>
      <c r="AG53" s="301"/>
      <c r="AH53" s="207"/>
      <c r="AI53" s="207"/>
      <c r="AJ53" s="206"/>
      <c r="AK53" s="206"/>
      <c r="AL53" s="294"/>
      <c r="AM53" s="206"/>
      <c r="AN53" s="206"/>
      <c r="AO53" s="287"/>
      <c r="AP53" s="206"/>
      <c r="AQ53" s="283"/>
    </row>
    <row r="54" spans="1:43" ht="11.25" customHeight="1" x14ac:dyDescent="0.25">
      <c r="A54" s="505">
        <f>M8</f>
        <v>0</v>
      </c>
      <c r="B54" s="943"/>
      <c r="C54" s="943"/>
      <c r="D54" s="943"/>
      <c r="E54" s="943"/>
      <c r="F54" s="943"/>
      <c r="G54" s="943"/>
      <c r="H54" s="943"/>
      <c r="I54" s="943"/>
      <c r="J54" s="943"/>
      <c r="K54" s="943"/>
      <c r="L54" s="943"/>
      <c r="M54" s="943"/>
      <c r="N54" s="943"/>
      <c r="O54" s="943"/>
      <c r="P54" s="429"/>
      <c r="Q54" s="429"/>
      <c r="R54" s="943" t="str">
        <f>Granulometría!R54</f>
        <v>Ing Fransciso Granados</v>
      </c>
      <c r="S54" s="943"/>
      <c r="T54" s="943"/>
      <c r="U54" s="943"/>
      <c r="V54" s="943"/>
      <c r="W54" s="943"/>
      <c r="X54" s="943"/>
      <c r="Y54" s="943"/>
      <c r="Z54" s="943"/>
      <c r="AA54" s="943"/>
      <c r="AB54" s="943"/>
      <c r="AC54" s="943"/>
      <c r="AD54" s="943"/>
      <c r="AE54" s="507"/>
    </row>
    <row r="55" spans="1:43" ht="14.25" customHeight="1" x14ac:dyDescent="0.25">
      <c r="A55" s="505" t="str">
        <f>Granulometría!A55</f>
        <v>Técnico de Laboratorio de Suelos y Materiales</v>
      </c>
      <c r="B55" s="943"/>
      <c r="C55" s="943"/>
      <c r="D55" s="943"/>
      <c r="E55" s="943"/>
      <c r="F55" s="943"/>
      <c r="G55" s="943"/>
      <c r="H55" s="943"/>
      <c r="I55" s="943"/>
      <c r="J55" s="943"/>
      <c r="K55" s="943"/>
      <c r="L55" s="943"/>
      <c r="M55" s="943"/>
      <c r="N55" s="943"/>
      <c r="O55" s="429"/>
      <c r="P55" s="429"/>
      <c r="Q55" s="429"/>
      <c r="R55" s="943" t="str">
        <f>Granulometría!R55</f>
        <v>Jefe Técnico de Laboratorio de Suelos y Materiales</v>
      </c>
      <c r="S55" s="943"/>
      <c r="T55" s="943"/>
      <c r="U55" s="943"/>
      <c r="V55" s="943"/>
      <c r="W55" s="943"/>
      <c r="X55" s="943"/>
      <c r="Y55" s="943"/>
      <c r="Z55" s="943"/>
      <c r="AA55" s="943"/>
      <c r="AB55" s="943"/>
      <c r="AC55" s="943"/>
      <c r="AD55" s="943"/>
      <c r="AE55" s="507"/>
    </row>
    <row r="56" spans="1:43" ht="14.25" customHeight="1" thickBot="1" x14ac:dyDescent="0.3">
      <c r="A56" s="302" t="s">
        <v>5</v>
      </c>
      <c r="B56" s="303"/>
      <c r="C56" s="303"/>
      <c r="D56" s="303"/>
      <c r="E56" s="303"/>
      <c r="F56" s="303"/>
      <c r="G56" s="303"/>
      <c r="H56" s="303"/>
      <c r="I56" s="303"/>
      <c r="J56" s="303"/>
      <c r="K56" s="303"/>
      <c r="L56" s="303"/>
      <c r="M56" s="303"/>
      <c r="N56" s="303"/>
      <c r="O56" s="303"/>
      <c r="P56" s="303"/>
      <c r="Q56" s="303"/>
      <c r="R56" s="303"/>
      <c r="S56" s="303"/>
      <c r="T56" s="303"/>
      <c r="U56" s="303"/>
      <c r="V56" s="303"/>
      <c r="W56" s="303"/>
      <c r="X56" s="303"/>
      <c r="Y56" s="303"/>
      <c r="Z56" s="303"/>
      <c r="AA56" s="303"/>
      <c r="AB56" s="303"/>
      <c r="AC56" s="303"/>
      <c r="AD56" s="303"/>
      <c r="AE56" s="304"/>
    </row>
  </sheetData>
  <mergeCells count="153">
    <mergeCell ref="J2:AE2"/>
    <mergeCell ref="J3:AE3"/>
    <mergeCell ref="A4:C4"/>
    <mergeCell ref="E4:AE4"/>
    <mergeCell ref="A8:D8"/>
    <mergeCell ref="E8:H8"/>
    <mergeCell ref="I8:L8"/>
    <mergeCell ref="M8:R8"/>
    <mergeCell ref="S8:U8"/>
    <mergeCell ref="V8:AE8"/>
    <mergeCell ref="A5:D5"/>
    <mergeCell ref="E5:AE5"/>
    <mergeCell ref="A6:D6"/>
    <mergeCell ref="E6:K7"/>
    <mergeCell ref="L6:X7"/>
    <mergeCell ref="Y6:AB6"/>
    <mergeCell ref="AC6:AE6"/>
    <mergeCell ref="A7:D7"/>
    <mergeCell ref="Y7:AB7"/>
    <mergeCell ref="AC7:AE7"/>
    <mergeCell ref="A2:I3"/>
    <mergeCell ref="R10:T10"/>
    <mergeCell ref="U10:W10"/>
    <mergeCell ref="Y10:AD10"/>
    <mergeCell ref="O12:R12"/>
    <mergeCell ref="S12:V12"/>
    <mergeCell ref="W12:Z12"/>
    <mergeCell ref="AA12:AD12"/>
    <mergeCell ref="A10:B10"/>
    <mergeCell ref="C10:E10"/>
    <mergeCell ref="F10:H10"/>
    <mergeCell ref="J10:L10"/>
    <mergeCell ref="M10:N10"/>
    <mergeCell ref="O10:Q10"/>
    <mergeCell ref="AO13:AQ14"/>
    <mergeCell ref="AR13:AT14"/>
    <mergeCell ref="B14:L14"/>
    <mergeCell ref="O14:R14"/>
    <mergeCell ref="S14:V14"/>
    <mergeCell ref="W14:Z14"/>
    <mergeCell ref="AA14:AD14"/>
    <mergeCell ref="AL12:AN12"/>
    <mergeCell ref="AO12:AQ12"/>
    <mergeCell ref="AR12:AT12"/>
    <mergeCell ref="B13:L13"/>
    <mergeCell ref="O13:R13"/>
    <mergeCell ref="S13:V13"/>
    <mergeCell ref="W13:Z13"/>
    <mergeCell ref="AA13:AD13"/>
    <mergeCell ref="AL13:AN14"/>
    <mergeCell ref="AL16:BD16"/>
    <mergeCell ref="B17:K17"/>
    <mergeCell ref="O17:R17"/>
    <mergeCell ref="S17:V17"/>
    <mergeCell ref="W17:Z17"/>
    <mergeCell ref="AA17:AD17"/>
    <mergeCell ref="AL17:BD17"/>
    <mergeCell ref="B15:L15"/>
    <mergeCell ref="O15:R15"/>
    <mergeCell ref="S15:V15"/>
    <mergeCell ref="W15:Z15"/>
    <mergeCell ref="AA15:AD15"/>
    <mergeCell ref="B16:L16"/>
    <mergeCell ref="O16:R16"/>
    <mergeCell ref="S16:V16"/>
    <mergeCell ref="W16:Z16"/>
    <mergeCell ref="AA16:AD16"/>
    <mergeCell ref="AL21:BD21"/>
    <mergeCell ref="AL19:AY20"/>
    <mergeCell ref="AZ19:BD20"/>
    <mergeCell ref="B20:L20"/>
    <mergeCell ref="O20:R20"/>
    <mergeCell ref="S20:V20"/>
    <mergeCell ref="W20:Z20"/>
    <mergeCell ref="AA20:AD20"/>
    <mergeCell ref="B18:K18"/>
    <mergeCell ref="O18:R18"/>
    <mergeCell ref="S18:V18"/>
    <mergeCell ref="W18:Z18"/>
    <mergeCell ref="AA18:AD18"/>
    <mergeCell ref="AL18:BD18"/>
    <mergeCell ref="AZ22:BD22"/>
    <mergeCell ref="B23:L23"/>
    <mergeCell ref="O23:R23"/>
    <mergeCell ref="S23:V23"/>
    <mergeCell ref="W23:Z23"/>
    <mergeCell ref="AA23:AD23"/>
    <mergeCell ref="B22:L22"/>
    <mergeCell ref="O22:R22"/>
    <mergeCell ref="S22:V22"/>
    <mergeCell ref="W22:Z22"/>
    <mergeCell ref="AA22:AD22"/>
    <mergeCell ref="AL22:AY22"/>
    <mergeCell ref="AL25:AN26"/>
    <mergeCell ref="AO25:AQ26"/>
    <mergeCell ref="AR25:AT26"/>
    <mergeCell ref="B26:L26"/>
    <mergeCell ref="O26:R26"/>
    <mergeCell ref="S26:V26"/>
    <mergeCell ref="W26:Z26"/>
    <mergeCell ref="AA26:AD26"/>
    <mergeCell ref="B24:L24"/>
    <mergeCell ref="O24:R24"/>
    <mergeCell ref="S24:V24"/>
    <mergeCell ref="W24:Z24"/>
    <mergeCell ref="AA24:AD24"/>
    <mergeCell ref="B25:L25"/>
    <mergeCell ref="O25:R25"/>
    <mergeCell ref="S25:V25"/>
    <mergeCell ref="W25:Z25"/>
    <mergeCell ref="AA25:AD25"/>
    <mergeCell ref="AW28:BD29"/>
    <mergeCell ref="BH28:BO29"/>
    <mergeCell ref="X29:AD29"/>
    <mergeCell ref="X30:AD30"/>
    <mergeCell ref="AW30:BD32"/>
    <mergeCell ref="BH30:BO32"/>
    <mergeCell ref="X31:AA31"/>
    <mergeCell ref="AB31:AD31"/>
    <mergeCell ref="X32:AD32"/>
    <mergeCell ref="AL43:AM43"/>
    <mergeCell ref="X44:AD44"/>
    <mergeCell ref="X45:AD45"/>
    <mergeCell ref="X38:AD38"/>
    <mergeCell ref="X39:AD39"/>
    <mergeCell ref="AH39:AJ39"/>
    <mergeCell ref="X40:AA40"/>
    <mergeCell ref="AB40:AD40"/>
    <mergeCell ref="X41:AD41"/>
    <mergeCell ref="X42:AA42"/>
    <mergeCell ref="AB42:AD42"/>
    <mergeCell ref="X43:AD43"/>
    <mergeCell ref="A55:N55"/>
    <mergeCell ref="R55:AE55"/>
    <mergeCell ref="X46:AD46"/>
    <mergeCell ref="X47:Z47"/>
    <mergeCell ref="AA47:AD47"/>
    <mergeCell ref="X48:Z48"/>
    <mergeCell ref="AA48:AD48"/>
    <mergeCell ref="A54:O54"/>
    <mergeCell ref="R54:AE54"/>
    <mergeCell ref="X33:AA33"/>
    <mergeCell ref="AB33:AD33"/>
    <mergeCell ref="X34:AD34"/>
    <mergeCell ref="X35:AD35"/>
    <mergeCell ref="X36:AD36"/>
    <mergeCell ref="X37:AD37"/>
    <mergeCell ref="X28:AD28"/>
    <mergeCell ref="B21:L21"/>
    <mergeCell ref="O21:R21"/>
    <mergeCell ref="S21:V21"/>
    <mergeCell ref="W21:Z21"/>
    <mergeCell ref="AA21:AD21"/>
  </mergeCells>
  <conditionalFormatting sqref="P27:S27">
    <cfRule type="cellIs" dxfId="7" priority="3" stopIfTrue="1" operator="equal">
      <formula>$R$23</formula>
    </cfRule>
  </conditionalFormatting>
  <conditionalFormatting sqref="R19:U19">
    <cfRule type="cellIs" dxfId="6" priority="1" stopIfTrue="1" operator="equal">
      <formula>#REF!</formula>
    </cfRule>
  </conditionalFormatting>
  <conditionalFormatting sqref="T27:W27">
    <cfRule type="cellIs" dxfId="5" priority="4" stopIfTrue="1" operator="greaterThan">
      <formula>0</formula>
    </cfRule>
  </conditionalFormatting>
  <conditionalFormatting sqref="V19:X19">
    <cfRule type="cellIs" dxfId="4" priority="2" stopIfTrue="1" operator="greaterThan">
      <formula>0</formula>
    </cfRule>
  </conditionalFormatting>
  <printOptions horizontalCentered="1" verticalCentered="1"/>
  <pageMargins left="0.23622047244094491" right="0.23622047244094491" top="0.55118110236220474" bottom="0.55118110236220474" header="0.31496062992125984" footer="0.31496062992125984"/>
  <pageSetup scale="85" orientation="portrait" horizontalDpi="4294967294" r:id="rId1"/>
  <ignoredErrors>
    <ignoredError sqref="S15:AD15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593B6-2AA9-40C3-ABFA-5CFBFE6D3626}">
  <sheetPr transitionEvaluation="1">
    <tabColor rgb="FF7030A0"/>
    <pageSetUpPr fitToPage="1"/>
  </sheetPr>
  <dimension ref="B1:AQ44"/>
  <sheetViews>
    <sheetView showGridLines="0" view="pageBreakPreview" zoomScale="110" zoomScaleNormal="100" zoomScaleSheetLayoutView="100" workbookViewId="0"/>
  </sheetViews>
  <sheetFormatPr baseColWidth="10" defaultColWidth="7.28515625" defaultRowHeight="12.75" x14ac:dyDescent="0.2"/>
  <cols>
    <col min="1" max="1" width="3.85546875" style="358" customWidth="1"/>
    <col min="2" max="2" width="12" style="358" customWidth="1"/>
    <col min="3" max="3" width="11.5703125" style="358" customWidth="1"/>
    <col min="4" max="4" width="15.28515625" style="358" customWidth="1"/>
    <col min="5" max="5" width="8" style="358" customWidth="1"/>
    <col min="6" max="6" width="13.5703125" style="358" customWidth="1"/>
    <col min="7" max="7" width="9.5703125" style="358" customWidth="1"/>
    <col min="8" max="8" width="11" style="358" customWidth="1"/>
    <col min="9" max="9" width="7" style="358" customWidth="1"/>
    <col min="10" max="10" width="3.7109375" style="358" customWidth="1"/>
    <col min="11" max="11" width="5.28515625" style="358" customWidth="1"/>
    <col min="12" max="14" width="7.28515625" style="358"/>
    <col min="15" max="15" width="8.28515625" style="358" bestFit="1" customWidth="1"/>
    <col min="16" max="256" width="7.28515625" style="358"/>
    <col min="257" max="257" width="3.85546875" style="358" customWidth="1"/>
    <col min="258" max="258" width="11" style="358" customWidth="1"/>
    <col min="259" max="259" width="11.5703125" style="358" customWidth="1"/>
    <col min="260" max="260" width="14.28515625" style="358" customWidth="1"/>
    <col min="261" max="261" width="8" style="358" customWidth="1"/>
    <col min="262" max="262" width="13.5703125" style="358" customWidth="1"/>
    <col min="263" max="263" width="9.5703125" style="358" customWidth="1"/>
    <col min="264" max="264" width="11" style="358" customWidth="1"/>
    <col min="265" max="265" width="7" style="358" customWidth="1"/>
    <col min="266" max="266" width="3.7109375" style="358" customWidth="1"/>
    <col min="267" max="267" width="5.28515625" style="358" customWidth="1"/>
    <col min="268" max="512" width="7.28515625" style="358"/>
    <col min="513" max="513" width="3.85546875" style="358" customWidth="1"/>
    <col min="514" max="514" width="11" style="358" customWidth="1"/>
    <col min="515" max="515" width="11.5703125" style="358" customWidth="1"/>
    <col min="516" max="516" width="14.28515625" style="358" customWidth="1"/>
    <col min="517" max="517" width="8" style="358" customWidth="1"/>
    <col min="518" max="518" width="13.5703125" style="358" customWidth="1"/>
    <col min="519" max="519" width="9.5703125" style="358" customWidth="1"/>
    <col min="520" max="520" width="11" style="358" customWidth="1"/>
    <col min="521" max="521" width="7" style="358" customWidth="1"/>
    <col min="522" max="522" width="3.7109375" style="358" customWidth="1"/>
    <col min="523" max="523" width="5.28515625" style="358" customWidth="1"/>
    <col min="524" max="768" width="7.28515625" style="358"/>
    <col min="769" max="769" width="3.85546875" style="358" customWidth="1"/>
    <col min="770" max="770" width="11" style="358" customWidth="1"/>
    <col min="771" max="771" width="11.5703125" style="358" customWidth="1"/>
    <col min="772" max="772" width="14.28515625" style="358" customWidth="1"/>
    <col min="773" max="773" width="8" style="358" customWidth="1"/>
    <col min="774" max="774" width="13.5703125" style="358" customWidth="1"/>
    <col min="775" max="775" width="9.5703125" style="358" customWidth="1"/>
    <col min="776" max="776" width="11" style="358" customWidth="1"/>
    <col min="777" max="777" width="7" style="358" customWidth="1"/>
    <col min="778" max="778" width="3.7109375" style="358" customWidth="1"/>
    <col min="779" max="779" width="5.28515625" style="358" customWidth="1"/>
    <col min="780" max="1024" width="7.28515625" style="358"/>
    <col min="1025" max="1025" width="3.85546875" style="358" customWidth="1"/>
    <col min="1026" max="1026" width="11" style="358" customWidth="1"/>
    <col min="1027" max="1027" width="11.5703125" style="358" customWidth="1"/>
    <col min="1028" max="1028" width="14.28515625" style="358" customWidth="1"/>
    <col min="1029" max="1029" width="8" style="358" customWidth="1"/>
    <col min="1030" max="1030" width="13.5703125" style="358" customWidth="1"/>
    <col min="1031" max="1031" width="9.5703125" style="358" customWidth="1"/>
    <col min="1032" max="1032" width="11" style="358" customWidth="1"/>
    <col min="1033" max="1033" width="7" style="358" customWidth="1"/>
    <col min="1034" max="1034" width="3.7109375" style="358" customWidth="1"/>
    <col min="1035" max="1035" width="5.28515625" style="358" customWidth="1"/>
    <col min="1036" max="1280" width="7.28515625" style="358"/>
    <col min="1281" max="1281" width="3.85546875" style="358" customWidth="1"/>
    <col min="1282" max="1282" width="11" style="358" customWidth="1"/>
    <col min="1283" max="1283" width="11.5703125" style="358" customWidth="1"/>
    <col min="1284" max="1284" width="14.28515625" style="358" customWidth="1"/>
    <col min="1285" max="1285" width="8" style="358" customWidth="1"/>
    <col min="1286" max="1286" width="13.5703125" style="358" customWidth="1"/>
    <col min="1287" max="1287" width="9.5703125" style="358" customWidth="1"/>
    <col min="1288" max="1288" width="11" style="358" customWidth="1"/>
    <col min="1289" max="1289" width="7" style="358" customWidth="1"/>
    <col min="1290" max="1290" width="3.7109375" style="358" customWidth="1"/>
    <col min="1291" max="1291" width="5.28515625" style="358" customWidth="1"/>
    <col min="1292" max="1536" width="7.28515625" style="358"/>
    <col min="1537" max="1537" width="3.85546875" style="358" customWidth="1"/>
    <col min="1538" max="1538" width="11" style="358" customWidth="1"/>
    <col min="1539" max="1539" width="11.5703125" style="358" customWidth="1"/>
    <col min="1540" max="1540" width="14.28515625" style="358" customWidth="1"/>
    <col min="1541" max="1541" width="8" style="358" customWidth="1"/>
    <col min="1542" max="1542" width="13.5703125" style="358" customWidth="1"/>
    <col min="1543" max="1543" width="9.5703125" style="358" customWidth="1"/>
    <col min="1544" max="1544" width="11" style="358" customWidth="1"/>
    <col min="1545" max="1545" width="7" style="358" customWidth="1"/>
    <col min="1546" max="1546" width="3.7109375" style="358" customWidth="1"/>
    <col min="1547" max="1547" width="5.28515625" style="358" customWidth="1"/>
    <col min="1548" max="1792" width="7.28515625" style="358"/>
    <col min="1793" max="1793" width="3.85546875" style="358" customWidth="1"/>
    <col min="1794" max="1794" width="11" style="358" customWidth="1"/>
    <col min="1795" max="1795" width="11.5703125" style="358" customWidth="1"/>
    <col min="1796" max="1796" width="14.28515625" style="358" customWidth="1"/>
    <col min="1797" max="1797" width="8" style="358" customWidth="1"/>
    <col min="1798" max="1798" width="13.5703125" style="358" customWidth="1"/>
    <col min="1799" max="1799" width="9.5703125" style="358" customWidth="1"/>
    <col min="1800" max="1800" width="11" style="358" customWidth="1"/>
    <col min="1801" max="1801" width="7" style="358" customWidth="1"/>
    <col min="1802" max="1802" width="3.7109375" style="358" customWidth="1"/>
    <col min="1803" max="1803" width="5.28515625" style="358" customWidth="1"/>
    <col min="1804" max="2048" width="7.28515625" style="358"/>
    <col min="2049" max="2049" width="3.85546875" style="358" customWidth="1"/>
    <col min="2050" max="2050" width="11" style="358" customWidth="1"/>
    <col min="2051" max="2051" width="11.5703125" style="358" customWidth="1"/>
    <col min="2052" max="2052" width="14.28515625" style="358" customWidth="1"/>
    <col min="2053" max="2053" width="8" style="358" customWidth="1"/>
    <col min="2054" max="2054" width="13.5703125" style="358" customWidth="1"/>
    <col min="2055" max="2055" width="9.5703125" style="358" customWidth="1"/>
    <col min="2056" max="2056" width="11" style="358" customWidth="1"/>
    <col min="2057" max="2057" width="7" style="358" customWidth="1"/>
    <col min="2058" max="2058" width="3.7109375" style="358" customWidth="1"/>
    <col min="2059" max="2059" width="5.28515625" style="358" customWidth="1"/>
    <col min="2060" max="2304" width="7.28515625" style="358"/>
    <col min="2305" max="2305" width="3.85546875" style="358" customWidth="1"/>
    <col min="2306" max="2306" width="11" style="358" customWidth="1"/>
    <col min="2307" max="2307" width="11.5703125" style="358" customWidth="1"/>
    <col min="2308" max="2308" width="14.28515625" style="358" customWidth="1"/>
    <col min="2309" max="2309" width="8" style="358" customWidth="1"/>
    <col min="2310" max="2310" width="13.5703125" style="358" customWidth="1"/>
    <col min="2311" max="2311" width="9.5703125" style="358" customWidth="1"/>
    <col min="2312" max="2312" width="11" style="358" customWidth="1"/>
    <col min="2313" max="2313" width="7" style="358" customWidth="1"/>
    <col min="2314" max="2314" width="3.7109375" style="358" customWidth="1"/>
    <col min="2315" max="2315" width="5.28515625" style="358" customWidth="1"/>
    <col min="2316" max="2560" width="7.28515625" style="358"/>
    <col min="2561" max="2561" width="3.85546875" style="358" customWidth="1"/>
    <col min="2562" max="2562" width="11" style="358" customWidth="1"/>
    <col min="2563" max="2563" width="11.5703125" style="358" customWidth="1"/>
    <col min="2564" max="2564" width="14.28515625" style="358" customWidth="1"/>
    <col min="2565" max="2565" width="8" style="358" customWidth="1"/>
    <col min="2566" max="2566" width="13.5703125" style="358" customWidth="1"/>
    <col min="2567" max="2567" width="9.5703125" style="358" customWidth="1"/>
    <col min="2568" max="2568" width="11" style="358" customWidth="1"/>
    <col min="2569" max="2569" width="7" style="358" customWidth="1"/>
    <col min="2570" max="2570" width="3.7109375" style="358" customWidth="1"/>
    <col min="2571" max="2571" width="5.28515625" style="358" customWidth="1"/>
    <col min="2572" max="2816" width="7.28515625" style="358"/>
    <col min="2817" max="2817" width="3.85546875" style="358" customWidth="1"/>
    <col min="2818" max="2818" width="11" style="358" customWidth="1"/>
    <col min="2819" max="2819" width="11.5703125" style="358" customWidth="1"/>
    <col min="2820" max="2820" width="14.28515625" style="358" customWidth="1"/>
    <col min="2821" max="2821" width="8" style="358" customWidth="1"/>
    <col min="2822" max="2822" width="13.5703125" style="358" customWidth="1"/>
    <col min="2823" max="2823" width="9.5703125" style="358" customWidth="1"/>
    <col min="2824" max="2824" width="11" style="358" customWidth="1"/>
    <col min="2825" max="2825" width="7" style="358" customWidth="1"/>
    <col min="2826" max="2826" width="3.7109375" style="358" customWidth="1"/>
    <col min="2827" max="2827" width="5.28515625" style="358" customWidth="1"/>
    <col min="2828" max="3072" width="7.28515625" style="358"/>
    <col min="3073" max="3073" width="3.85546875" style="358" customWidth="1"/>
    <col min="3074" max="3074" width="11" style="358" customWidth="1"/>
    <col min="3075" max="3075" width="11.5703125" style="358" customWidth="1"/>
    <col min="3076" max="3076" width="14.28515625" style="358" customWidth="1"/>
    <col min="3077" max="3077" width="8" style="358" customWidth="1"/>
    <col min="3078" max="3078" width="13.5703125" style="358" customWidth="1"/>
    <col min="3079" max="3079" width="9.5703125" style="358" customWidth="1"/>
    <col min="3080" max="3080" width="11" style="358" customWidth="1"/>
    <col min="3081" max="3081" width="7" style="358" customWidth="1"/>
    <col min="3082" max="3082" width="3.7109375" style="358" customWidth="1"/>
    <col min="3083" max="3083" width="5.28515625" style="358" customWidth="1"/>
    <col min="3084" max="3328" width="7.28515625" style="358"/>
    <col min="3329" max="3329" width="3.85546875" style="358" customWidth="1"/>
    <col min="3330" max="3330" width="11" style="358" customWidth="1"/>
    <col min="3331" max="3331" width="11.5703125" style="358" customWidth="1"/>
    <col min="3332" max="3332" width="14.28515625" style="358" customWidth="1"/>
    <col min="3333" max="3333" width="8" style="358" customWidth="1"/>
    <col min="3334" max="3334" width="13.5703125" style="358" customWidth="1"/>
    <col min="3335" max="3335" width="9.5703125" style="358" customWidth="1"/>
    <col min="3336" max="3336" width="11" style="358" customWidth="1"/>
    <col min="3337" max="3337" width="7" style="358" customWidth="1"/>
    <col min="3338" max="3338" width="3.7109375" style="358" customWidth="1"/>
    <col min="3339" max="3339" width="5.28515625" style="358" customWidth="1"/>
    <col min="3340" max="3584" width="7.28515625" style="358"/>
    <col min="3585" max="3585" width="3.85546875" style="358" customWidth="1"/>
    <col min="3586" max="3586" width="11" style="358" customWidth="1"/>
    <col min="3587" max="3587" width="11.5703125" style="358" customWidth="1"/>
    <col min="3588" max="3588" width="14.28515625" style="358" customWidth="1"/>
    <col min="3589" max="3589" width="8" style="358" customWidth="1"/>
    <col min="3590" max="3590" width="13.5703125" style="358" customWidth="1"/>
    <col min="3591" max="3591" width="9.5703125" style="358" customWidth="1"/>
    <col min="3592" max="3592" width="11" style="358" customWidth="1"/>
    <col min="3593" max="3593" width="7" style="358" customWidth="1"/>
    <col min="3594" max="3594" width="3.7109375" style="358" customWidth="1"/>
    <col min="3595" max="3595" width="5.28515625" style="358" customWidth="1"/>
    <col min="3596" max="3840" width="7.28515625" style="358"/>
    <col min="3841" max="3841" width="3.85546875" style="358" customWidth="1"/>
    <col min="3842" max="3842" width="11" style="358" customWidth="1"/>
    <col min="3843" max="3843" width="11.5703125" style="358" customWidth="1"/>
    <col min="3844" max="3844" width="14.28515625" style="358" customWidth="1"/>
    <col min="3845" max="3845" width="8" style="358" customWidth="1"/>
    <col min="3846" max="3846" width="13.5703125" style="358" customWidth="1"/>
    <col min="3847" max="3847" width="9.5703125" style="358" customWidth="1"/>
    <col min="3848" max="3848" width="11" style="358" customWidth="1"/>
    <col min="3849" max="3849" width="7" style="358" customWidth="1"/>
    <col min="3850" max="3850" width="3.7109375" style="358" customWidth="1"/>
    <col min="3851" max="3851" width="5.28515625" style="358" customWidth="1"/>
    <col min="3852" max="4096" width="7.28515625" style="358"/>
    <col min="4097" max="4097" width="3.85546875" style="358" customWidth="1"/>
    <col min="4098" max="4098" width="11" style="358" customWidth="1"/>
    <col min="4099" max="4099" width="11.5703125" style="358" customWidth="1"/>
    <col min="4100" max="4100" width="14.28515625" style="358" customWidth="1"/>
    <col min="4101" max="4101" width="8" style="358" customWidth="1"/>
    <col min="4102" max="4102" width="13.5703125" style="358" customWidth="1"/>
    <col min="4103" max="4103" width="9.5703125" style="358" customWidth="1"/>
    <col min="4104" max="4104" width="11" style="358" customWidth="1"/>
    <col min="4105" max="4105" width="7" style="358" customWidth="1"/>
    <col min="4106" max="4106" width="3.7109375" style="358" customWidth="1"/>
    <col min="4107" max="4107" width="5.28515625" style="358" customWidth="1"/>
    <col min="4108" max="4352" width="7.28515625" style="358"/>
    <col min="4353" max="4353" width="3.85546875" style="358" customWidth="1"/>
    <col min="4354" max="4354" width="11" style="358" customWidth="1"/>
    <col min="4355" max="4355" width="11.5703125" style="358" customWidth="1"/>
    <col min="4356" max="4356" width="14.28515625" style="358" customWidth="1"/>
    <col min="4357" max="4357" width="8" style="358" customWidth="1"/>
    <col min="4358" max="4358" width="13.5703125" style="358" customWidth="1"/>
    <col min="4359" max="4359" width="9.5703125" style="358" customWidth="1"/>
    <col min="4360" max="4360" width="11" style="358" customWidth="1"/>
    <col min="4361" max="4361" width="7" style="358" customWidth="1"/>
    <col min="4362" max="4362" width="3.7109375" style="358" customWidth="1"/>
    <col min="4363" max="4363" width="5.28515625" style="358" customWidth="1"/>
    <col min="4364" max="4608" width="7.28515625" style="358"/>
    <col min="4609" max="4609" width="3.85546875" style="358" customWidth="1"/>
    <col min="4610" max="4610" width="11" style="358" customWidth="1"/>
    <col min="4611" max="4611" width="11.5703125" style="358" customWidth="1"/>
    <col min="4612" max="4612" width="14.28515625" style="358" customWidth="1"/>
    <col min="4613" max="4613" width="8" style="358" customWidth="1"/>
    <col min="4614" max="4614" width="13.5703125" style="358" customWidth="1"/>
    <col min="4615" max="4615" width="9.5703125" style="358" customWidth="1"/>
    <col min="4616" max="4616" width="11" style="358" customWidth="1"/>
    <col min="4617" max="4617" width="7" style="358" customWidth="1"/>
    <col min="4618" max="4618" width="3.7109375" style="358" customWidth="1"/>
    <col min="4619" max="4619" width="5.28515625" style="358" customWidth="1"/>
    <col min="4620" max="4864" width="7.28515625" style="358"/>
    <col min="4865" max="4865" width="3.85546875" style="358" customWidth="1"/>
    <col min="4866" max="4866" width="11" style="358" customWidth="1"/>
    <col min="4867" max="4867" width="11.5703125" style="358" customWidth="1"/>
    <col min="4868" max="4868" width="14.28515625" style="358" customWidth="1"/>
    <col min="4869" max="4869" width="8" style="358" customWidth="1"/>
    <col min="4870" max="4870" width="13.5703125" style="358" customWidth="1"/>
    <col min="4871" max="4871" width="9.5703125" style="358" customWidth="1"/>
    <col min="4872" max="4872" width="11" style="358" customWidth="1"/>
    <col min="4873" max="4873" width="7" style="358" customWidth="1"/>
    <col min="4874" max="4874" width="3.7109375" style="358" customWidth="1"/>
    <col min="4875" max="4875" width="5.28515625" style="358" customWidth="1"/>
    <col min="4876" max="5120" width="7.28515625" style="358"/>
    <col min="5121" max="5121" width="3.85546875" style="358" customWidth="1"/>
    <col min="5122" max="5122" width="11" style="358" customWidth="1"/>
    <col min="5123" max="5123" width="11.5703125" style="358" customWidth="1"/>
    <col min="5124" max="5124" width="14.28515625" style="358" customWidth="1"/>
    <col min="5125" max="5125" width="8" style="358" customWidth="1"/>
    <col min="5126" max="5126" width="13.5703125" style="358" customWidth="1"/>
    <col min="5127" max="5127" width="9.5703125" style="358" customWidth="1"/>
    <col min="5128" max="5128" width="11" style="358" customWidth="1"/>
    <col min="5129" max="5129" width="7" style="358" customWidth="1"/>
    <col min="5130" max="5130" width="3.7109375" style="358" customWidth="1"/>
    <col min="5131" max="5131" width="5.28515625" style="358" customWidth="1"/>
    <col min="5132" max="5376" width="7.28515625" style="358"/>
    <col min="5377" max="5377" width="3.85546875" style="358" customWidth="1"/>
    <col min="5378" max="5378" width="11" style="358" customWidth="1"/>
    <col min="5379" max="5379" width="11.5703125" style="358" customWidth="1"/>
    <col min="5380" max="5380" width="14.28515625" style="358" customWidth="1"/>
    <col min="5381" max="5381" width="8" style="358" customWidth="1"/>
    <col min="5382" max="5382" width="13.5703125" style="358" customWidth="1"/>
    <col min="5383" max="5383" width="9.5703125" style="358" customWidth="1"/>
    <col min="5384" max="5384" width="11" style="358" customWidth="1"/>
    <col min="5385" max="5385" width="7" style="358" customWidth="1"/>
    <col min="5386" max="5386" width="3.7109375" style="358" customWidth="1"/>
    <col min="5387" max="5387" width="5.28515625" style="358" customWidth="1"/>
    <col min="5388" max="5632" width="7.28515625" style="358"/>
    <col min="5633" max="5633" width="3.85546875" style="358" customWidth="1"/>
    <col min="5634" max="5634" width="11" style="358" customWidth="1"/>
    <col min="5635" max="5635" width="11.5703125" style="358" customWidth="1"/>
    <col min="5636" max="5636" width="14.28515625" style="358" customWidth="1"/>
    <col min="5637" max="5637" width="8" style="358" customWidth="1"/>
    <col min="5638" max="5638" width="13.5703125" style="358" customWidth="1"/>
    <col min="5639" max="5639" width="9.5703125" style="358" customWidth="1"/>
    <col min="5640" max="5640" width="11" style="358" customWidth="1"/>
    <col min="5641" max="5641" width="7" style="358" customWidth="1"/>
    <col min="5642" max="5642" width="3.7109375" style="358" customWidth="1"/>
    <col min="5643" max="5643" width="5.28515625" style="358" customWidth="1"/>
    <col min="5644" max="5888" width="7.28515625" style="358"/>
    <col min="5889" max="5889" width="3.85546875" style="358" customWidth="1"/>
    <col min="5890" max="5890" width="11" style="358" customWidth="1"/>
    <col min="5891" max="5891" width="11.5703125" style="358" customWidth="1"/>
    <col min="5892" max="5892" width="14.28515625" style="358" customWidth="1"/>
    <col min="5893" max="5893" width="8" style="358" customWidth="1"/>
    <col min="5894" max="5894" width="13.5703125" style="358" customWidth="1"/>
    <col min="5895" max="5895" width="9.5703125" style="358" customWidth="1"/>
    <col min="5896" max="5896" width="11" style="358" customWidth="1"/>
    <col min="5897" max="5897" width="7" style="358" customWidth="1"/>
    <col min="5898" max="5898" width="3.7109375" style="358" customWidth="1"/>
    <col min="5899" max="5899" width="5.28515625" style="358" customWidth="1"/>
    <col min="5900" max="6144" width="7.28515625" style="358"/>
    <col min="6145" max="6145" width="3.85546875" style="358" customWidth="1"/>
    <col min="6146" max="6146" width="11" style="358" customWidth="1"/>
    <col min="6147" max="6147" width="11.5703125" style="358" customWidth="1"/>
    <col min="6148" max="6148" width="14.28515625" style="358" customWidth="1"/>
    <col min="6149" max="6149" width="8" style="358" customWidth="1"/>
    <col min="6150" max="6150" width="13.5703125" style="358" customWidth="1"/>
    <col min="6151" max="6151" width="9.5703125" style="358" customWidth="1"/>
    <col min="6152" max="6152" width="11" style="358" customWidth="1"/>
    <col min="6153" max="6153" width="7" style="358" customWidth="1"/>
    <col min="6154" max="6154" width="3.7109375" style="358" customWidth="1"/>
    <col min="6155" max="6155" width="5.28515625" style="358" customWidth="1"/>
    <col min="6156" max="6400" width="7.28515625" style="358"/>
    <col min="6401" max="6401" width="3.85546875" style="358" customWidth="1"/>
    <col min="6402" max="6402" width="11" style="358" customWidth="1"/>
    <col min="6403" max="6403" width="11.5703125" style="358" customWidth="1"/>
    <col min="6404" max="6404" width="14.28515625" style="358" customWidth="1"/>
    <col min="6405" max="6405" width="8" style="358" customWidth="1"/>
    <col min="6406" max="6406" width="13.5703125" style="358" customWidth="1"/>
    <col min="6407" max="6407" width="9.5703125" style="358" customWidth="1"/>
    <col min="6408" max="6408" width="11" style="358" customWidth="1"/>
    <col min="6409" max="6409" width="7" style="358" customWidth="1"/>
    <col min="6410" max="6410" width="3.7109375" style="358" customWidth="1"/>
    <col min="6411" max="6411" width="5.28515625" style="358" customWidth="1"/>
    <col min="6412" max="6656" width="7.28515625" style="358"/>
    <col min="6657" max="6657" width="3.85546875" style="358" customWidth="1"/>
    <col min="6658" max="6658" width="11" style="358" customWidth="1"/>
    <col min="6659" max="6659" width="11.5703125" style="358" customWidth="1"/>
    <col min="6660" max="6660" width="14.28515625" style="358" customWidth="1"/>
    <col min="6661" max="6661" width="8" style="358" customWidth="1"/>
    <col min="6662" max="6662" width="13.5703125" style="358" customWidth="1"/>
    <col min="6663" max="6663" width="9.5703125" style="358" customWidth="1"/>
    <col min="6664" max="6664" width="11" style="358" customWidth="1"/>
    <col min="6665" max="6665" width="7" style="358" customWidth="1"/>
    <col min="6666" max="6666" width="3.7109375" style="358" customWidth="1"/>
    <col min="6667" max="6667" width="5.28515625" style="358" customWidth="1"/>
    <col min="6668" max="6912" width="7.28515625" style="358"/>
    <col min="6913" max="6913" width="3.85546875" style="358" customWidth="1"/>
    <col min="6914" max="6914" width="11" style="358" customWidth="1"/>
    <col min="6915" max="6915" width="11.5703125" style="358" customWidth="1"/>
    <col min="6916" max="6916" width="14.28515625" style="358" customWidth="1"/>
    <col min="6917" max="6917" width="8" style="358" customWidth="1"/>
    <col min="6918" max="6918" width="13.5703125" style="358" customWidth="1"/>
    <col min="6919" max="6919" width="9.5703125" style="358" customWidth="1"/>
    <col min="6920" max="6920" width="11" style="358" customWidth="1"/>
    <col min="6921" max="6921" width="7" style="358" customWidth="1"/>
    <col min="6922" max="6922" width="3.7109375" style="358" customWidth="1"/>
    <col min="6923" max="6923" width="5.28515625" style="358" customWidth="1"/>
    <col min="6924" max="7168" width="7.28515625" style="358"/>
    <col min="7169" max="7169" width="3.85546875" style="358" customWidth="1"/>
    <col min="7170" max="7170" width="11" style="358" customWidth="1"/>
    <col min="7171" max="7171" width="11.5703125" style="358" customWidth="1"/>
    <col min="7172" max="7172" width="14.28515625" style="358" customWidth="1"/>
    <col min="7173" max="7173" width="8" style="358" customWidth="1"/>
    <col min="7174" max="7174" width="13.5703125" style="358" customWidth="1"/>
    <col min="7175" max="7175" width="9.5703125" style="358" customWidth="1"/>
    <col min="7176" max="7176" width="11" style="358" customWidth="1"/>
    <col min="7177" max="7177" width="7" style="358" customWidth="1"/>
    <col min="7178" max="7178" width="3.7109375" style="358" customWidth="1"/>
    <col min="7179" max="7179" width="5.28515625" style="358" customWidth="1"/>
    <col min="7180" max="7424" width="7.28515625" style="358"/>
    <col min="7425" max="7425" width="3.85546875" style="358" customWidth="1"/>
    <col min="7426" max="7426" width="11" style="358" customWidth="1"/>
    <col min="7427" max="7427" width="11.5703125" style="358" customWidth="1"/>
    <col min="7428" max="7428" width="14.28515625" style="358" customWidth="1"/>
    <col min="7429" max="7429" width="8" style="358" customWidth="1"/>
    <col min="7430" max="7430" width="13.5703125" style="358" customWidth="1"/>
    <col min="7431" max="7431" width="9.5703125" style="358" customWidth="1"/>
    <col min="7432" max="7432" width="11" style="358" customWidth="1"/>
    <col min="7433" max="7433" width="7" style="358" customWidth="1"/>
    <col min="7434" max="7434" width="3.7109375" style="358" customWidth="1"/>
    <col min="7435" max="7435" width="5.28515625" style="358" customWidth="1"/>
    <col min="7436" max="7680" width="7.28515625" style="358"/>
    <col min="7681" max="7681" width="3.85546875" style="358" customWidth="1"/>
    <col min="7682" max="7682" width="11" style="358" customWidth="1"/>
    <col min="7683" max="7683" width="11.5703125" style="358" customWidth="1"/>
    <col min="7684" max="7684" width="14.28515625" style="358" customWidth="1"/>
    <col min="7685" max="7685" width="8" style="358" customWidth="1"/>
    <col min="7686" max="7686" width="13.5703125" style="358" customWidth="1"/>
    <col min="7687" max="7687" width="9.5703125" style="358" customWidth="1"/>
    <col min="7688" max="7688" width="11" style="358" customWidth="1"/>
    <col min="7689" max="7689" width="7" style="358" customWidth="1"/>
    <col min="7690" max="7690" width="3.7109375" style="358" customWidth="1"/>
    <col min="7691" max="7691" width="5.28515625" style="358" customWidth="1"/>
    <col min="7692" max="7936" width="7.28515625" style="358"/>
    <col min="7937" max="7937" width="3.85546875" style="358" customWidth="1"/>
    <col min="7938" max="7938" width="11" style="358" customWidth="1"/>
    <col min="7939" max="7939" width="11.5703125" style="358" customWidth="1"/>
    <col min="7940" max="7940" width="14.28515625" style="358" customWidth="1"/>
    <col min="7941" max="7941" width="8" style="358" customWidth="1"/>
    <col min="7942" max="7942" width="13.5703125" style="358" customWidth="1"/>
    <col min="7943" max="7943" width="9.5703125" style="358" customWidth="1"/>
    <col min="7944" max="7944" width="11" style="358" customWidth="1"/>
    <col min="7945" max="7945" width="7" style="358" customWidth="1"/>
    <col min="7946" max="7946" width="3.7109375" style="358" customWidth="1"/>
    <col min="7947" max="7947" width="5.28515625" style="358" customWidth="1"/>
    <col min="7948" max="8192" width="7.28515625" style="358"/>
    <col min="8193" max="8193" width="3.85546875" style="358" customWidth="1"/>
    <col min="8194" max="8194" width="11" style="358" customWidth="1"/>
    <col min="8195" max="8195" width="11.5703125" style="358" customWidth="1"/>
    <col min="8196" max="8196" width="14.28515625" style="358" customWidth="1"/>
    <col min="8197" max="8197" width="8" style="358" customWidth="1"/>
    <col min="8198" max="8198" width="13.5703125" style="358" customWidth="1"/>
    <col min="8199" max="8199" width="9.5703125" style="358" customWidth="1"/>
    <col min="8200" max="8200" width="11" style="358" customWidth="1"/>
    <col min="8201" max="8201" width="7" style="358" customWidth="1"/>
    <col min="8202" max="8202" width="3.7109375" style="358" customWidth="1"/>
    <col min="8203" max="8203" width="5.28515625" style="358" customWidth="1"/>
    <col min="8204" max="8448" width="7.28515625" style="358"/>
    <col min="8449" max="8449" width="3.85546875" style="358" customWidth="1"/>
    <col min="8450" max="8450" width="11" style="358" customWidth="1"/>
    <col min="8451" max="8451" width="11.5703125" style="358" customWidth="1"/>
    <col min="8452" max="8452" width="14.28515625" style="358" customWidth="1"/>
    <col min="8453" max="8453" width="8" style="358" customWidth="1"/>
    <col min="8454" max="8454" width="13.5703125" style="358" customWidth="1"/>
    <col min="8455" max="8455" width="9.5703125" style="358" customWidth="1"/>
    <col min="8456" max="8456" width="11" style="358" customWidth="1"/>
    <col min="8457" max="8457" width="7" style="358" customWidth="1"/>
    <col min="8458" max="8458" width="3.7109375" style="358" customWidth="1"/>
    <col min="8459" max="8459" width="5.28515625" style="358" customWidth="1"/>
    <col min="8460" max="8704" width="7.28515625" style="358"/>
    <col min="8705" max="8705" width="3.85546875" style="358" customWidth="1"/>
    <col min="8706" max="8706" width="11" style="358" customWidth="1"/>
    <col min="8707" max="8707" width="11.5703125" style="358" customWidth="1"/>
    <col min="8708" max="8708" width="14.28515625" style="358" customWidth="1"/>
    <col min="8709" max="8709" width="8" style="358" customWidth="1"/>
    <col min="8710" max="8710" width="13.5703125" style="358" customWidth="1"/>
    <col min="8711" max="8711" width="9.5703125" style="358" customWidth="1"/>
    <col min="8712" max="8712" width="11" style="358" customWidth="1"/>
    <col min="8713" max="8713" width="7" style="358" customWidth="1"/>
    <col min="8714" max="8714" width="3.7109375" style="358" customWidth="1"/>
    <col min="8715" max="8715" width="5.28515625" style="358" customWidth="1"/>
    <col min="8716" max="8960" width="7.28515625" style="358"/>
    <col min="8961" max="8961" width="3.85546875" style="358" customWidth="1"/>
    <col min="8962" max="8962" width="11" style="358" customWidth="1"/>
    <col min="8963" max="8963" width="11.5703125" style="358" customWidth="1"/>
    <col min="8964" max="8964" width="14.28515625" style="358" customWidth="1"/>
    <col min="8965" max="8965" width="8" style="358" customWidth="1"/>
    <col min="8966" max="8966" width="13.5703125" style="358" customWidth="1"/>
    <col min="8967" max="8967" width="9.5703125" style="358" customWidth="1"/>
    <col min="8968" max="8968" width="11" style="358" customWidth="1"/>
    <col min="8969" max="8969" width="7" style="358" customWidth="1"/>
    <col min="8970" max="8970" width="3.7109375" style="358" customWidth="1"/>
    <col min="8971" max="8971" width="5.28515625" style="358" customWidth="1"/>
    <col min="8972" max="9216" width="7.28515625" style="358"/>
    <col min="9217" max="9217" width="3.85546875" style="358" customWidth="1"/>
    <col min="9218" max="9218" width="11" style="358" customWidth="1"/>
    <col min="9219" max="9219" width="11.5703125" style="358" customWidth="1"/>
    <col min="9220" max="9220" width="14.28515625" style="358" customWidth="1"/>
    <col min="9221" max="9221" width="8" style="358" customWidth="1"/>
    <col min="9222" max="9222" width="13.5703125" style="358" customWidth="1"/>
    <col min="9223" max="9223" width="9.5703125" style="358" customWidth="1"/>
    <col min="9224" max="9224" width="11" style="358" customWidth="1"/>
    <col min="9225" max="9225" width="7" style="358" customWidth="1"/>
    <col min="9226" max="9226" width="3.7109375" style="358" customWidth="1"/>
    <col min="9227" max="9227" width="5.28515625" style="358" customWidth="1"/>
    <col min="9228" max="9472" width="7.28515625" style="358"/>
    <col min="9473" max="9473" width="3.85546875" style="358" customWidth="1"/>
    <col min="9474" max="9474" width="11" style="358" customWidth="1"/>
    <col min="9475" max="9475" width="11.5703125" style="358" customWidth="1"/>
    <col min="9476" max="9476" width="14.28515625" style="358" customWidth="1"/>
    <col min="9477" max="9477" width="8" style="358" customWidth="1"/>
    <col min="9478" max="9478" width="13.5703125" style="358" customWidth="1"/>
    <col min="9479" max="9479" width="9.5703125" style="358" customWidth="1"/>
    <col min="9480" max="9480" width="11" style="358" customWidth="1"/>
    <col min="9481" max="9481" width="7" style="358" customWidth="1"/>
    <col min="9482" max="9482" width="3.7109375" style="358" customWidth="1"/>
    <col min="9483" max="9483" width="5.28515625" style="358" customWidth="1"/>
    <col min="9484" max="9728" width="7.28515625" style="358"/>
    <col min="9729" max="9729" width="3.85546875" style="358" customWidth="1"/>
    <col min="9730" max="9730" width="11" style="358" customWidth="1"/>
    <col min="9731" max="9731" width="11.5703125" style="358" customWidth="1"/>
    <col min="9732" max="9732" width="14.28515625" style="358" customWidth="1"/>
    <col min="9733" max="9733" width="8" style="358" customWidth="1"/>
    <col min="9734" max="9734" width="13.5703125" style="358" customWidth="1"/>
    <col min="9735" max="9735" width="9.5703125" style="358" customWidth="1"/>
    <col min="9736" max="9736" width="11" style="358" customWidth="1"/>
    <col min="9737" max="9737" width="7" style="358" customWidth="1"/>
    <col min="9738" max="9738" width="3.7109375" style="358" customWidth="1"/>
    <col min="9739" max="9739" width="5.28515625" style="358" customWidth="1"/>
    <col min="9740" max="9984" width="7.28515625" style="358"/>
    <col min="9985" max="9985" width="3.85546875" style="358" customWidth="1"/>
    <col min="9986" max="9986" width="11" style="358" customWidth="1"/>
    <col min="9987" max="9987" width="11.5703125" style="358" customWidth="1"/>
    <col min="9988" max="9988" width="14.28515625" style="358" customWidth="1"/>
    <col min="9989" max="9989" width="8" style="358" customWidth="1"/>
    <col min="9990" max="9990" width="13.5703125" style="358" customWidth="1"/>
    <col min="9991" max="9991" width="9.5703125" style="358" customWidth="1"/>
    <col min="9992" max="9992" width="11" style="358" customWidth="1"/>
    <col min="9993" max="9993" width="7" style="358" customWidth="1"/>
    <col min="9994" max="9994" width="3.7109375" style="358" customWidth="1"/>
    <col min="9995" max="9995" width="5.28515625" style="358" customWidth="1"/>
    <col min="9996" max="10240" width="7.28515625" style="358"/>
    <col min="10241" max="10241" width="3.85546875" style="358" customWidth="1"/>
    <col min="10242" max="10242" width="11" style="358" customWidth="1"/>
    <col min="10243" max="10243" width="11.5703125" style="358" customWidth="1"/>
    <col min="10244" max="10244" width="14.28515625" style="358" customWidth="1"/>
    <col min="10245" max="10245" width="8" style="358" customWidth="1"/>
    <col min="10246" max="10246" width="13.5703125" style="358" customWidth="1"/>
    <col min="10247" max="10247" width="9.5703125" style="358" customWidth="1"/>
    <col min="10248" max="10248" width="11" style="358" customWidth="1"/>
    <col min="10249" max="10249" width="7" style="358" customWidth="1"/>
    <col min="10250" max="10250" width="3.7109375" style="358" customWidth="1"/>
    <col min="10251" max="10251" width="5.28515625" style="358" customWidth="1"/>
    <col min="10252" max="10496" width="7.28515625" style="358"/>
    <col min="10497" max="10497" width="3.85546875" style="358" customWidth="1"/>
    <col min="10498" max="10498" width="11" style="358" customWidth="1"/>
    <col min="10499" max="10499" width="11.5703125" style="358" customWidth="1"/>
    <col min="10500" max="10500" width="14.28515625" style="358" customWidth="1"/>
    <col min="10501" max="10501" width="8" style="358" customWidth="1"/>
    <col min="10502" max="10502" width="13.5703125" style="358" customWidth="1"/>
    <col min="10503" max="10503" width="9.5703125" style="358" customWidth="1"/>
    <col min="10504" max="10504" width="11" style="358" customWidth="1"/>
    <col min="10505" max="10505" width="7" style="358" customWidth="1"/>
    <col min="10506" max="10506" width="3.7109375" style="358" customWidth="1"/>
    <col min="10507" max="10507" width="5.28515625" style="358" customWidth="1"/>
    <col min="10508" max="10752" width="7.28515625" style="358"/>
    <col min="10753" max="10753" width="3.85546875" style="358" customWidth="1"/>
    <col min="10754" max="10754" width="11" style="358" customWidth="1"/>
    <col min="10755" max="10755" width="11.5703125" style="358" customWidth="1"/>
    <col min="10756" max="10756" width="14.28515625" style="358" customWidth="1"/>
    <col min="10757" max="10757" width="8" style="358" customWidth="1"/>
    <col min="10758" max="10758" width="13.5703125" style="358" customWidth="1"/>
    <col min="10759" max="10759" width="9.5703125" style="358" customWidth="1"/>
    <col min="10760" max="10760" width="11" style="358" customWidth="1"/>
    <col min="10761" max="10761" width="7" style="358" customWidth="1"/>
    <col min="10762" max="10762" width="3.7109375" style="358" customWidth="1"/>
    <col min="10763" max="10763" width="5.28515625" style="358" customWidth="1"/>
    <col min="10764" max="11008" width="7.28515625" style="358"/>
    <col min="11009" max="11009" width="3.85546875" style="358" customWidth="1"/>
    <col min="11010" max="11010" width="11" style="358" customWidth="1"/>
    <col min="11011" max="11011" width="11.5703125" style="358" customWidth="1"/>
    <col min="11012" max="11012" width="14.28515625" style="358" customWidth="1"/>
    <col min="11013" max="11013" width="8" style="358" customWidth="1"/>
    <col min="11014" max="11014" width="13.5703125" style="358" customWidth="1"/>
    <col min="11015" max="11015" width="9.5703125" style="358" customWidth="1"/>
    <col min="11016" max="11016" width="11" style="358" customWidth="1"/>
    <col min="11017" max="11017" width="7" style="358" customWidth="1"/>
    <col min="11018" max="11018" width="3.7109375" style="358" customWidth="1"/>
    <col min="11019" max="11019" width="5.28515625" style="358" customWidth="1"/>
    <col min="11020" max="11264" width="7.28515625" style="358"/>
    <col min="11265" max="11265" width="3.85546875" style="358" customWidth="1"/>
    <col min="11266" max="11266" width="11" style="358" customWidth="1"/>
    <col min="11267" max="11267" width="11.5703125" style="358" customWidth="1"/>
    <col min="11268" max="11268" width="14.28515625" style="358" customWidth="1"/>
    <col min="11269" max="11269" width="8" style="358" customWidth="1"/>
    <col min="11270" max="11270" width="13.5703125" style="358" customWidth="1"/>
    <col min="11271" max="11271" width="9.5703125" style="358" customWidth="1"/>
    <col min="11272" max="11272" width="11" style="358" customWidth="1"/>
    <col min="11273" max="11273" width="7" style="358" customWidth="1"/>
    <col min="11274" max="11274" width="3.7109375" style="358" customWidth="1"/>
    <col min="11275" max="11275" width="5.28515625" style="358" customWidth="1"/>
    <col min="11276" max="11520" width="7.28515625" style="358"/>
    <col min="11521" max="11521" width="3.85546875" style="358" customWidth="1"/>
    <col min="11522" max="11522" width="11" style="358" customWidth="1"/>
    <col min="11523" max="11523" width="11.5703125" style="358" customWidth="1"/>
    <col min="11524" max="11524" width="14.28515625" style="358" customWidth="1"/>
    <col min="11525" max="11525" width="8" style="358" customWidth="1"/>
    <col min="11526" max="11526" width="13.5703125" style="358" customWidth="1"/>
    <col min="11527" max="11527" width="9.5703125" style="358" customWidth="1"/>
    <col min="11528" max="11528" width="11" style="358" customWidth="1"/>
    <col min="11529" max="11529" width="7" style="358" customWidth="1"/>
    <col min="11530" max="11530" width="3.7109375" style="358" customWidth="1"/>
    <col min="11531" max="11531" width="5.28515625" style="358" customWidth="1"/>
    <col min="11532" max="11776" width="7.28515625" style="358"/>
    <col min="11777" max="11777" width="3.85546875" style="358" customWidth="1"/>
    <col min="11778" max="11778" width="11" style="358" customWidth="1"/>
    <col min="11779" max="11779" width="11.5703125" style="358" customWidth="1"/>
    <col min="11780" max="11780" width="14.28515625" style="358" customWidth="1"/>
    <col min="11781" max="11781" width="8" style="358" customWidth="1"/>
    <col min="11782" max="11782" width="13.5703125" style="358" customWidth="1"/>
    <col min="11783" max="11783" width="9.5703125" style="358" customWidth="1"/>
    <col min="11784" max="11784" width="11" style="358" customWidth="1"/>
    <col min="11785" max="11785" width="7" style="358" customWidth="1"/>
    <col min="11786" max="11786" width="3.7109375" style="358" customWidth="1"/>
    <col min="11787" max="11787" width="5.28515625" style="358" customWidth="1"/>
    <col min="11788" max="12032" width="7.28515625" style="358"/>
    <col min="12033" max="12033" width="3.85546875" style="358" customWidth="1"/>
    <col min="12034" max="12034" width="11" style="358" customWidth="1"/>
    <col min="12035" max="12035" width="11.5703125" style="358" customWidth="1"/>
    <col min="12036" max="12036" width="14.28515625" style="358" customWidth="1"/>
    <col min="12037" max="12037" width="8" style="358" customWidth="1"/>
    <col min="12038" max="12038" width="13.5703125" style="358" customWidth="1"/>
    <col min="12039" max="12039" width="9.5703125" style="358" customWidth="1"/>
    <col min="12040" max="12040" width="11" style="358" customWidth="1"/>
    <col min="12041" max="12041" width="7" style="358" customWidth="1"/>
    <col min="12042" max="12042" width="3.7109375" style="358" customWidth="1"/>
    <col min="12043" max="12043" width="5.28515625" style="358" customWidth="1"/>
    <col min="12044" max="12288" width="7.28515625" style="358"/>
    <col min="12289" max="12289" width="3.85546875" style="358" customWidth="1"/>
    <col min="12290" max="12290" width="11" style="358" customWidth="1"/>
    <col min="12291" max="12291" width="11.5703125" style="358" customWidth="1"/>
    <col min="12292" max="12292" width="14.28515625" style="358" customWidth="1"/>
    <col min="12293" max="12293" width="8" style="358" customWidth="1"/>
    <col min="12294" max="12294" width="13.5703125" style="358" customWidth="1"/>
    <col min="12295" max="12295" width="9.5703125" style="358" customWidth="1"/>
    <col min="12296" max="12296" width="11" style="358" customWidth="1"/>
    <col min="12297" max="12297" width="7" style="358" customWidth="1"/>
    <col min="12298" max="12298" width="3.7109375" style="358" customWidth="1"/>
    <col min="12299" max="12299" width="5.28515625" style="358" customWidth="1"/>
    <col min="12300" max="12544" width="7.28515625" style="358"/>
    <col min="12545" max="12545" width="3.85546875" style="358" customWidth="1"/>
    <col min="12546" max="12546" width="11" style="358" customWidth="1"/>
    <col min="12547" max="12547" width="11.5703125" style="358" customWidth="1"/>
    <col min="12548" max="12548" width="14.28515625" style="358" customWidth="1"/>
    <col min="12549" max="12549" width="8" style="358" customWidth="1"/>
    <col min="12550" max="12550" width="13.5703125" style="358" customWidth="1"/>
    <col min="12551" max="12551" width="9.5703125" style="358" customWidth="1"/>
    <col min="12552" max="12552" width="11" style="358" customWidth="1"/>
    <col min="12553" max="12553" width="7" style="358" customWidth="1"/>
    <col min="12554" max="12554" width="3.7109375" style="358" customWidth="1"/>
    <col min="12555" max="12555" width="5.28515625" style="358" customWidth="1"/>
    <col min="12556" max="12800" width="7.28515625" style="358"/>
    <col min="12801" max="12801" width="3.85546875" style="358" customWidth="1"/>
    <col min="12802" max="12802" width="11" style="358" customWidth="1"/>
    <col min="12803" max="12803" width="11.5703125" style="358" customWidth="1"/>
    <col min="12804" max="12804" width="14.28515625" style="358" customWidth="1"/>
    <col min="12805" max="12805" width="8" style="358" customWidth="1"/>
    <col min="12806" max="12806" width="13.5703125" style="358" customWidth="1"/>
    <col min="12807" max="12807" width="9.5703125" style="358" customWidth="1"/>
    <col min="12808" max="12808" width="11" style="358" customWidth="1"/>
    <col min="12809" max="12809" width="7" style="358" customWidth="1"/>
    <col min="12810" max="12810" width="3.7109375" style="358" customWidth="1"/>
    <col min="12811" max="12811" width="5.28515625" style="358" customWidth="1"/>
    <col min="12812" max="13056" width="7.28515625" style="358"/>
    <col min="13057" max="13057" width="3.85546875" style="358" customWidth="1"/>
    <col min="13058" max="13058" width="11" style="358" customWidth="1"/>
    <col min="13059" max="13059" width="11.5703125" style="358" customWidth="1"/>
    <col min="13060" max="13060" width="14.28515625" style="358" customWidth="1"/>
    <col min="13061" max="13061" width="8" style="358" customWidth="1"/>
    <col min="13062" max="13062" width="13.5703125" style="358" customWidth="1"/>
    <col min="13063" max="13063" width="9.5703125" style="358" customWidth="1"/>
    <col min="13064" max="13064" width="11" style="358" customWidth="1"/>
    <col min="13065" max="13065" width="7" style="358" customWidth="1"/>
    <col min="13066" max="13066" width="3.7109375" style="358" customWidth="1"/>
    <col min="13067" max="13067" width="5.28515625" style="358" customWidth="1"/>
    <col min="13068" max="13312" width="7.28515625" style="358"/>
    <col min="13313" max="13313" width="3.85546875" style="358" customWidth="1"/>
    <col min="13314" max="13314" width="11" style="358" customWidth="1"/>
    <col min="13315" max="13315" width="11.5703125" style="358" customWidth="1"/>
    <col min="13316" max="13316" width="14.28515625" style="358" customWidth="1"/>
    <col min="13317" max="13317" width="8" style="358" customWidth="1"/>
    <col min="13318" max="13318" width="13.5703125" style="358" customWidth="1"/>
    <col min="13319" max="13319" width="9.5703125" style="358" customWidth="1"/>
    <col min="13320" max="13320" width="11" style="358" customWidth="1"/>
    <col min="13321" max="13321" width="7" style="358" customWidth="1"/>
    <col min="13322" max="13322" width="3.7109375" style="358" customWidth="1"/>
    <col min="13323" max="13323" width="5.28515625" style="358" customWidth="1"/>
    <col min="13324" max="13568" width="7.28515625" style="358"/>
    <col min="13569" max="13569" width="3.85546875" style="358" customWidth="1"/>
    <col min="13570" max="13570" width="11" style="358" customWidth="1"/>
    <col min="13571" max="13571" width="11.5703125" style="358" customWidth="1"/>
    <col min="13572" max="13572" width="14.28515625" style="358" customWidth="1"/>
    <col min="13573" max="13573" width="8" style="358" customWidth="1"/>
    <col min="13574" max="13574" width="13.5703125" style="358" customWidth="1"/>
    <col min="13575" max="13575" width="9.5703125" style="358" customWidth="1"/>
    <col min="13576" max="13576" width="11" style="358" customWidth="1"/>
    <col min="13577" max="13577" width="7" style="358" customWidth="1"/>
    <col min="13578" max="13578" width="3.7109375" style="358" customWidth="1"/>
    <col min="13579" max="13579" width="5.28515625" style="358" customWidth="1"/>
    <col min="13580" max="13824" width="7.28515625" style="358"/>
    <col min="13825" max="13825" width="3.85546875" style="358" customWidth="1"/>
    <col min="13826" max="13826" width="11" style="358" customWidth="1"/>
    <col min="13827" max="13827" width="11.5703125" style="358" customWidth="1"/>
    <col min="13828" max="13828" width="14.28515625" style="358" customWidth="1"/>
    <col min="13829" max="13829" width="8" style="358" customWidth="1"/>
    <col min="13830" max="13830" width="13.5703125" style="358" customWidth="1"/>
    <col min="13831" max="13831" width="9.5703125" style="358" customWidth="1"/>
    <col min="13832" max="13832" width="11" style="358" customWidth="1"/>
    <col min="13833" max="13833" width="7" style="358" customWidth="1"/>
    <col min="13834" max="13834" width="3.7109375" style="358" customWidth="1"/>
    <col min="13835" max="13835" width="5.28515625" style="358" customWidth="1"/>
    <col min="13836" max="14080" width="7.28515625" style="358"/>
    <col min="14081" max="14081" width="3.85546875" style="358" customWidth="1"/>
    <col min="14082" max="14082" width="11" style="358" customWidth="1"/>
    <col min="14083" max="14083" width="11.5703125" style="358" customWidth="1"/>
    <col min="14084" max="14084" width="14.28515625" style="358" customWidth="1"/>
    <col min="14085" max="14085" width="8" style="358" customWidth="1"/>
    <col min="14086" max="14086" width="13.5703125" style="358" customWidth="1"/>
    <col min="14087" max="14087" width="9.5703125" style="358" customWidth="1"/>
    <col min="14088" max="14088" width="11" style="358" customWidth="1"/>
    <col min="14089" max="14089" width="7" style="358" customWidth="1"/>
    <col min="14090" max="14090" width="3.7109375" style="358" customWidth="1"/>
    <col min="14091" max="14091" width="5.28515625" style="358" customWidth="1"/>
    <col min="14092" max="14336" width="7.28515625" style="358"/>
    <col min="14337" max="14337" width="3.85546875" style="358" customWidth="1"/>
    <col min="14338" max="14338" width="11" style="358" customWidth="1"/>
    <col min="14339" max="14339" width="11.5703125" style="358" customWidth="1"/>
    <col min="14340" max="14340" width="14.28515625" style="358" customWidth="1"/>
    <col min="14341" max="14341" width="8" style="358" customWidth="1"/>
    <col min="14342" max="14342" width="13.5703125" style="358" customWidth="1"/>
    <col min="14343" max="14343" width="9.5703125" style="358" customWidth="1"/>
    <col min="14344" max="14344" width="11" style="358" customWidth="1"/>
    <col min="14345" max="14345" width="7" style="358" customWidth="1"/>
    <col min="14346" max="14346" width="3.7109375" style="358" customWidth="1"/>
    <col min="14347" max="14347" width="5.28515625" style="358" customWidth="1"/>
    <col min="14348" max="14592" width="7.28515625" style="358"/>
    <col min="14593" max="14593" width="3.85546875" style="358" customWidth="1"/>
    <col min="14594" max="14594" width="11" style="358" customWidth="1"/>
    <col min="14595" max="14595" width="11.5703125" style="358" customWidth="1"/>
    <col min="14596" max="14596" width="14.28515625" style="358" customWidth="1"/>
    <col min="14597" max="14597" width="8" style="358" customWidth="1"/>
    <col min="14598" max="14598" width="13.5703125" style="358" customWidth="1"/>
    <col min="14599" max="14599" width="9.5703125" style="358" customWidth="1"/>
    <col min="14600" max="14600" width="11" style="358" customWidth="1"/>
    <col min="14601" max="14601" width="7" style="358" customWidth="1"/>
    <col min="14602" max="14602" width="3.7109375" style="358" customWidth="1"/>
    <col min="14603" max="14603" width="5.28515625" style="358" customWidth="1"/>
    <col min="14604" max="14848" width="7.28515625" style="358"/>
    <col min="14849" max="14849" width="3.85546875" style="358" customWidth="1"/>
    <col min="14850" max="14850" width="11" style="358" customWidth="1"/>
    <col min="14851" max="14851" width="11.5703125" style="358" customWidth="1"/>
    <col min="14852" max="14852" width="14.28515625" style="358" customWidth="1"/>
    <col min="14853" max="14853" width="8" style="358" customWidth="1"/>
    <col min="14854" max="14854" width="13.5703125" style="358" customWidth="1"/>
    <col min="14855" max="14855" width="9.5703125" style="358" customWidth="1"/>
    <col min="14856" max="14856" width="11" style="358" customWidth="1"/>
    <col min="14857" max="14857" width="7" style="358" customWidth="1"/>
    <col min="14858" max="14858" width="3.7109375" style="358" customWidth="1"/>
    <col min="14859" max="14859" width="5.28515625" style="358" customWidth="1"/>
    <col min="14860" max="15104" width="7.28515625" style="358"/>
    <col min="15105" max="15105" width="3.85546875" style="358" customWidth="1"/>
    <col min="15106" max="15106" width="11" style="358" customWidth="1"/>
    <col min="15107" max="15107" width="11.5703125" style="358" customWidth="1"/>
    <col min="15108" max="15108" width="14.28515625" style="358" customWidth="1"/>
    <col min="15109" max="15109" width="8" style="358" customWidth="1"/>
    <col min="15110" max="15110" width="13.5703125" style="358" customWidth="1"/>
    <col min="15111" max="15111" width="9.5703125" style="358" customWidth="1"/>
    <col min="15112" max="15112" width="11" style="358" customWidth="1"/>
    <col min="15113" max="15113" width="7" style="358" customWidth="1"/>
    <col min="15114" max="15114" width="3.7109375" style="358" customWidth="1"/>
    <col min="15115" max="15115" width="5.28515625" style="358" customWidth="1"/>
    <col min="15116" max="15360" width="7.28515625" style="358"/>
    <col min="15361" max="15361" width="3.85546875" style="358" customWidth="1"/>
    <col min="15362" max="15362" width="11" style="358" customWidth="1"/>
    <col min="15363" max="15363" width="11.5703125" style="358" customWidth="1"/>
    <col min="15364" max="15364" width="14.28515625" style="358" customWidth="1"/>
    <col min="15365" max="15365" width="8" style="358" customWidth="1"/>
    <col min="15366" max="15366" width="13.5703125" style="358" customWidth="1"/>
    <col min="15367" max="15367" width="9.5703125" style="358" customWidth="1"/>
    <col min="15368" max="15368" width="11" style="358" customWidth="1"/>
    <col min="15369" max="15369" width="7" style="358" customWidth="1"/>
    <col min="15370" max="15370" width="3.7109375" style="358" customWidth="1"/>
    <col min="15371" max="15371" width="5.28515625" style="358" customWidth="1"/>
    <col min="15372" max="15616" width="7.28515625" style="358"/>
    <col min="15617" max="15617" width="3.85546875" style="358" customWidth="1"/>
    <col min="15618" max="15618" width="11" style="358" customWidth="1"/>
    <col min="15619" max="15619" width="11.5703125" style="358" customWidth="1"/>
    <col min="15620" max="15620" width="14.28515625" style="358" customWidth="1"/>
    <col min="15621" max="15621" width="8" style="358" customWidth="1"/>
    <col min="15622" max="15622" width="13.5703125" style="358" customWidth="1"/>
    <col min="15623" max="15623" width="9.5703125" style="358" customWidth="1"/>
    <col min="15624" max="15624" width="11" style="358" customWidth="1"/>
    <col min="15625" max="15625" width="7" style="358" customWidth="1"/>
    <col min="15626" max="15626" width="3.7109375" style="358" customWidth="1"/>
    <col min="15627" max="15627" width="5.28515625" style="358" customWidth="1"/>
    <col min="15628" max="15872" width="7.28515625" style="358"/>
    <col min="15873" max="15873" width="3.85546875" style="358" customWidth="1"/>
    <col min="15874" max="15874" width="11" style="358" customWidth="1"/>
    <col min="15875" max="15875" width="11.5703125" style="358" customWidth="1"/>
    <col min="15876" max="15876" width="14.28515625" style="358" customWidth="1"/>
    <col min="15877" max="15877" width="8" style="358" customWidth="1"/>
    <col min="15878" max="15878" width="13.5703125" style="358" customWidth="1"/>
    <col min="15879" max="15879" width="9.5703125" style="358" customWidth="1"/>
    <col min="15880" max="15880" width="11" style="358" customWidth="1"/>
    <col min="15881" max="15881" width="7" style="358" customWidth="1"/>
    <col min="15882" max="15882" width="3.7109375" style="358" customWidth="1"/>
    <col min="15883" max="15883" width="5.28515625" style="358" customWidth="1"/>
    <col min="15884" max="16128" width="7.28515625" style="358"/>
    <col min="16129" max="16129" width="3.85546875" style="358" customWidth="1"/>
    <col min="16130" max="16130" width="11" style="358" customWidth="1"/>
    <col min="16131" max="16131" width="11.5703125" style="358" customWidth="1"/>
    <col min="16132" max="16132" width="14.28515625" style="358" customWidth="1"/>
    <col min="16133" max="16133" width="8" style="358" customWidth="1"/>
    <col min="16134" max="16134" width="13.5703125" style="358" customWidth="1"/>
    <col min="16135" max="16135" width="9.5703125" style="358" customWidth="1"/>
    <col min="16136" max="16136" width="11" style="358" customWidth="1"/>
    <col min="16137" max="16137" width="7" style="358" customWidth="1"/>
    <col min="16138" max="16138" width="3.7109375" style="358" customWidth="1"/>
    <col min="16139" max="16139" width="5.28515625" style="358" customWidth="1"/>
    <col min="16140" max="16384" width="7.28515625" style="358"/>
  </cols>
  <sheetData>
    <row r="1" spans="2:43" ht="15.75" thickBot="1" x14ac:dyDescent="0.3">
      <c r="D1" s="359"/>
      <c r="E1" s="359"/>
      <c r="F1" s="359"/>
      <c r="G1" s="359"/>
      <c r="K1" s="360"/>
    </row>
    <row r="2" spans="2:43" s="477" customFormat="1" ht="18" customHeight="1" x14ac:dyDescent="0.2">
      <c r="B2" s="1120"/>
      <c r="C2" s="1121"/>
      <c r="D2" s="1126" t="s">
        <v>6</v>
      </c>
      <c r="E2" s="1127"/>
      <c r="F2" s="1127"/>
      <c r="G2" s="1127"/>
      <c r="H2" s="1127"/>
      <c r="I2" s="1127"/>
      <c r="J2" s="1128"/>
      <c r="K2" s="489"/>
      <c r="L2" s="490"/>
      <c r="M2" s="490"/>
      <c r="N2" s="490"/>
      <c r="O2" s="490"/>
      <c r="P2" s="490"/>
      <c r="Q2" s="490"/>
      <c r="R2" s="490"/>
      <c r="S2" s="490"/>
      <c r="T2" s="490"/>
      <c r="U2" s="490"/>
      <c r="V2" s="490"/>
      <c r="W2" s="490"/>
      <c r="X2" s="490"/>
      <c r="Y2" s="490"/>
      <c r="Z2" s="490"/>
      <c r="AA2" s="476"/>
      <c r="AB2" s="476"/>
      <c r="AC2" s="476"/>
      <c r="AD2" s="476"/>
    </row>
    <row r="3" spans="2:43" s="477" customFormat="1" ht="18" customHeight="1" x14ac:dyDescent="0.2">
      <c r="B3" s="1122"/>
      <c r="C3" s="1123"/>
      <c r="D3" s="1129"/>
      <c r="E3" s="1130"/>
      <c r="F3" s="1130"/>
      <c r="G3" s="1130"/>
      <c r="H3" s="1130"/>
      <c r="I3" s="1130"/>
      <c r="J3" s="1131"/>
      <c r="K3" s="489"/>
      <c r="L3" s="490"/>
      <c r="M3" s="490"/>
      <c r="N3" s="490"/>
      <c r="O3" s="490"/>
      <c r="P3" s="490"/>
      <c r="Q3" s="490"/>
      <c r="R3" s="490"/>
      <c r="S3" s="490"/>
      <c r="T3" s="490"/>
      <c r="U3" s="490"/>
      <c r="V3" s="490"/>
      <c r="W3" s="490"/>
      <c r="X3" s="490"/>
      <c r="Y3" s="490"/>
      <c r="Z3" s="490"/>
      <c r="AA3" s="478"/>
      <c r="AB3" s="478"/>
      <c r="AC3" s="478"/>
      <c r="AD3" s="478"/>
    </row>
    <row r="4" spans="2:43" s="477" customFormat="1" ht="18" customHeight="1" x14ac:dyDescent="0.2">
      <c r="B4" s="1122"/>
      <c r="C4" s="1123"/>
      <c r="D4" s="1132" t="s">
        <v>44</v>
      </c>
      <c r="E4" s="1133"/>
      <c r="F4" s="1133"/>
      <c r="G4" s="1133"/>
      <c r="H4" s="1133"/>
      <c r="I4" s="1133"/>
      <c r="J4" s="1134"/>
      <c r="K4" s="478"/>
      <c r="L4" s="478"/>
      <c r="M4" s="478"/>
      <c r="N4" s="478"/>
      <c r="O4" s="478"/>
      <c r="P4" s="478"/>
      <c r="Q4" s="478"/>
      <c r="R4" s="478"/>
      <c r="S4" s="478"/>
      <c r="T4" s="478"/>
      <c r="U4" s="478"/>
      <c r="V4" s="478"/>
      <c r="W4" s="478"/>
      <c r="X4" s="478"/>
      <c r="Y4" s="478"/>
      <c r="Z4" s="478"/>
      <c r="AA4" s="478"/>
      <c r="AB4" s="478"/>
      <c r="AC4" s="478"/>
      <c r="AD4" s="478"/>
    </row>
    <row r="5" spans="2:43" s="477" customFormat="1" ht="5.0999999999999996" customHeight="1" x14ac:dyDescent="0.2">
      <c r="B5" s="1122"/>
      <c r="C5" s="1123"/>
      <c r="D5" s="1132"/>
      <c r="E5" s="1133"/>
      <c r="F5" s="1133"/>
      <c r="G5" s="1133"/>
      <c r="H5" s="1133"/>
      <c r="I5" s="1133"/>
      <c r="J5" s="1134"/>
      <c r="N5" s="479"/>
      <c r="O5" s="479"/>
      <c r="P5" s="479"/>
      <c r="Q5" s="479"/>
      <c r="R5" s="479"/>
      <c r="S5" s="479"/>
      <c r="T5" s="479"/>
      <c r="U5" s="479"/>
      <c r="V5" s="479"/>
      <c r="W5" s="479"/>
      <c r="X5" s="479"/>
      <c r="Y5" s="479"/>
      <c r="Z5" s="479"/>
      <c r="AA5" s="479"/>
      <c r="AB5" s="479"/>
      <c r="AC5" s="479"/>
      <c r="AD5" s="479"/>
      <c r="AE5" s="479"/>
      <c r="AF5" s="479"/>
      <c r="AG5" s="479"/>
      <c r="AH5" s="479"/>
      <c r="AI5" s="479"/>
      <c r="AJ5" s="479"/>
      <c r="AK5" s="479"/>
      <c r="AL5" s="479"/>
      <c r="AM5" s="479"/>
      <c r="AN5" s="479"/>
    </row>
    <row r="6" spans="2:43" s="477" customFormat="1" ht="14.25" customHeight="1" x14ac:dyDescent="0.2">
      <c r="B6" s="1124"/>
      <c r="C6" s="1125"/>
      <c r="D6" s="1132"/>
      <c r="E6" s="1133"/>
      <c r="F6" s="1133"/>
      <c r="G6" s="1133"/>
      <c r="H6" s="1133"/>
      <c r="I6" s="1133"/>
      <c r="J6" s="1134"/>
      <c r="K6" s="480"/>
      <c r="L6" s="491"/>
      <c r="M6" s="492"/>
      <c r="N6" s="492"/>
      <c r="O6" s="492"/>
      <c r="P6" s="492"/>
      <c r="Q6" s="492"/>
      <c r="R6" s="492"/>
      <c r="S6" s="492"/>
      <c r="T6" s="492"/>
      <c r="U6" s="492"/>
      <c r="V6" s="492"/>
      <c r="W6" s="492"/>
      <c r="X6" s="492"/>
      <c r="Y6" s="492"/>
      <c r="Z6" s="492"/>
      <c r="AA6" s="492"/>
      <c r="AB6" s="492"/>
      <c r="AC6" s="492"/>
      <c r="AD6" s="492"/>
      <c r="AE6" s="492"/>
      <c r="AF6" s="492"/>
      <c r="AG6" s="492"/>
      <c r="AH6" s="492"/>
      <c r="AI6" s="492"/>
      <c r="AJ6" s="492"/>
      <c r="AK6" s="492"/>
      <c r="AL6" s="492"/>
      <c r="AM6" s="492"/>
      <c r="AN6" s="492"/>
      <c r="AO6" s="492"/>
      <c r="AP6" s="492"/>
      <c r="AQ6" s="493"/>
    </row>
    <row r="7" spans="2:43" s="477" customFormat="1" ht="9" customHeight="1" x14ac:dyDescent="0.2">
      <c r="B7" s="1135"/>
      <c r="C7" s="1136"/>
      <c r="D7" s="1136"/>
      <c r="E7" s="1136"/>
      <c r="F7" s="1136"/>
      <c r="G7" s="1136"/>
      <c r="H7" s="1136"/>
      <c r="I7" s="1136"/>
      <c r="J7" s="1137"/>
      <c r="K7" s="480"/>
      <c r="L7" s="491"/>
      <c r="M7" s="492"/>
      <c r="N7" s="492"/>
      <c r="O7" s="492"/>
      <c r="P7" s="492"/>
      <c r="Q7" s="492"/>
      <c r="R7" s="492"/>
      <c r="S7" s="492"/>
      <c r="T7" s="492"/>
      <c r="U7" s="492"/>
      <c r="V7" s="492"/>
      <c r="W7" s="492"/>
      <c r="X7" s="492"/>
      <c r="Y7" s="492"/>
      <c r="Z7" s="492"/>
      <c r="AA7" s="492"/>
      <c r="AB7" s="492"/>
      <c r="AC7" s="492"/>
      <c r="AD7" s="492"/>
      <c r="AE7" s="492"/>
      <c r="AF7" s="492"/>
      <c r="AG7" s="492"/>
      <c r="AH7" s="492"/>
      <c r="AI7" s="492"/>
      <c r="AJ7" s="492"/>
      <c r="AK7" s="492"/>
      <c r="AL7" s="492"/>
      <c r="AM7" s="492"/>
      <c r="AN7" s="492"/>
      <c r="AO7" s="492"/>
      <c r="AP7" s="492"/>
      <c r="AQ7" s="493"/>
    </row>
    <row r="8" spans="2:43" s="477" customFormat="1" ht="30" customHeight="1" x14ac:dyDescent="0.2">
      <c r="B8" s="1107" t="s">
        <v>0</v>
      </c>
      <c r="C8" s="1138">
        <f>'[7]Proctor '!E4</f>
        <v>0</v>
      </c>
      <c r="D8" s="1139"/>
      <c r="E8" s="1139"/>
      <c r="F8" s="1139"/>
      <c r="G8" s="1139"/>
      <c r="H8" s="1139"/>
      <c r="I8" s="1139"/>
      <c r="J8" s="1140"/>
      <c r="K8" s="481"/>
      <c r="L8" s="481"/>
      <c r="M8" s="481"/>
      <c r="N8" s="481"/>
      <c r="O8" s="481"/>
      <c r="P8" s="481"/>
      <c r="Q8" s="481"/>
      <c r="R8" s="481"/>
      <c r="S8" s="481"/>
      <c r="AD8" s="482"/>
      <c r="AE8" s="482"/>
      <c r="AF8" s="482"/>
      <c r="AG8" s="482"/>
      <c r="AH8" s="482"/>
      <c r="AI8" s="482"/>
      <c r="AJ8" s="482"/>
      <c r="AK8" s="482"/>
      <c r="AL8" s="482"/>
      <c r="AM8" s="482"/>
      <c r="AN8" s="482"/>
    </row>
    <row r="9" spans="2:43" s="477" customFormat="1" ht="39" customHeight="1" x14ac:dyDescent="0.2">
      <c r="B9" s="1107"/>
      <c r="C9" s="1141"/>
      <c r="D9" s="1142"/>
      <c r="E9" s="1142"/>
      <c r="F9" s="1142"/>
      <c r="G9" s="1142"/>
      <c r="H9" s="1142"/>
      <c r="I9" s="1142"/>
      <c r="J9" s="1143"/>
      <c r="K9" s="481"/>
      <c r="L9" s="481"/>
      <c r="M9" s="483"/>
      <c r="N9" s="483"/>
      <c r="O9" s="483"/>
      <c r="P9" s="481"/>
      <c r="Q9" s="481"/>
      <c r="R9" s="481"/>
      <c r="S9" s="481"/>
      <c r="AD9" s="482"/>
      <c r="AE9" s="482"/>
      <c r="AF9" s="482"/>
      <c r="AG9" s="482"/>
      <c r="AH9" s="482"/>
      <c r="AI9" s="482"/>
      <c r="AJ9" s="482"/>
      <c r="AK9" s="482"/>
      <c r="AL9" s="482"/>
      <c r="AM9" s="482"/>
      <c r="AN9" s="482"/>
    </row>
    <row r="10" spans="2:43" s="477" customFormat="1" ht="14.25" customHeight="1" x14ac:dyDescent="0.2">
      <c r="B10" s="1107" t="s">
        <v>7</v>
      </c>
      <c r="C10" s="1108">
        <f>'[7]Proctor '!E5</f>
        <v>0</v>
      </c>
      <c r="D10" s="1108"/>
      <c r="E10" s="1108"/>
      <c r="F10" s="1108"/>
      <c r="G10" s="1108"/>
      <c r="H10" s="1108"/>
      <c r="I10" s="1108"/>
      <c r="J10" s="1109"/>
      <c r="K10" s="481"/>
      <c r="L10" s="481"/>
      <c r="M10" s="483"/>
      <c r="N10" s="483"/>
      <c r="O10" s="483"/>
      <c r="P10" s="481"/>
      <c r="Q10" s="481"/>
      <c r="R10" s="481"/>
      <c r="S10" s="481"/>
      <c r="AD10" s="482"/>
      <c r="AE10" s="482"/>
      <c r="AF10" s="482"/>
      <c r="AG10" s="482"/>
      <c r="AH10" s="482"/>
      <c r="AI10" s="482"/>
      <c r="AJ10" s="482"/>
      <c r="AK10" s="482"/>
      <c r="AL10" s="482"/>
      <c r="AM10" s="482"/>
      <c r="AN10" s="482"/>
    </row>
    <row r="11" spans="2:43" s="477" customFormat="1" ht="15" customHeight="1" x14ac:dyDescent="0.2">
      <c r="B11" s="1107"/>
      <c r="C11" s="1108"/>
      <c r="D11" s="1108"/>
      <c r="E11" s="1108"/>
      <c r="F11" s="1108"/>
      <c r="G11" s="1108"/>
      <c r="H11" s="1108"/>
      <c r="I11" s="1108"/>
      <c r="J11" s="1109"/>
      <c r="M11" s="483"/>
      <c r="N11" s="483"/>
      <c r="O11" s="483"/>
    </row>
    <row r="12" spans="2:43" s="477" customFormat="1" ht="14.25" customHeight="1" x14ac:dyDescent="0.2">
      <c r="B12" s="1110" t="s">
        <v>24</v>
      </c>
      <c r="C12" s="1111" t="str">
        <f>'[7]Proctor '!L6</f>
        <v>MATERIAL DE SITU</v>
      </c>
      <c r="D12" s="1112"/>
      <c r="E12" s="1112"/>
      <c r="F12" s="1112"/>
      <c r="G12" s="1112"/>
      <c r="H12" s="1112"/>
      <c r="I12" s="1112"/>
      <c r="J12" s="1113"/>
      <c r="K12" s="494"/>
      <c r="L12" s="494"/>
      <c r="M12" s="495"/>
      <c r="N12" s="495"/>
      <c r="O12" s="495"/>
      <c r="P12" s="496"/>
      <c r="Q12" s="494"/>
      <c r="R12" s="494"/>
      <c r="S12" s="494"/>
      <c r="T12" s="494"/>
      <c r="U12" s="494"/>
      <c r="V12" s="494"/>
      <c r="W12" s="494"/>
      <c r="X12" s="494"/>
      <c r="Y12" s="494"/>
      <c r="Z12" s="494"/>
      <c r="AA12" s="494"/>
      <c r="AB12" s="494"/>
      <c r="AC12" s="494"/>
      <c r="AD12" s="494"/>
      <c r="AE12" s="494"/>
      <c r="AF12" s="494"/>
      <c r="AG12" s="497"/>
      <c r="AH12" s="498"/>
      <c r="AI12" s="498"/>
      <c r="AJ12" s="498"/>
      <c r="AK12" s="498"/>
      <c r="AL12" s="498"/>
      <c r="AM12" s="498"/>
      <c r="AN12" s="498"/>
    </row>
    <row r="13" spans="2:43" s="477" customFormat="1" ht="14.25" customHeight="1" x14ac:dyDescent="0.2">
      <c r="B13" s="1110"/>
      <c r="C13" s="1114"/>
      <c r="D13" s="1115"/>
      <c r="E13" s="1115"/>
      <c r="F13" s="1115"/>
      <c r="G13" s="1115"/>
      <c r="H13" s="1115"/>
      <c r="I13" s="1115"/>
      <c r="J13" s="1116"/>
      <c r="K13" s="494"/>
      <c r="L13" s="494"/>
      <c r="M13" s="494"/>
      <c r="N13" s="494"/>
      <c r="O13" s="494"/>
      <c r="P13" s="494"/>
      <c r="Q13" s="494"/>
      <c r="R13" s="494"/>
      <c r="S13" s="494"/>
      <c r="T13" s="494"/>
      <c r="U13" s="494"/>
      <c r="V13" s="494"/>
      <c r="W13" s="494"/>
      <c r="X13" s="494"/>
      <c r="Y13" s="494"/>
      <c r="Z13" s="494"/>
      <c r="AA13" s="494"/>
      <c r="AB13" s="494"/>
      <c r="AC13" s="494"/>
      <c r="AD13" s="494"/>
      <c r="AE13" s="494"/>
      <c r="AF13" s="494"/>
      <c r="AG13" s="497"/>
      <c r="AH13" s="484"/>
      <c r="AI13" s="484"/>
      <c r="AJ13" s="484"/>
      <c r="AK13" s="484"/>
      <c r="AL13" s="484"/>
      <c r="AM13" s="484"/>
      <c r="AN13" s="484"/>
    </row>
    <row r="14" spans="2:43" s="477" customFormat="1" ht="26.25" customHeight="1" x14ac:dyDescent="0.2">
      <c r="B14" s="499" t="s">
        <v>9</v>
      </c>
      <c r="C14" s="500"/>
      <c r="D14" s="501" t="s">
        <v>56</v>
      </c>
      <c r="E14" s="1117"/>
      <c r="F14" s="1117"/>
      <c r="G14" s="501" t="s">
        <v>11</v>
      </c>
      <c r="H14" s="1118" t="str">
        <f>'[7]Proctor '!V8</f>
        <v>Ing Michelle Zelaya</v>
      </c>
      <c r="I14" s="1118"/>
      <c r="J14" s="1119"/>
      <c r="K14" s="502"/>
      <c r="L14" s="502"/>
      <c r="M14" s="502"/>
      <c r="N14" s="502"/>
      <c r="O14" s="502"/>
      <c r="P14" s="503"/>
      <c r="Q14" s="485"/>
      <c r="R14" s="485"/>
      <c r="S14" s="485"/>
      <c r="T14" s="485"/>
      <c r="U14" s="485"/>
      <c r="V14" s="485"/>
      <c r="W14" s="485"/>
      <c r="X14" s="485"/>
      <c r="Y14" s="485"/>
      <c r="Z14" s="485"/>
      <c r="AA14" s="485"/>
      <c r="AB14" s="485"/>
      <c r="AD14" s="486"/>
      <c r="AE14" s="486"/>
      <c r="AH14" s="487"/>
      <c r="AI14" s="487"/>
      <c r="AJ14" s="487"/>
      <c r="AK14" s="487"/>
      <c r="AL14" s="487"/>
      <c r="AM14" s="487"/>
      <c r="AN14" s="487"/>
    </row>
    <row r="15" spans="2:43" x14ac:dyDescent="0.2">
      <c r="B15" s="361"/>
      <c r="J15" s="362"/>
      <c r="L15" s="488"/>
      <c r="M15" s="363"/>
      <c r="N15" s="363"/>
      <c r="O15" s="364"/>
      <c r="P15" s="364"/>
    </row>
    <row r="16" spans="2:43" ht="17.100000000000001" customHeight="1" x14ac:dyDescent="0.2">
      <c r="B16" s="361"/>
      <c r="C16" s="1102" t="s">
        <v>12</v>
      </c>
      <c r="D16" s="1103"/>
      <c r="E16" s="1103"/>
      <c r="F16" s="1104"/>
      <c r="G16" s="365" t="s">
        <v>13</v>
      </c>
      <c r="H16" s="365" t="s">
        <v>14</v>
      </c>
      <c r="I16" s="366"/>
      <c r="J16" s="362"/>
      <c r="N16" s="358" t="s">
        <v>15</v>
      </c>
      <c r="O16" s="358">
        <v>2504.1</v>
      </c>
    </row>
    <row r="17" spans="2:15" ht="17.100000000000001" customHeight="1" x14ac:dyDescent="0.2">
      <c r="B17" s="361"/>
      <c r="C17" s="1105" t="s">
        <v>26</v>
      </c>
      <c r="D17" s="1106"/>
      <c r="E17" s="1106"/>
      <c r="F17" s="434" t="s">
        <v>15</v>
      </c>
      <c r="G17" s="367"/>
      <c r="H17" s="368"/>
      <c r="I17" s="369"/>
      <c r="J17" s="362"/>
      <c r="N17" s="358" t="s">
        <v>45</v>
      </c>
      <c r="O17" s="358">
        <v>7213.3</v>
      </c>
    </row>
    <row r="18" spans="2:15" ht="17.100000000000001" customHeight="1" x14ac:dyDescent="0.2">
      <c r="B18" s="361"/>
      <c r="C18" s="1090" t="s">
        <v>27</v>
      </c>
      <c r="D18" s="1091"/>
      <c r="E18" s="1091"/>
      <c r="F18" s="435" t="s">
        <v>16</v>
      </c>
      <c r="G18" s="370"/>
      <c r="H18" s="371"/>
      <c r="I18" s="369"/>
      <c r="J18" s="362"/>
      <c r="N18" s="358" t="s">
        <v>46</v>
      </c>
      <c r="O18" s="358">
        <v>8669.2999999999993</v>
      </c>
    </row>
    <row r="19" spans="2:15" ht="17.100000000000001" customHeight="1" x14ac:dyDescent="0.2">
      <c r="B19" s="361"/>
      <c r="C19" s="1090" t="s">
        <v>28</v>
      </c>
      <c r="D19" s="1091"/>
      <c r="E19" s="1091"/>
      <c r="F19" s="435" t="s">
        <v>17</v>
      </c>
      <c r="G19" s="370"/>
      <c r="H19" s="371"/>
      <c r="I19" s="369"/>
      <c r="J19" s="362"/>
    </row>
    <row r="20" spans="2:15" ht="17.100000000000001" customHeight="1" x14ac:dyDescent="0.2">
      <c r="B20" s="361"/>
      <c r="C20" s="1090" t="s">
        <v>29</v>
      </c>
      <c r="D20" s="1091"/>
      <c r="E20" s="1091"/>
      <c r="F20" s="435" t="s">
        <v>30</v>
      </c>
      <c r="G20" s="372">
        <f>G17-G19</f>
        <v>0</v>
      </c>
      <c r="H20" s="373">
        <f>H17-H19</f>
        <v>0</v>
      </c>
      <c r="I20" s="374"/>
      <c r="J20" s="362"/>
      <c r="O20" s="358">
        <f>O16+(O17-O18)/O16</f>
        <v>2503.5185535721416</v>
      </c>
    </row>
    <row r="21" spans="2:15" ht="17.100000000000001" customHeight="1" x14ac:dyDescent="0.2">
      <c r="B21" s="361"/>
      <c r="C21" s="1090" t="s">
        <v>31</v>
      </c>
      <c r="D21" s="1091"/>
      <c r="E21" s="1091"/>
      <c r="F21" s="435" t="s">
        <v>32</v>
      </c>
      <c r="G21" s="372">
        <f>G18-G19</f>
        <v>0</v>
      </c>
      <c r="H21" s="373">
        <f>H18-H19</f>
        <v>0</v>
      </c>
      <c r="I21" s="374"/>
      <c r="J21" s="362"/>
    </row>
    <row r="22" spans="2:15" ht="17.100000000000001" customHeight="1" x14ac:dyDescent="0.2">
      <c r="B22" s="361"/>
      <c r="C22" s="1090" t="s">
        <v>33</v>
      </c>
      <c r="D22" s="1091"/>
      <c r="E22" s="1091"/>
      <c r="F22" s="435" t="s">
        <v>34</v>
      </c>
      <c r="G22" s="375">
        <f>G18-G17</f>
        <v>0</v>
      </c>
      <c r="H22" s="376">
        <f>H18-H17</f>
        <v>0</v>
      </c>
      <c r="I22" s="377" t="s">
        <v>18</v>
      </c>
      <c r="J22" s="378"/>
    </row>
    <row r="23" spans="2:15" ht="17.100000000000001" customHeight="1" x14ac:dyDescent="0.2">
      <c r="B23" s="361"/>
      <c r="C23" s="1092" t="s">
        <v>35</v>
      </c>
      <c r="D23" s="1093"/>
      <c r="E23" s="1093"/>
      <c r="F23" s="435" t="s">
        <v>36</v>
      </c>
      <c r="G23" s="379" t="e">
        <f>G17/G21</f>
        <v>#DIV/0!</v>
      </c>
      <c r="H23" s="380" t="e">
        <f>H17/H21</f>
        <v>#DIV/0!</v>
      </c>
      <c r="I23" s="1094" t="e">
        <f>AVERAGE(G23:H23)</f>
        <v>#DIV/0!</v>
      </c>
      <c r="J23" s="1095"/>
    </row>
    <row r="24" spans="2:15" ht="17.100000000000001" customHeight="1" x14ac:dyDescent="0.2">
      <c r="B24" s="361"/>
      <c r="C24" s="1092" t="s">
        <v>37</v>
      </c>
      <c r="D24" s="1093"/>
      <c r="E24" s="1093"/>
      <c r="F24" s="435" t="s">
        <v>38</v>
      </c>
      <c r="G24" s="381" t="e">
        <f>G18/G21</f>
        <v>#DIV/0!</v>
      </c>
      <c r="H24" s="382" t="e">
        <f>H18/H21</f>
        <v>#DIV/0!</v>
      </c>
      <c r="I24" s="1096" t="e">
        <f>AVERAGE(G24:H24)</f>
        <v>#DIV/0!</v>
      </c>
      <c r="J24" s="1097"/>
      <c r="L24" s="383" t="e">
        <f>+H24-G24</f>
        <v>#DIV/0!</v>
      </c>
    </row>
    <row r="25" spans="2:15" ht="17.100000000000001" customHeight="1" x14ac:dyDescent="0.2">
      <c r="B25" s="361"/>
      <c r="C25" s="1098" t="s">
        <v>39</v>
      </c>
      <c r="D25" s="1099"/>
      <c r="E25" s="1099"/>
      <c r="F25" s="435" t="s">
        <v>40</v>
      </c>
      <c r="G25" s="379" t="e">
        <f>G17/G20</f>
        <v>#DIV/0!</v>
      </c>
      <c r="H25" s="380" t="e">
        <f>H17/H20</f>
        <v>#DIV/0!</v>
      </c>
      <c r="I25" s="1100" t="e">
        <f>AVERAGE(G25:H25)</f>
        <v>#DIV/0!</v>
      </c>
      <c r="J25" s="1101"/>
      <c r="L25" s="383" t="e">
        <f t="shared" ref="L25:L26" si="0">+H25-G25</f>
        <v>#DIV/0!</v>
      </c>
    </row>
    <row r="26" spans="2:15" ht="17.100000000000001" customHeight="1" x14ac:dyDescent="0.2">
      <c r="B26" s="361"/>
      <c r="C26" s="1080" t="s">
        <v>19</v>
      </c>
      <c r="D26" s="1081"/>
      <c r="E26" s="1081"/>
      <c r="F26" s="384" t="s">
        <v>41</v>
      </c>
      <c r="G26" s="385" t="e">
        <f>(G22*100)/G17</f>
        <v>#DIV/0!</v>
      </c>
      <c r="H26" s="386" t="e">
        <f>(H22*100)/H17</f>
        <v>#DIV/0!</v>
      </c>
      <c r="I26" s="1082" t="e">
        <f>AVERAGE(G26:H26)</f>
        <v>#DIV/0!</v>
      </c>
      <c r="J26" s="1083"/>
      <c r="L26" s="383" t="e">
        <f t="shared" si="0"/>
        <v>#DIV/0!</v>
      </c>
    </row>
    <row r="27" spans="2:15" x14ac:dyDescent="0.2">
      <c r="B27" s="361"/>
      <c r="J27" s="362"/>
    </row>
    <row r="28" spans="2:15" x14ac:dyDescent="0.2">
      <c r="B28" s="361"/>
      <c r="J28" s="362"/>
    </row>
    <row r="29" spans="2:15" ht="13.5" thickBot="1" x14ac:dyDescent="0.25">
      <c r="B29" s="361"/>
      <c r="J29" s="362"/>
    </row>
    <row r="30" spans="2:15" ht="17.100000000000001" customHeight="1" x14ac:dyDescent="0.2">
      <c r="B30" s="1071" t="s">
        <v>20</v>
      </c>
      <c r="C30" s="1072"/>
      <c r="D30" s="1072"/>
      <c r="E30" s="1072"/>
      <c r="F30" s="1072"/>
      <c r="G30" s="387" t="e">
        <f>I23</f>
        <v>#DIV/0!</v>
      </c>
      <c r="H30" s="1084" t="s">
        <v>42</v>
      </c>
      <c r="I30" s="1085"/>
      <c r="J30" s="388"/>
    </row>
    <row r="31" spans="2:15" ht="17.100000000000001" customHeight="1" x14ac:dyDescent="0.2">
      <c r="B31" s="1086" t="s">
        <v>21</v>
      </c>
      <c r="C31" s="1087"/>
      <c r="D31" s="1087"/>
      <c r="E31" s="1087"/>
      <c r="F31" s="1087"/>
      <c r="G31" s="389" t="e">
        <f>I24</f>
        <v>#DIV/0!</v>
      </c>
      <c r="H31" s="1088" t="s">
        <v>42</v>
      </c>
      <c r="I31" s="1089"/>
      <c r="J31" s="388"/>
    </row>
    <row r="32" spans="2:15" ht="17.100000000000001" customHeight="1" x14ac:dyDescent="0.2">
      <c r="B32" s="1071" t="s">
        <v>43</v>
      </c>
      <c r="C32" s="1072"/>
      <c r="D32" s="1072"/>
      <c r="E32" s="1072"/>
      <c r="F32" s="1072"/>
      <c r="G32" s="390" t="e">
        <f>I25</f>
        <v>#DIV/0!</v>
      </c>
      <c r="H32" s="1073" t="s">
        <v>42</v>
      </c>
      <c r="I32" s="1074"/>
      <c r="J32" s="388"/>
    </row>
    <row r="33" spans="2:23" ht="17.100000000000001" customHeight="1" thickBot="1" x14ac:dyDescent="0.25">
      <c r="B33" s="1075" t="s">
        <v>22</v>
      </c>
      <c r="C33" s="1076"/>
      <c r="D33" s="1076"/>
      <c r="E33" s="1076"/>
      <c r="F33" s="1076"/>
      <c r="G33" s="391" t="e">
        <f>I26</f>
        <v>#DIV/0!</v>
      </c>
      <c r="H33" s="392" t="s">
        <v>23</v>
      </c>
      <c r="I33" s="393"/>
      <c r="J33" s="388"/>
    </row>
    <row r="34" spans="2:23" x14ac:dyDescent="0.2">
      <c r="B34" s="361"/>
      <c r="F34" s="394"/>
      <c r="G34" s="394"/>
      <c r="J34" s="362"/>
    </row>
    <row r="35" spans="2:23" x14ac:dyDescent="0.2">
      <c r="B35" s="395"/>
      <c r="C35" s="396"/>
      <c r="D35" s="396"/>
      <c r="E35" s="396"/>
      <c r="F35" s="394"/>
      <c r="G35" s="394"/>
      <c r="J35" s="362"/>
    </row>
    <row r="36" spans="2:23" x14ac:dyDescent="0.2">
      <c r="B36" s="361"/>
      <c r="D36" s="394"/>
      <c r="E36" s="394"/>
      <c r="J36" s="362"/>
    </row>
    <row r="37" spans="2:23" ht="40.5" customHeight="1" x14ac:dyDescent="0.2">
      <c r="B37" s="1077" t="s">
        <v>25</v>
      </c>
      <c r="C37" s="1078"/>
      <c r="D37" s="1078"/>
      <c r="E37" s="1078"/>
      <c r="F37" s="1078"/>
      <c r="G37" s="1078"/>
      <c r="H37" s="1078"/>
      <c r="I37" s="1078"/>
      <c r="J37" s="1079"/>
    </row>
    <row r="38" spans="2:23" ht="15" customHeight="1" x14ac:dyDescent="0.2">
      <c r="B38" s="436"/>
      <c r="C38" s="437"/>
      <c r="D38" s="437"/>
      <c r="E38" s="437"/>
      <c r="F38" s="437"/>
      <c r="G38" s="437"/>
      <c r="H38" s="437"/>
      <c r="I38" s="437"/>
      <c r="J38" s="438"/>
    </row>
    <row r="39" spans="2:23" ht="17.25" customHeight="1" x14ac:dyDescent="0.2">
      <c r="B39" s="436"/>
      <c r="C39" s="437"/>
      <c r="D39" s="437"/>
      <c r="E39" s="437"/>
      <c r="F39" s="437"/>
      <c r="G39" s="437"/>
      <c r="H39" s="437"/>
      <c r="I39" s="437"/>
      <c r="J39" s="438"/>
    </row>
    <row r="40" spans="2:23" ht="12.75" customHeight="1" x14ac:dyDescent="0.2">
      <c r="B40" s="1068">
        <f>E14</f>
        <v>0</v>
      </c>
      <c r="C40" s="1069"/>
      <c r="D40" s="1069"/>
      <c r="E40" s="1069"/>
      <c r="F40" s="1069" t="str">
        <f>[8]Proctor!R54</f>
        <v>Ing Francisco Granados</v>
      </c>
      <c r="G40" s="1069"/>
      <c r="H40" s="1069"/>
      <c r="I40" s="1069"/>
      <c r="J40" s="1070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8"/>
    </row>
    <row r="41" spans="2:23" ht="12.75" customHeight="1" x14ac:dyDescent="0.2">
      <c r="B41" s="1068" t="s">
        <v>62</v>
      </c>
      <c r="C41" s="1069"/>
      <c r="D41" s="1069"/>
      <c r="E41" s="1069"/>
      <c r="F41" s="1069" t="str">
        <f>[8]Proctor!R55</f>
        <v>Jefe Técnico de Laboratorio de suelos y Materiales</v>
      </c>
      <c r="G41" s="1069"/>
      <c r="H41" s="1069"/>
      <c r="I41" s="1069"/>
      <c r="J41" s="1070"/>
      <c r="K41" s="397"/>
      <c r="L41" s="397"/>
      <c r="M41" s="397"/>
      <c r="N41" s="397"/>
      <c r="O41" s="397"/>
      <c r="P41" s="397"/>
      <c r="Q41" s="397"/>
      <c r="R41" s="397"/>
      <c r="S41" s="397"/>
      <c r="T41" s="397"/>
      <c r="U41" s="397"/>
      <c r="V41" s="397"/>
      <c r="W41" s="398"/>
    </row>
    <row r="42" spans="2:23" ht="12.75" customHeight="1" thickBot="1" x14ac:dyDescent="0.25">
      <c r="B42" s="399"/>
      <c r="C42" s="400"/>
      <c r="D42" s="400"/>
      <c r="E42" s="400"/>
      <c r="F42" s="400"/>
      <c r="G42" s="400"/>
      <c r="H42" s="400"/>
      <c r="I42" s="400"/>
      <c r="J42" s="401"/>
      <c r="K42" s="402"/>
      <c r="L42" s="402"/>
      <c r="M42" s="402"/>
      <c r="N42" s="402"/>
    </row>
    <row r="43" spans="2:23" x14ac:dyDescent="0.2">
      <c r="B43" s="403"/>
      <c r="C43" s="403"/>
      <c r="D43" s="403"/>
      <c r="E43" s="403"/>
      <c r="F43" s="403"/>
      <c r="G43" s="403"/>
      <c r="H43" s="403"/>
      <c r="I43" s="403"/>
      <c r="J43" s="404"/>
      <c r="K43" s="360"/>
      <c r="L43" s="360"/>
      <c r="M43" s="360"/>
      <c r="N43" s="360"/>
    </row>
    <row r="44" spans="2:23" x14ac:dyDescent="0.2">
      <c r="B44" s="403"/>
      <c r="C44" s="403"/>
      <c r="D44" s="403"/>
      <c r="E44" s="403"/>
      <c r="F44" s="403"/>
      <c r="G44" s="403"/>
      <c r="H44" s="403"/>
      <c r="I44" s="403"/>
      <c r="J44" s="404"/>
      <c r="K44" s="360"/>
      <c r="L44" s="360"/>
      <c r="M44" s="360"/>
      <c r="N44" s="360"/>
    </row>
  </sheetData>
  <mergeCells count="39">
    <mergeCell ref="B2:C6"/>
    <mergeCell ref="D2:J3"/>
    <mergeCell ref="D4:J6"/>
    <mergeCell ref="B7:J7"/>
    <mergeCell ref="B8:B9"/>
    <mergeCell ref="C8:J9"/>
    <mergeCell ref="B10:B11"/>
    <mergeCell ref="C10:J11"/>
    <mergeCell ref="B12:B13"/>
    <mergeCell ref="C12:J13"/>
    <mergeCell ref="E14:F14"/>
    <mergeCell ref="H14:J14"/>
    <mergeCell ref="C25:E25"/>
    <mergeCell ref="I25:J25"/>
    <mergeCell ref="C16:F16"/>
    <mergeCell ref="C17:E17"/>
    <mergeCell ref="C18:E18"/>
    <mergeCell ref="C19:E19"/>
    <mergeCell ref="C20:E20"/>
    <mergeCell ref="C21:E21"/>
    <mergeCell ref="C22:E22"/>
    <mergeCell ref="C23:E23"/>
    <mergeCell ref="I23:J23"/>
    <mergeCell ref="C24:E24"/>
    <mergeCell ref="I24:J24"/>
    <mergeCell ref="C26:E26"/>
    <mergeCell ref="I26:J26"/>
    <mergeCell ref="B30:F30"/>
    <mergeCell ref="H30:I30"/>
    <mergeCell ref="B31:F31"/>
    <mergeCell ref="H31:I31"/>
    <mergeCell ref="B41:E41"/>
    <mergeCell ref="F41:J41"/>
    <mergeCell ref="B32:F32"/>
    <mergeCell ref="H32:I32"/>
    <mergeCell ref="B33:F33"/>
    <mergeCell ref="B37:J37"/>
    <mergeCell ref="B40:E40"/>
    <mergeCell ref="F40:J40"/>
  </mergeCells>
  <printOptions horizontalCentered="1" verticalCentered="1" gridLinesSet="0"/>
  <pageMargins left="0.51181102362204722" right="0.51181102362204722" top="0.74803149606299213" bottom="0.74803149606299213" header="0.31496062992125984" footer="0.31496062992125984"/>
  <pageSetup orientation="portrait" horizontalDpi="4294967294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14EE-9769-45B9-BEB4-73077297F72D}">
  <sheetPr codeName="Hoja34">
    <tabColor rgb="FF7030A0"/>
  </sheetPr>
  <dimension ref="A1:AW292"/>
  <sheetViews>
    <sheetView workbookViewId="0">
      <selection sqref="A1:A24"/>
    </sheetView>
  </sheetViews>
  <sheetFormatPr baseColWidth="10" defaultColWidth="11.42578125" defaultRowHeight="12.75" x14ac:dyDescent="0.2"/>
  <cols>
    <col min="1" max="1" width="11.42578125" style="120"/>
    <col min="2" max="2" width="14.42578125" style="120" customWidth="1"/>
    <col min="3" max="3" width="16.85546875" style="120" customWidth="1"/>
    <col min="4" max="5" width="11.42578125" style="120"/>
    <col min="6" max="6" width="14.7109375" style="120" customWidth="1"/>
    <col min="7" max="8" width="11.42578125" style="120"/>
    <col min="9" max="9" width="10.5703125" style="120" customWidth="1"/>
    <col min="10" max="10" width="8.5703125" style="120" customWidth="1"/>
    <col min="11" max="11" width="5.42578125" style="120" customWidth="1"/>
    <col min="12" max="12" width="8.85546875" style="120" customWidth="1"/>
    <col min="13" max="16384" width="11.42578125" style="120"/>
  </cols>
  <sheetData>
    <row r="1" spans="1:19" ht="12.75" customHeight="1" x14ac:dyDescent="0.2">
      <c r="A1" s="1144"/>
      <c r="B1" s="1144"/>
      <c r="C1" s="1144"/>
      <c r="D1" s="1144"/>
      <c r="E1" s="1144"/>
      <c r="F1" s="1144"/>
      <c r="G1" s="1144"/>
      <c r="H1" s="1144"/>
      <c r="I1" s="1144"/>
      <c r="J1" s="1144"/>
      <c r="K1" s="1144"/>
      <c r="L1" s="1144"/>
      <c r="M1" s="1144"/>
    </row>
    <row r="2" spans="1:19" ht="12.75" customHeight="1" thickBot="1" x14ac:dyDescent="0.25">
      <c r="A2" s="1144"/>
      <c r="B2" s="1144"/>
      <c r="C2" s="1144"/>
      <c r="D2" s="1144"/>
      <c r="E2" s="1144"/>
      <c r="F2" s="1144"/>
      <c r="G2" s="1144"/>
      <c r="H2" s="1144"/>
      <c r="I2" s="1144"/>
      <c r="J2" s="1144"/>
      <c r="K2" s="1144"/>
      <c r="L2" s="1144"/>
      <c r="M2" s="1144"/>
    </row>
    <row r="3" spans="1:19" ht="12.75" customHeight="1" thickBot="1" x14ac:dyDescent="0.25">
      <c r="A3" s="1144"/>
      <c r="B3" s="1144"/>
      <c r="C3" s="1144"/>
      <c r="D3" s="1144"/>
      <c r="E3" s="1144"/>
      <c r="F3" s="1144"/>
      <c r="G3" s="1144"/>
      <c r="H3" s="1144"/>
      <c r="I3" s="1144"/>
      <c r="J3" s="1144"/>
      <c r="K3" s="1144"/>
      <c r="L3" s="1144"/>
      <c r="M3" s="1144"/>
      <c r="O3" s="1145" t="s">
        <v>231</v>
      </c>
      <c r="P3" s="1146"/>
      <c r="Q3" s="1147"/>
      <c r="R3" s="320"/>
      <c r="S3" s="321"/>
    </row>
    <row r="4" spans="1:19" ht="12.75" customHeight="1" thickTop="1" x14ac:dyDescent="0.2">
      <c r="A4" s="1144"/>
      <c r="B4" s="1154" t="s">
        <v>232</v>
      </c>
      <c r="C4" s="1155"/>
      <c r="D4" s="1155"/>
      <c r="E4" s="1155"/>
      <c r="F4" s="1155"/>
      <c r="G4" s="1155"/>
      <c r="H4" s="1156"/>
      <c r="I4" s="322"/>
      <c r="J4" s="322"/>
      <c r="K4" s="322"/>
      <c r="L4" s="323"/>
      <c r="M4" s="1144"/>
      <c r="O4" s="1148"/>
      <c r="P4" s="1149"/>
      <c r="Q4" s="1150"/>
      <c r="R4" s="324"/>
      <c r="S4" s="325"/>
    </row>
    <row r="5" spans="1:19" ht="12.75" customHeight="1" thickBot="1" x14ac:dyDescent="0.25">
      <c r="A5" s="1144"/>
      <c r="B5" s="1157"/>
      <c r="C5" s="1158"/>
      <c r="D5" s="1158"/>
      <c r="E5" s="1158"/>
      <c r="F5" s="1158"/>
      <c r="G5" s="1158"/>
      <c r="H5" s="1159"/>
      <c r="I5" s="326"/>
      <c r="J5" s="326"/>
      <c r="K5" s="326"/>
      <c r="L5" s="327"/>
      <c r="M5" s="1144"/>
      <c r="O5" s="1151"/>
      <c r="P5" s="1152"/>
      <c r="Q5" s="1153"/>
      <c r="R5" s="328"/>
      <c r="S5" s="329"/>
    </row>
    <row r="6" spans="1:19" ht="12.75" customHeight="1" thickBot="1" x14ac:dyDescent="0.25">
      <c r="A6" s="1144"/>
      <c r="B6" s="1160"/>
      <c r="C6" s="1161"/>
      <c r="D6" s="1161"/>
      <c r="E6" s="1161"/>
      <c r="F6" s="1161"/>
      <c r="G6" s="1161"/>
      <c r="H6" s="1162"/>
      <c r="I6" s="330"/>
      <c r="J6" s="330"/>
      <c r="K6" s="330"/>
      <c r="L6" s="331"/>
      <c r="M6" s="1144"/>
      <c r="O6" s="1163" t="s">
        <v>233</v>
      </c>
      <c r="P6" s="1164"/>
      <c r="Q6" s="1167" t="s">
        <v>234</v>
      </c>
      <c r="R6" s="1187"/>
      <c r="S6" s="1188"/>
    </row>
    <row r="7" spans="1:19" ht="41.25" customHeight="1" thickTop="1" x14ac:dyDescent="0.2">
      <c r="A7" s="1144"/>
      <c r="B7" s="1191" t="s">
        <v>235</v>
      </c>
      <c r="C7" s="1192"/>
      <c r="D7" s="1193" t="s">
        <v>236</v>
      </c>
      <c r="E7" s="1193"/>
      <c r="F7" s="1193"/>
      <c r="G7" s="1194" t="s">
        <v>237</v>
      </c>
      <c r="H7" s="1196" t="s">
        <v>192</v>
      </c>
      <c r="I7" s="1187" t="s">
        <v>238</v>
      </c>
      <c r="J7" s="1198" t="s">
        <v>239</v>
      </c>
      <c r="K7" s="1198" t="s">
        <v>240</v>
      </c>
      <c r="L7" s="1188"/>
      <c r="M7" s="1144"/>
      <c r="O7" s="1165"/>
      <c r="P7" s="1166"/>
      <c r="Q7" s="1168"/>
      <c r="R7" s="1189"/>
      <c r="S7" s="1190"/>
    </row>
    <row r="8" spans="1:19" ht="42" customHeight="1" x14ac:dyDescent="0.2">
      <c r="A8" s="1144"/>
      <c r="B8" s="332" t="s">
        <v>241</v>
      </c>
      <c r="C8" s="333" t="s">
        <v>169</v>
      </c>
      <c r="D8" s="334" t="s">
        <v>163</v>
      </c>
      <c r="E8" s="334" t="s">
        <v>242</v>
      </c>
      <c r="F8" s="334" t="s">
        <v>165</v>
      </c>
      <c r="G8" s="1195"/>
      <c r="H8" s="1197"/>
      <c r="I8" s="1189"/>
      <c r="J8" s="1199"/>
      <c r="K8" s="1199"/>
      <c r="L8" s="1190"/>
      <c r="M8" s="1144"/>
      <c r="O8" s="1200">
        <v>1</v>
      </c>
      <c r="P8" s="1201"/>
      <c r="Q8" s="335">
        <v>0.02</v>
      </c>
      <c r="R8" s="1202" t="s">
        <v>243</v>
      </c>
      <c r="S8" s="1203"/>
    </row>
    <row r="9" spans="1:19" ht="12.75" customHeight="1" x14ac:dyDescent="0.2">
      <c r="A9" s="1144"/>
      <c r="B9" s="1169" t="str">
        <f>Clasificación!Z45</f>
        <v>A-1-b (IG=0)</v>
      </c>
      <c r="C9" s="1171" t="str">
        <f>Clasificación!Z38</f>
        <v>( SM )</v>
      </c>
      <c r="D9" s="1173" t="e">
        <f>Clasificación!B31</f>
        <v>#DIV/0!</v>
      </c>
      <c r="E9" s="1173" t="e">
        <f>Clasificación!L31</f>
        <v>#DIV/0!</v>
      </c>
      <c r="F9" s="1173" t="e">
        <f>Clasificación!V31</f>
        <v>#DIV/0!</v>
      </c>
      <c r="G9" s="1221">
        <f>'Proctor '!X31</f>
        <v>1411.3</v>
      </c>
      <c r="H9" s="1223">
        <f>'Proctor '!X29</f>
        <v>0.224</v>
      </c>
      <c r="I9" s="1201" t="s">
        <v>243</v>
      </c>
      <c r="J9" s="1226" t="s">
        <v>243</v>
      </c>
      <c r="K9" s="1204" t="s">
        <v>243</v>
      </c>
      <c r="L9" s="1203"/>
      <c r="M9" s="1144"/>
      <c r="O9" s="1207">
        <v>1</v>
      </c>
      <c r="P9" s="1208"/>
      <c r="Q9" s="1213">
        <v>0.03</v>
      </c>
      <c r="R9" s="1202"/>
      <c r="S9" s="1203"/>
    </row>
    <row r="10" spans="1:19" x14ac:dyDescent="0.2">
      <c r="A10" s="1144"/>
      <c r="B10" s="1169"/>
      <c r="C10" s="1172"/>
      <c r="D10" s="1173"/>
      <c r="E10" s="1173"/>
      <c r="F10" s="1173"/>
      <c r="G10" s="1204"/>
      <c r="H10" s="1223"/>
      <c r="I10" s="1202"/>
      <c r="J10" s="1226"/>
      <c r="K10" s="1204"/>
      <c r="L10" s="1203"/>
      <c r="M10" s="1144"/>
      <c r="O10" s="1209"/>
      <c r="P10" s="1210"/>
      <c r="Q10" s="1214"/>
      <c r="R10" s="1202"/>
      <c r="S10" s="1203"/>
    </row>
    <row r="11" spans="1:19" x14ac:dyDescent="0.2">
      <c r="A11" s="1144"/>
      <c r="B11" s="1169"/>
      <c r="C11" s="1172"/>
      <c r="D11" s="1173"/>
      <c r="E11" s="1173"/>
      <c r="F11" s="1173"/>
      <c r="G11" s="1204"/>
      <c r="H11" s="1223"/>
      <c r="I11" s="1202"/>
      <c r="J11" s="1226"/>
      <c r="K11" s="1204"/>
      <c r="L11" s="1203"/>
      <c r="M11" s="1144"/>
      <c r="O11" s="1211"/>
      <c r="P11" s="1212"/>
      <c r="Q11" s="1215"/>
      <c r="R11" s="1202"/>
      <c r="S11" s="1203"/>
    </row>
    <row r="12" spans="1:19" x14ac:dyDescent="0.2">
      <c r="A12" s="1144"/>
      <c r="B12" s="1169"/>
      <c r="C12" s="1172"/>
      <c r="D12" s="1173"/>
      <c r="E12" s="1173"/>
      <c r="F12" s="1173"/>
      <c r="G12" s="1204"/>
      <c r="H12" s="1223"/>
      <c r="I12" s="1202"/>
      <c r="J12" s="1226"/>
      <c r="K12" s="1204"/>
      <c r="L12" s="1203"/>
      <c r="M12" s="1144"/>
      <c r="O12" s="1207">
        <v>1</v>
      </c>
      <c r="P12" s="1208"/>
      <c r="Q12" s="1213">
        <v>0.04</v>
      </c>
      <c r="R12" s="1202"/>
      <c r="S12" s="1203"/>
    </row>
    <row r="13" spans="1:19" ht="12.75" customHeight="1" x14ac:dyDescent="0.2">
      <c r="A13" s="1144"/>
      <c r="B13" s="1169"/>
      <c r="C13" s="1219" t="str">
        <f>Clasificación!Z40</f>
        <v>Arena limosa con finos no plásticos, color café claro.</v>
      </c>
      <c r="D13" s="1173"/>
      <c r="E13" s="1173"/>
      <c r="F13" s="1173"/>
      <c r="G13" s="1204"/>
      <c r="H13" s="1223"/>
      <c r="I13" s="1202"/>
      <c r="J13" s="1226"/>
      <c r="K13" s="1204"/>
      <c r="L13" s="1203"/>
      <c r="M13" s="1144"/>
      <c r="O13" s="1209"/>
      <c r="P13" s="1210"/>
      <c r="Q13" s="1214"/>
      <c r="R13" s="1202"/>
      <c r="S13" s="1203"/>
    </row>
    <row r="14" spans="1:19" ht="13.5" thickBot="1" x14ac:dyDescent="0.25">
      <c r="A14" s="1144"/>
      <c r="B14" s="1169"/>
      <c r="C14" s="1219"/>
      <c r="D14" s="1173"/>
      <c r="E14" s="1173"/>
      <c r="F14" s="1173"/>
      <c r="G14" s="1204"/>
      <c r="H14" s="1223"/>
      <c r="I14" s="1202"/>
      <c r="J14" s="1226"/>
      <c r="K14" s="1204"/>
      <c r="L14" s="1203"/>
      <c r="M14" s="1144"/>
      <c r="O14" s="1216"/>
      <c r="P14" s="1217"/>
      <c r="Q14" s="1218"/>
      <c r="R14" s="1202"/>
      <c r="S14" s="1203"/>
    </row>
    <row r="15" spans="1:19" x14ac:dyDescent="0.2">
      <c r="A15" s="1144"/>
      <c r="B15" s="1169"/>
      <c r="C15" s="1219"/>
      <c r="D15" s="1173"/>
      <c r="E15" s="1173"/>
      <c r="F15" s="1173"/>
      <c r="G15" s="1204"/>
      <c r="H15" s="1223"/>
      <c r="I15" s="1202"/>
      <c r="J15" s="1226"/>
      <c r="K15" s="1204"/>
      <c r="L15" s="1203"/>
      <c r="M15" s="1144"/>
      <c r="O15" s="336"/>
      <c r="P15" s="336"/>
      <c r="Q15" s="337"/>
      <c r="R15" s="1204"/>
      <c r="S15" s="1203"/>
    </row>
    <row r="16" spans="1:19" x14ac:dyDescent="0.2">
      <c r="A16" s="1144"/>
      <c r="B16" s="1169"/>
      <c r="C16" s="1219"/>
      <c r="D16" s="1173"/>
      <c r="E16" s="1173"/>
      <c r="F16" s="1173"/>
      <c r="G16" s="1204"/>
      <c r="H16" s="1223"/>
      <c r="I16" s="1202"/>
      <c r="J16" s="1226"/>
      <c r="K16" s="1204"/>
      <c r="L16" s="1203"/>
      <c r="M16" s="1144"/>
      <c r="O16" s="338"/>
      <c r="P16" s="338"/>
      <c r="Q16" s="339"/>
      <c r="R16" s="1204"/>
      <c r="S16" s="1203"/>
    </row>
    <row r="17" spans="1:49" x14ac:dyDescent="0.2">
      <c r="A17" s="1144"/>
      <c r="B17" s="1169"/>
      <c r="C17" s="1219"/>
      <c r="D17" s="1173"/>
      <c r="E17" s="1173"/>
      <c r="F17" s="1173"/>
      <c r="G17" s="1204"/>
      <c r="H17" s="1223"/>
      <c r="I17" s="1202"/>
      <c r="J17" s="1226"/>
      <c r="K17" s="1204"/>
      <c r="L17" s="1203"/>
      <c r="M17" s="1144"/>
      <c r="O17" s="338"/>
      <c r="P17" s="338"/>
      <c r="Q17" s="339"/>
      <c r="R17" s="1204"/>
      <c r="S17" s="1203"/>
    </row>
    <row r="18" spans="1:49" x14ac:dyDescent="0.2">
      <c r="A18" s="1144"/>
      <c r="B18" s="1169"/>
      <c r="C18" s="1219"/>
      <c r="D18" s="1173"/>
      <c r="E18" s="1173"/>
      <c r="F18" s="1173"/>
      <c r="G18" s="1204"/>
      <c r="H18" s="1223"/>
      <c r="I18" s="1202"/>
      <c r="J18" s="1226"/>
      <c r="K18" s="1204"/>
      <c r="L18" s="1203"/>
      <c r="M18" s="1144"/>
      <c r="O18" s="338"/>
      <c r="P18" s="338"/>
      <c r="Q18" s="339"/>
      <c r="R18" s="1204"/>
      <c r="S18" s="1203"/>
    </row>
    <row r="19" spans="1:49" x14ac:dyDescent="0.2">
      <c r="A19" s="1144"/>
      <c r="B19" s="1169"/>
      <c r="C19" s="1219"/>
      <c r="D19" s="1173"/>
      <c r="E19" s="1173"/>
      <c r="F19" s="1173"/>
      <c r="G19" s="1204"/>
      <c r="H19" s="1223"/>
      <c r="I19" s="1202"/>
      <c r="J19" s="1226"/>
      <c r="K19" s="1204"/>
      <c r="L19" s="1203"/>
      <c r="M19" s="1144"/>
      <c r="O19" s="338"/>
      <c r="P19" s="338"/>
      <c r="Q19" s="339"/>
      <c r="R19" s="1204"/>
      <c r="S19" s="1203"/>
    </row>
    <row r="20" spans="1:49" ht="13.5" thickBot="1" x14ac:dyDescent="0.25">
      <c r="A20" s="1144"/>
      <c r="B20" s="1169"/>
      <c r="C20" s="1219"/>
      <c r="D20" s="1173"/>
      <c r="E20" s="1173"/>
      <c r="F20" s="1173"/>
      <c r="G20" s="1204"/>
      <c r="H20" s="1223"/>
      <c r="I20" s="1202"/>
      <c r="J20" s="1226"/>
      <c r="K20" s="1204"/>
      <c r="L20" s="1203"/>
      <c r="M20" s="1144"/>
      <c r="O20" s="340"/>
      <c r="P20" s="340"/>
      <c r="Q20" s="341"/>
      <c r="R20" s="1205"/>
      <c r="S20" s="1206"/>
    </row>
    <row r="21" spans="1:49" ht="13.5" thickBot="1" x14ac:dyDescent="0.25">
      <c r="A21" s="1144"/>
      <c r="B21" s="1170"/>
      <c r="C21" s="1220"/>
      <c r="D21" s="1174"/>
      <c r="E21" s="1174"/>
      <c r="F21" s="1174"/>
      <c r="G21" s="1222"/>
      <c r="H21" s="1224"/>
      <c r="I21" s="1225"/>
      <c r="J21" s="1227"/>
      <c r="K21" s="1205"/>
      <c r="L21" s="1206"/>
      <c r="M21" s="1144"/>
    </row>
    <row r="22" spans="1:49" ht="13.5" thickTop="1" x14ac:dyDescent="0.2">
      <c r="A22" s="1144"/>
      <c r="B22" s="1175"/>
      <c r="C22" s="1175"/>
      <c r="D22" s="1175"/>
      <c r="E22" s="1175"/>
      <c r="F22" s="1175"/>
      <c r="G22" s="1175"/>
      <c r="H22" s="1175"/>
      <c r="I22" s="1175"/>
      <c r="J22" s="1175"/>
      <c r="K22" s="1175"/>
      <c r="L22" s="1175"/>
      <c r="M22" s="1144"/>
    </row>
    <row r="23" spans="1:49" x14ac:dyDescent="0.2">
      <c r="A23" s="1144"/>
      <c r="B23" s="1175"/>
      <c r="C23" s="1175"/>
      <c r="D23" s="1175"/>
      <c r="E23" s="1175"/>
      <c r="F23" s="1175"/>
      <c r="G23" s="1175"/>
      <c r="H23" s="1175"/>
      <c r="I23" s="1175"/>
      <c r="J23" s="1175"/>
      <c r="K23" s="1175"/>
      <c r="L23" s="1175"/>
      <c r="M23" s="1144"/>
    </row>
    <row r="24" spans="1:49" ht="13.5" thickBot="1" x14ac:dyDescent="0.25">
      <c r="A24" s="1144"/>
      <c r="B24" s="1175"/>
      <c r="C24" s="1175"/>
      <c r="D24" s="1175"/>
      <c r="E24" s="1175"/>
      <c r="F24" s="1175"/>
      <c r="G24" s="1175"/>
      <c r="H24" s="1175"/>
      <c r="I24" s="1175"/>
      <c r="J24" s="1175"/>
      <c r="K24" s="1175"/>
      <c r="L24" s="1175"/>
      <c r="M24" s="1144"/>
    </row>
    <row r="25" spans="1:49" ht="12.75" customHeight="1" x14ac:dyDescent="0.2">
      <c r="C25" s="342"/>
      <c r="D25" s="1176" t="s">
        <v>244</v>
      </c>
      <c r="E25" s="1177"/>
      <c r="F25" s="1177"/>
      <c r="G25" s="1177"/>
      <c r="H25" s="1177"/>
      <c r="I25" s="1177"/>
      <c r="J25" s="1177"/>
      <c r="K25" s="1177"/>
      <c r="L25" s="1178"/>
      <c r="M25" s="1144"/>
    </row>
    <row r="26" spans="1:49" ht="12.75" customHeight="1" thickBot="1" x14ac:dyDescent="0.25">
      <c r="C26" s="342"/>
      <c r="D26" s="1179"/>
      <c r="E26" s="1180"/>
      <c r="F26" s="1180"/>
      <c r="G26" s="1180"/>
      <c r="H26" s="1180"/>
      <c r="I26" s="1180"/>
      <c r="J26" s="1180"/>
      <c r="K26" s="1180"/>
      <c r="L26" s="1181"/>
      <c r="M26" s="1144"/>
    </row>
    <row r="27" spans="1:49" ht="6.75" customHeight="1" thickBot="1" x14ac:dyDescent="0.25">
      <c r="D27" s="1182"/>
      <c r="E27" s="1144"/>
      <c r="F27" s="1144"/>
      <c r="G27" s="1144"/>
      <c r="H27" s="1144"/>
      <c r="I27" s="1144"/>
      <c r="J27" s="1144"/>
      <c r="K27" s="1144"/>
      <c r="L27" s="1183"/>
      <c r="M27" s="1144"/>
    </row>
    <row r="28" spans="1:49" ht="56.25" customHeight="1" thickBot="1" x14ac:dyDescent="0.25">
      <c r="B28" s="1184"/>
      <c r="C28" s="1184"/>
      <c r="D28" s="343" t="s">
        <v>237</v>
      </c>
      <c r="E28" s="344" t="s">
        <v>192</v>
      </c>
      <c r="F28" s="344" t="s">
        <v>245</v>
      </c>
      <c r="G28" s="344" t="s">
        <v>246</v>
      </c>
      <c r="H28" s="344" t="s">
        <v>247</v>
      </c>
      <c r="I28" s="1185" t="s">
        <v>248</v>
      </c>
      <c r="J28" s="1185"/>
      <c r="K28" s="1185"/>
      <c r="L28" s="1186"/>
      <c r="M28" s="1144"/>
      <c r="N28" s="345">
        <f>AVERAGE(H29:H76)</f>
        <v>1.0517343000054642</v>
      </c>
      <c r="O28" s="346"/>
      <c r="P28" s="346"/>
      <c r="Q28" s="346"/>
      <c r="R28" s="346"/>
      <c r="S28" s="346"/>
      <c r="T28" s="346"/>
      <c r="U28" s="346"/>
      <c r="V28" s="346"/>
      <c r="W28" s="346"/>
      <c r="X28" s="346"/>
      <c r="Y28" s="346"/>
      <c r="Z28" s="346"/>
      <c r="AA28" s="346"/>
      <c r="AB28" s="346"/>
      <c r="AC28" s="346"/>
      <c r="AD28" s="346"/>
      <c r="AE28" s="346"/>
      <c r="AF28" s="346"/>
      <c r="AG28" s="346"/>
      <c r="AH28" s="346"/>
      <c r="AI28" s="346"/>
      <c r="AJ28" s="346"/>
      <c r="AK28" s="346"/>
      <c r="AL28" s="346"/>
      <c r="AM28" s="346"/>
      <c r="AN28" s="346"/>
      <c r="AO28" s="346"/>
      <c r="AP28" s="346"/>
      <c r="AQ28" s="346"/>
      <c r="AR28" s="346"/>
      <c r="AS28" s="346"/>
      <c r="AT28" s="346"/>
      <c r="AU28" s="346"/>
      <c r="AV28" s="346"/>
      <c r="AW28" s="347"/>
    </row>
    <row r="29" spans="1:49" ht="8.25" customHeight="1" x14ac:dyDescent="0.2">
      <c r="C29" s="1228">
        <v>1</v>
      </c>
      <c r="D29" s="1229">
        <f>G9</f>
        <v>1411.3</v>
      </c>
      <c r="E29" s="1231">
        <f>H9</f>
        <v>0.224</v>
      </c>
      <c r="F29" s="1233">
        <f>'[9]densidad cono y arena (1).'!O30</f>
        <v>1508.7748686440611</v>
      </c>
      <c r="G29" s="1235">
        <f>'[9]densidad cono y arena (1).'!O41</f>
        <v>0.20422535211267606</v>
      </c>
      <c r="H29" s="1237">
        <f t="shared" ref="H29" si="0">F29/D29</f>
        <v>1.0690674333196777</v>
      </c>
      <c r="I29" s="1239" t="str">
        <f>'[9]densidad cono y arena (1).'!H11</f>
        <v>COMPACTACION DE RELLENO PARA LA CONSTRUCCION DE SOLERA DE PLATAFORMA PARA ESCANER PROVISIONAL; MATERIAL DE BANCO ALGODÓN; CANTON EL ALGODÓN, CARRETERA RUTA MILITAR DEPTO. DE  LA UNION</v>
      </c>
      <c r="J29" s="1239"/>
      <c r="K29" s="1239"/>
      <c r="L29" s="1240"/>
      <c r="M29" s="348"/>
      <c r="N29" s="346"/>
      <c r="O29" s="346"/>
      <c r="P29" s="346"/>
      <c r="Q29" s="346"/>
      <c r="R29" s="346"/>
      <c r="S29" s="346"/>
      <c r="T29" s="346"/>
      <c r="U29" s="346"/>
      <c r="V29" s="346"/>
      <c r="W29" s="346"/>
      <c r="X29" s="346"/>
      <c r="Y29" s="346"/>
      <c r="Z29" s="346"/>
      <c r="AA29" s="346"/>
      <c r="AB29" s="346"/>
      <c r="AC29" s="346"/>
      <c r="AD29" s="346"/>
      <c r="AE29" s="346"/>
      <c r="AF29" s="346"/>
      <c r="AG29" s="346"/>
      <c r="AH29" s="346"/>
      <c r="AI29" s="346"/>
      <c r="AJ29" s="346"/>
      <c r="AK29" s="346"/>
      <c r="AL29" s="346"/>
      <c r="AM29" s="346"/>
      <c r="AN29" s="346"/>
      <c r="AO29" s="346"/>
      <c r="AP29" s="346"/>
      <c r="AQ29" s="346"/>
      <c r="AR29" s="346"/>
      <c r="AS29" s="346"/>
      <c r="AT29" s="346"/>
      <c r="AU29" s="346"/>
      <c r="AV29" s="347"/>
    </row>
    <row r="30" spans="1:49" ht="8.25" customHeight="1" x14ac:dyDescent="0.2">
      <c r="C30" s="1228"/>
      <c r="D30" s="1230"/>
      <c r="E30" s="1232"/>
      <c r="F30" s="1234"/>
      <c r="G30" s="1236"/>
      <c r="H30" s="1238"/>
      <c r="I30" s="1241"/>
      <c r="J30" s="1241"/>
      <c r="K30" s="1241"/>
      <c r="L30" s="1242"/>
      <c r="M30" s="349"/>
      <c r="N30" s="350"/>
      <c r="O30" s="350"/>
      <c r="P30" s="350"/>
      <c r="Q30" s="350"/>
      <c r="R30" s="350"/>
      <c r="S30" s="350"/>
      <c r="T30" s="350"/>
      <c r="U30" s="350"/>
      <c r="V30" s="350"/>
      <c r="W30" s="350"/>
      <c r="X30" s="350"/>
      <c r="Y30" s="350"/>
      <c r="Z30" s="350"/>
      <c r="AA30" s="350"/>
      <c r="AB30" s="350"/>
      <c r="AC30" s="350"/>
      <c r="AD30" s="350"/>
      <c r="AE30" s="350"/>
      <c r="AF30" s="350"/>
      <c r="AG30" s="350"/>
      <c r="AH30" s="350"/>
      <c r="AI30" s="350"/>
      <c r="AJ30" s="350"/>
      <c r="AK30" s="350"/>
      <c r="AL30" s="350"/>
      <c r="AM30" s="350"/>
      <c r="AN30" s="350"/>
      <c r="AO30" s="350"/>
      <c r="AP30" s="350"/>
      <c r="AQ30" s="350"/>
      <c r="AR30" s="350"/>
      <c r="AS30" s="350"/>
      <c r="AT30" s="350"/>
      <c r="AU30" s="350"/>
      <c r="AV30" s="351"/>
    </row>
    <row r="31" spans="1:49" ht="8.25" customHeight="1" x14ac:dyDescent="0.2">
      <c r="C31" s="1228"/>
      <c r="D31" s="1230"/>
      <c r="E31" s="1232"/>
      <c r="F31" s="1234"/>
      <c r="G31" s="1236"/>
      <c r="H31" s="1238"/>
      <c r="I31" s="1241"/>
      <c r="J31" s="1241"/>
      <c r="K31" s="1241"/>
      <c r="L31" s="1242"/>
    </row>
    <row r="32" spans="1:49" ht="8.25" customHeight="1" x14ac:dyDescent="0.2">
      <c r="C32" s="1228"/>
      <c r="D32" s="1230"/>
      <c r="E32" s="1232"/>
      <c r="F32" s="1234"/>
      <c r="G32" s="1236"/>
      <c r="H32" s="1238"/>
      <c r="I32" s="1241"/>
      <c r="J32" s="1241"/>
      <c r="K32" s="1241"/>
      <c r="L32" s="1242"/>
    </row>
    <row r="33" spans="3:12" ht="8.25" customHeight="1" x14ac:dyDescent="0.2">
      <c r="C33" s="1228"/>
      <c r="D33" s="1230"/>
      <c r="E33" s="1232"/>
      <c r="F33" s="1234"/>
      <c r="G33" s="1236"/>
      <c r="H33" s="1238"/>
      <c r="I33" s="1241"/>
      <c r="J33" s="1241"/>
      <c r="K33" s="1241"/>
      <c r="L33" s="1242"/>
    </row>
    <row r="34" spans="3:12" ht="8.25" customHeight="1" x14ac:dyDescent="0.2">
      <c r="C34" s="1228"/>
      <c r="D34" s="1230"/>
      <c r="E34" s="1232"/>
      <c r="F34" s="1234"/>
      <c r="G34" s="1236"/>
      <c r="H34" s="1238"/>
      <c r="I34" s="1241"/>
      <c r="J34" s="1241"/>
      <c r="K34" s="1241"/>
      <c r="L34" s="1242"/>
    </row>
    <row r="35" spans="3:12" ht="8.25" customHeight="1" x14ac:dyDescent="0.2">
      <c r="C35" s="1228">
        <v>2</v>
      </c>
      <c r="D35" s="1230">
        <f>D29</f>
        <v>1411.3</v>
      </c>
      <c r="E35" s="1232">
        <f>E29</f>
        <v>0.224</v>
      </c>
      <c r="F35" s="1234">
        <f>'[9]densidad cono  y arena (2)'!O30</f>
        <v>1491.1027980312379</v>
      </c>
      <c r="G35" s="1236">
        <f>'[9]densidad cono  y arena (2)'!O41</f>
        <v>0.20814479638009051</v>
      </c>
      <c r="H35" s="1238">
        <f t="shared" ref="H35:H95" si="1">F35/D35</f>
        <v>1.0565455948637694</v>
      </c>
      <c r="I35" s="1241" t="str">
        <f>'[9]densidad cono  y arena (2)'!H11</f>
        <v>COMPACTACION DE RELLENO PARA LA CONSTRUCCION DE SOLERA DE PLATAFORMA PARA ESCANER PROVISIONAL; MATERIAL DE BANCO ALGODÓN; CANTON EL ALGODÓN, CARRETERA RUTA MILITAR DEPTO. DE  LA UNION</v>
      </c>
      <c r="J35" s="1241"/>
      <c r="K35" s="1241"/>
      <c r="L35" s="1242"/>
    </row>
    <row r="36" spans="3:12" ht="8.25" customHeight="1" x14ac:dyDescent="0.2">
      <c r="C36" s="1228"/>
      <c r="D36" s="1230"/>
      <c r="E36" s="1232"/>
      <c r="F36" s="1234"/>
      <c r="G36" s="1236"/>
      <c r="H36" s="1238"/>
      <c r="I36" s="1241"/>
      <c r="J36" s="1241"/>
      <c r="K36" s="1241"/>
      <c r="L36" s="1242"/>
    </row>
    <row r="37" spans="3:12" ht="8.25" customHeight="1" x14ac:dyDescent="0.2">
      <c r="C37" s="1228"/>
      <c r="D37" s="1230"/>
      <c r="E37" s="1232"/>
      <c r="F37" s="1234"/>
      <c r="G37" s="1236"/>
      <c r="H37" s="1238"/>
      <c r="I37" s="1241"/>
      <c r="J37" s="1241"/>
      <c r="K37" s="1241"/>
      <c r="L37" s="1242"/>
    </row>
    <row r="38" spans="3:12" ht="8.25" customHeight="1" x14ac:dyDescent="0.2">
      <c r="C38" s="1228"/>
      <c r="D38" s="1230"/>
      <c r="E38" s="1232"/>
      <c r="F38" s="1234"/>
      <c r="G38" s="1236"/>
      <c r="H38" s="1238"/>
      <c r="I38" s="1241"/>
      <c r="J38" s="1241"/>
      <c r="K38" s="1241"/>
      <c r="L38" s="1242"/>
    </row>
    <row r="39" spans="3:12" ht="8.25" customHeight="1" x14ac:dyDescent="0.2">
      <c r="C39" s="1228"/>
      <c r="D39" s="1230"/>
      <c r="E39" s="1232"/>
      <c r="F39" s="1234"/>
      <c r="G39" s="1236"/>
      <c r="H39" s="1238"/>
      <c r="I39" s="1241"/>
      <c r="J39" s="1241"/>
      <c r="K39" s="1241"/>
      <c r="L39" s="1242"/>
    </row>
    <row r="40" spans="3:12" ht="8.25" customHeight="1" x14ac:dyDescent="0.2">
      <c r="C40" s="1228"/>
      <c r="D40" s="1230"/>
      <c r="E40" s="1232"/>
      <c r="F40" s="1234"/>
      <c r="G40" s="1236"/>
      <c r="H40" s="1238"/>
      <c r="I40" s="1241"/>
      <c r="J40" s="1241"/>
      <c r="K40" s="1241"/>
      <c r="L40" s="1242"/>
    </row>
    <row r="41" spans="3:12" ht="8.25" customHeight="1" x14ac:dyDescent="0.2">
      <c r="C41" s="1228">
        <v>3</v>
      </c>
      <c r="D41" s="1230">
        <f t="shared" ref="D41:E41" si="2">D29</f>
        <v>1411.3</v>
      </c>
      <c r="E41" s="1232">
        <f t="shared" si="2"/>
        <v>0.224</v>
      </c>
      <c r="F41" s="1234">
        <f>'[9]densidad cono  y arena (3).'!O30</f>
        <v>1499.471323297068</v>
      </c>
      <c r="G41" s="1236">
        <f>'[9]densidad cono  y arena (3).'!O41</f>
        <v>0.2</v>
      </c>
      <c r="H41" s="1238">
        <f t="shared" si="1"/>
        <v>1.062475252105908</v>
      </c>
      <c r="I41" s="1241" t="str">
        <f>'[9]densidad cono  y arena (3).'!H11</f>
        <v>COMPACTACION DE RELLENO PARA LA CONSTRUCCION DE SOLERA DE PLATAFORMA PARA ESCANER PROVISIONAL; MATERIAL DE BANCO ALGODÓN; CANTON EL ALGODÓN, CARRETERA RUTA MILITAR DEPTO. DE  LA UNION</v>
      </c>
      <c r="J41" s="1241"/>
      <c r="K41" s="1241"/>
      <c r="L41" s="1242"/>
    </row>
    <row r="42" spans="3:12" ht="8.25" customHeight="1" x14ac:dyDescent="0.2">
      <c r="C42" s="1228"/>
      <c r="D42" s="1230"/>
      <c r="E42" s="1232"/>
      <c r="F42" s="1234"/>
      <c r="G42" s="1236"/>
      <c r="H42" s="1238"/>
      <c r="I42" s="1241"/>
      <c r="J42" s="1241"/>
      <c r="K42" s="1241"/>
      <c r="L42" s="1242"/>
    </row>
    <row r="43" spans="3:12" ht="8.25" customHeight="1" x14ac:dyDescent="0.2">
      <c r="C43" s="1228"/>
      <c r="D43" s="1230"/>
      <c r="E43" s="1232"/>
      <c r="F43" s="1234"/>
      <c r="G43" s="1236"/>
      <c r="H43" s="1238"/>
      <c r="I43" s="1241"/>
      <c r="J43" s="1241"/>
      <c r="K43" s="1241"/>
      <c r="L43" s="1242"/>
    </row>
    <row r="44" spans="3:12" ht="8.25" customHeight="1" x14ac:dyDescent="0.2">
      <c r="C44" s="1228"/>
      <c r="D44" s="1230"/>
      <c r="E44" s="1232"/>
      <c r="F44" s="1234"/>
      <c r="G44" s="1236"/>
      <c r="H44" s="1238"/>
      <c r="I44" s="1241"/>
      <c r="J44" s="1241"/>
      <c r="K44" s="1241"/>
      <c r="L44" s="1242"/>
    </row>
    <row r="45" spans="3:12" ht="8.25" customHeight="1" x14ac:dyDescent="0.2">
      <c r="C45" s="1228"/>
      <c r="D45" s="1230"/>
      <c r="E45" s="1232"/>
      <c r="F45" s="1234"/>
      <c r="G45" s="1236"/>
      <c r="H45" s="1238"/>
      <c r="I45" s="1241"/>
      <c r="J45" s="1241"/>
      <c r="K45" s="1241"/>
      <c r="L45" s="1242"/>
    </row>
    <row r="46" spans="3:12" ht="8.25" customHeight="1" x14ac:dyDescent="0.2">
      <c r="C46" s="1228"/>
      <c r="D46" s="1230"/>
      <c r="E46" s="1232"/>
      <c r="F46" s="1234"/>
      <c r="G46" s="1236"/>
      <c r="H46" s="1238"/>
      <c r="I46" s="1241"/>
      <c r="J46" s="1241"/>
      <c r="K46" s="1241"/>
      <c r="L46" s="1242"/>
    </row>
    <row r="47" spans="3:12" ht="8.25" customHeight="1" x14ac:dyDescent="0.2">
      <c r="C47" s="1228">
        <v>4</v>
      </c>
      <c r="D47" s="1243">
        <f t="shared" ref="D47:E47" si="3">D35</f>
        <v>1411.3</v>
      </c>
      <c r="E47" s="1244">
        <f t="shared" si="3"/>
        <v>0.224</v>
      </c>
      <c r="F47" s="1245">
        <f>'[9]densidad cono  y arena (4) '!O30</f>
        <v>1498.0816898177814</v>
      </c>
      <c r="G47" s="1246">
        <f>'[9]densidad cono  y arena (4) '!O41</f>
        <v>0.21301775147928995</v>
      </c>
      <c r="H47" s="1247">
        <f t="shared" si="1"/>
        <v>1.06149060427817</v>
      </c>
      <c r="I47" s="1248" t="str">
        <f>'[9]densidad cono  y arena (4) '!H11</f>
        <v>COMPACTACION DE RELLENO PARA LA CONSTRUCCION DE SOLERA DE PLATAFORMA PARA ESCANER PROVISIONAL; MATERIAL DE BANCO ALGODÓN; CANTON EL ALGODÓN, CARRETERA RUTA MILITAR DEPTO. DE  LA UNION</v>
      </c>
      <c r="J47" s="1248"/>
      <c r="K47" s="1248"/>
      <c r="L47" s="1249"/>
    </row>
    <row r="48" spans="3:12" ht="8.25" customHeight="1" x14ac:dyDescent="0.2">
      <c r="C48" s="1228"/>
      <c r="D48" s="1243"/>
      <c r="E48" s="1244"/>
      <c r="F48" s="1245"/>
      <c r="G48" s="1246"/>
      <c r="H48" s="1247"/>
      <c r="I48" s="1248"/>
      <c r="J48" s="1248"/>
      <c r="K48" s="1248"/>
      <c r="L48" s="1249"/>
    </row>
    <row r="49" spans="3:12" ht="8.25" customHeight="1" x14ac:dyDescent="0.2">
      <c r="C49" s="1228"/>
      <c r="D49" s="1243"/>
      <c r="E49" s="1244"/>
      <c r="F49" s="1245"/>
      <c r="G49" s="1246"/>
      <c r="H49" s="1247"/>
      <c r="I49" s="1248"/>
      <c r="J49" s="1248"/>
      <c r="K49" s="1248"/>
      <c r="L49" s="1249"/>
    </row>
    <row r="50" spans="3:12" ht="8.25" customHeight="1" x14ac:dyDescent="0.2">
      <c r="C50" s="1228"/>
      <c r="D50" s="1243"/>
      <c r="E50" s="1244"/>
      <c r="F50" s="1245"/>
      <c r="G50" s="1246"/>
      <c r="H50" s="1247"/>
      <c r="I50" s="1248"/>
      <c r="J50" s="1248"/>
      <c r="K50" s="1248"/>
      <c r="L50" s="1249"/>
    </row>
    <row r="51" spans="3:12" ht="8.25" customHeight="1" x14ac:dyDescent="0.2">
      <c r="C51" s="1228"/>
      <c r="D51" s="1243"/>
      <c r="E51" s="1244"/>
      <c r="F51" s="1245"/>
      <c r="G51" s="1246"/>
      <c r="H51" s="1247"/>
      <c r="I51" s="1248"/>
      <c r="J51" s="1248"/>
      <c r="K51" s="1248"/>
      <c r="L51" s="1249"/>
    </row>
    <row r="52" spans="3:12" ht="8.25" customHeight="1" x14ac:dyDescent="0.2">
      <c r="C52" s="1228"/>
      <c r="D52" s="1243"/>
      <c r="E52" s="1244"/>
      <c r="F52" s="1245"/>
      <c r="G52" s="1246"/>
      <c r="H52" s="1247"/>
      <c r="I52" s="1248"/>
      <c r="J52" s="1248"/>
      <c r="K52" s="1248"/>
      <c r="L52" s="1249"/>
    </row>
    <row r="53" spans="3:12" ht="8.25" customHeight="1" x14ac:dyDescent="0.2">
      <c r="C53" s="1228">
        <v>5</v>
      </c>
      <c r="D53" s="1243">
        <f t="shared" ref="D53:E53" si="4">D41</f>
        <v>1411.3</v>
      </c>
      <c r="E53" s="1244">
        <f t="shared" si="4"/>
        <v>0.224</v>
      </c>
      <c r="F53" s="1245">
        <f>'[9]densidad cono  y arena (5)'!O30</f>
        <v>1488.9435221849667</v>
      </c>
      <c r="G53" s="1246">
        <f>'[9]densidad cono  y arena (5)'!O41</f>
        <v>0.19270833333333334</v>
      </c>
      <c r="H53" s="1247">
        <f t="shared" si="1"/>
        <v>1.0550156041840619</v>
      </c>
      <c r="I53" s="1248" t="str">
        <f>'[9]densidad cono  y arena (5)'!H11</f>
        <v>COMPACTACION DE RELLENO PARA LA CONSTRUCCION DE SOLERA DE PLATAFORMA PARA ESCANER PROVISIONAL; MATERIAL DE BANCO ALGODÓN, COMPACTADO  CON EL 5% DE CEMENTO REGIONAL TIPO GU ASTM C-1157; BANCO PROCEDENTE DE CANTON EL ALGODÓN, CARRETERA RUTA MILITAR DEPTO. DE  LA UNION.</v>
      </c>
      <c r="J53" s="1248"/>
      <c r="K53" s="1248"/>
      <c r="L53" s="1249"/>
    </row>
    <row r="54" spans="3:12" ht="8.25" customHeight="1" x14ac:dyDescent="0.2">
      <c r="C54" s="1228"/>
      <c r="D54" s="1243"/>
      <c r="E54" s="1244"/>
      <c r="F54" s="1245"/>
      <c r="G54" s="1246"/>
      <c r="H54" s="1247"/>
      <c r="I54" s="1248"/>
      <c r="J54" s="1248"/>
      <c r="K54" s="1248"/>
      <c r="L54" s="1249"/>
    </row>
    <row r="55" spans="3:12" ht="8.25" customHeight="1" x14ac:dyDescent="0.2">
      <c r="C55" s="1228"/>
      <c r="D55" s="1243"/>
      <c r="E55" s="1244"/>
      <c r="F55" s="1245"/>
      <c r="G55" s="1246"/>
      <c r="H55" s="1247"/>
      <c r="I55" s="1248"/>
      <c r="J55" s="1248"/>
      <c r="K55" s="1248"/>
      <c r="L55" s="1249"/>
    </row>
    <row r="56" spans="3:12" ht="8.25" customHeight="1" x14ac:dyDescent="0.2">
      <c r="C56" s="1228"/>
      <c r="D56" s="1243"/>
      <c r="E56" s="1244"/>
      <c r="F56" s="1245"/>
      <c r="G56" s="1246"/>
      <c r="H56" s="1247"/>
      <c r="I56" s="1248"/>
      <c r="J56" s="1248"/>
      <c r="K56" s="1248"/>
      <c r="L56" s="1249"/>
    </row>
    <row r="57" spans="3:12" ht="8.25" customHeight="1" x14ac:dyDescent="0.2">
      <c r="C57" s="1228"/>
      <c r="D57" s="1243"/>
      <c r="E57" s="1244"/>
      <c r="F57" s="1245"/>
      <c r="G57" s="1246"/>
      <c r="H57" s="1247"/>
      <c r="I57" s="1248"/>
      <c r="J57" s="1248"/>
      <c r="K57" s="1248"/>
      <c r="L57" s="1249"/>
    </row>
    <row r="58" spans="3:12" ht="8.25" customHeight="1" x14ac:dyDescent="0.2">
      <c r="C58" s="1228"/>
      <c r="D58" s="1243"/>
      <c r="E58" s="1244"/>
      <c r="F58" s="1245"/>
      <c r="G58" s="1246"/>
      <c r="H58" s="1247"/>
      <c r="I58" s="1248"/>
      <c r="J58" s="1248"/>
      <c r="K58" s="1248"/>
      <c r="L58" s="1249"/>
    </row>
    <row r="59" spans="3:12" ht="8.25" customHeight="1" x14ac:dyDescent="0.2">
      <c r="C59" s="1228">
        <v>6</v>
      </c>
      <c r="D59" s="1243">
        <f t="shared" ref="D59:E59" si="5">D47</f>
        <v>1411.3</v>
      </c>
      <c r="E59" s="1244">
        <f t="shared" si="5"/>
        <v>0.224</v>
      </c>
      <c r="F59" s="1245">
        <f>'[9]densidad cono  y arena (6)'!O30</f>
        <v>1502.7145424281366</v>
      </c>
      <c r="G59" s="1246">
        <f>'[9]densidad cono  y arena (6)'!O41</f>
        <v>0.17419354838709677</v>
      </c>
      <c r="H59" s="1247">
        <f t="shared" si="1"/>
        <v>1.0647732887608139</v>
      </c>
      <c r="I59" s="1248" t="str">
        <f>'[9]densidad cono  y arena (6)'!H11</f>
        <v>COMPACTACION DE RELLENO PARA LA CONSTRUCCION DE SOLERA DE PLATAFORMA PARA ESCANER PROVISIONAL; MATERIAL DE BANCO ALGODÓN, COMPACTADO  CON EL 5% DE CEMENTO REGIONAL TIPO GU ASTM C-1157; BANCO PROCEDENTE DE CANTON EL ALGODÓN, CARRETERA RUTA MILITAR DEPTO. DE  LA UNION.</v>
      </c>
      <c r="J59" s="1248"/>
      <c r="K59" s="1248"/>
      <c r="L59" s="1249"/>
    </row>
    <row r="60" spans="3:12" ht="8.25" customHeight="1" x14ac:dyDescent="0.2">
      <c r="C60" s="1228"/>
      <c r="D60" s="1243"/>
      <c r="E60" s="1244"/>
      <c r="F60" s="1245"/>
      <c r="G60" s="1246"/>
      <c r="H60" s="1247"/>
      <c r="I60" s="1248"/>
      <c r="J60" s="1248"/>
      <c r="K60" s="1248"/>
      <c r="L60" s="1249"/>
    </row>
    <row r="61" spans="3:12" ht="8.25" customHeight="1" x14ac:dyDescent="0.2">
      <c r="C61" s="1228"/>
      <c r="D61" s="1243"/>
      <c r="E61" s="1244"/>
      <c r="F61" s="1245"/>
      <c r="G61" s="1246"/>
      <c r="H61" s="1247"/>
      <c r="I61" s="1248"/>
      <c r="J61" s="1248"/>
      <c r="K61" s="1248"/>
      <c r="L61" s="1249"/>
    </row>
    <row r="62" spans="3:12" ht="8.25" customHeight="1" x14ac:dyDescent="0.2">
      <c r="C62" s="1228"/>
      <c r="D62" s="1243"/>
      <c r="E62" s="1244"/>
      <c r="F62" s="1245"/>
      <c r="G62" s="1246"/>
      <c r="H62" s="1247"/>
      <c r="I62" s="1248"/>
      <c r="J62" s="1248"/>
      <c r="K62" s="1248"/>
      <c r="L62" s="1249"/>
    </row>
    <row r="63" spans="3:12" ht="8.25" customHeight="1" x14ac:dyDescent="0.2">
      <c r="C63" s="1228"/>
      <c r="D63" s="1243"/>
      <c r="E63" s="1244"/>
      <c r="F63" s="1245"/>
      <c r="G63" s="1246"/>
      <c r="H63" s="1247"/>
      <c r="I63" s="1248"/>
      <c r="J63" s="1248"/>
      <c r="K63" s="1248"/>
      <c r="L63" s="1249"/>
    </row>
    <row r="64" spans="3:12" ht="8.25" customHeight="1" thickBot="1" x14ac:dyDescent="0.25">
      <c r="C64" s="1228"/>
      <c r="D64" s="1250"/>
      <c r="E64" s="1251"/>
      <c r="F64" s="1252"/>
      <c r="G64" s="1253"/>
      <c r="H64" s="1254"/>
      <c r="I64" s="1255"/>
      <c r="J64" s="1255"/>
      <c r="K64" s="1255"/>
      <c r="L64" s="1256"/>
    </row>
    <row r="65" spans="3:12" ht="8.25" customHeight="1" x14ac:dyDescent="0.2">
      <c r="C65" s="1228">
        <v>7</v>
      </c>
      <c r="D65" s="1259">
        <f t="shared" ref="D65:E65" si="6">D53</f>
        <v>1411.3</v>
      </c>
      <c r="E65" s="1260">
        <f t="shared" si="6"/>
        <v>0.224</v>
      </c>
      <c r="F65" s="1261">
        <f>'[9]densidad cono  y arena (7)'!O30</f>
        <v>1489.088267903672</v>
      </c>
      <c r="G65" s="1262">
        <f>'[9]densidad cono  y arena (7)'!O41</f>
        <v>0.1702127659574468</v>
      </c>
      <c r="H65" s="1263">
        <f t="shared" si="1"/>
        <v>1.0551181661614626</v>
      </c>
      <c r="I65" s="1257" t="str">
        <f>'[9]densidad cono  y arena (7)'!H11</f>
        <v>COMPACTACION DE RELLENO PARA LA CONSTRUCCION DE SOLERA DE PLATAFORMA PARA ESCANER PROVISIONAL; MATERIAL DE BANCO ALGODÓN, COMPACTADO  CON EL 5% DE CEMENTO REGIONAL TIPO GU ASTM C-1157; BANCO PROCEDENTE DE CANTON EL ALGODÓN, CARRETERA RUTA MILITAR DEPTO. DE  LA UNION.</v>
      </c>
      <c r="J65" s="1257"/>
      <c r="K65" s="1257"/>
      <c r="L65" s="1258"/>
    </row>
    <row r="66" spans="3:12" ht="8.25" customHeight="1" x14ac:dyDescent="0.2">
      <c r="C66" s="1228"/>
      <c r="D66" s="1243"/>
      <c r="E66" s="1244"/>
      <c r="F66" s="1245"/>
      <c r="G66" s="1246"/>
      <c r="H66" s="1247"/>
      <c r="I66" s="1248"/>
      <c r="J66" s="1248"/>
      <c r="K66" s="1248"/>
      <c r="L66" s="1249"/>
    </row>
    <row r="67" spans="3:12" ht="8.25" customHeight="1" x14ac:dyDescent="0.2">
      <c r="C67" s="1228"/>
      <c r="D67" s="1243"/>
      <c r="E67" s="1244"/>
      <c r="F67" s="1245"/>
      <c r="G67" s="1246"/>
      <c r="H67" s="1247"/>
      <c r="I67" s="1248"/>
      <c r="J67" s="1248"/>
      <c r="K67" s="1248"/>
      <c r="L67" s="1249"/>
    </row>
    <row r="68" spans="3:12" ht="8.25" customHeight="1" x14ac:dyDescent="0.2">
      <c r="C68" s="1228"/>
      <c r="D68" s="1243"/>
      <c r="E68" s="1244"/>
      <c r="F68" s="1245"/>
      <c r="G68" s="1246"/>
      <c r="H68" s="1247"/>
      <c r="I68" s="1248"/>
      <c r="J68" s="1248"/>
      <c r="K68" s="1248"/>
      <c r="L68" s="1249"/>
    </row>
    <row r="69" spans="3:12" ht="8.25" customHeight="1" x14ac:dyDescent="0.2">
      <c r="C69" s="1228"/>
      <c r="D69" s="1243"/>
      <c r="E69" s="1244"/>
      <c r="F69" s="1245"/>
      <c r="G69" s="1246"/>
      <c r="H69" s="1247"/>
      <c r="I69" s="1248"/>
      <c r="J69" s="1248"/>
      <c r="K69" s="1248"/>
      <c r="L69" s="1249"/>
    </row>
    <row r="70" spans="3:12" ht="8.25" customHeight="1" x14ac:dyDescent="0.2">
      <c r="C70" s="1228"/>
      <c r="D70" s="1243"/>
      <c r="E70" s="1244"/>
      <c r="F70" s="1245"/>
      <c r="G70" s="1246"/>
      <c r="H70" s="1247"/>
      <c r="I70" s="1248"/>
      <c r="J70" s="1248"/>
      <c r="K70" s="1248"/>
      <c r="L70" s="1249"/>
    </row>
    <row r="71" spans="3:12" ht="8.25" customHeight="1" x14ac:dyDescent="0.2">
      <c r="C71" s="1228">
        <v>8</v>
      </c>
      <c r="D71" s="1243">
        <f t="shared" ref="D71:E71" si="7">D59</f>
        <v>1411.3</v>
      </c>
      <c r="E71" s="1244">
        <f t="shared" si="7"/>
        <v>0.224</v>
      </c>
      <c r="F71" s="1245">
        <f>'[9]densidad cono  y arena (8)'!O30</f>
        <v>1396.3239284747692</v>
      </c>
      <c r="G71" s="1246">
        <f>'[9]densidad cono  y arena (8)'!O41</f>
        <v>0.19512195121951217</v>
      </c>
      <c r="H71" s="1247">
        <f t="shared" si="1"/>
        <v>0.98938845636984996</v>
      </c>
      <c r="I71" s="1248" t="str">
        <f>'[9]densidad cono  y arena (8)'!H11</f>
        <v>COMPACTACION DE RELLENO PARA LA CONSTRUCCION DE SOLERA DE PLATAFORMA PARA ESCANER PROVISIONAL; MATERIAL DE BANCO ALGODÓN, COMPACTADO  CON EL 5% DE CEMENTO REGIONAL TIPO GU ASTM C-1157; BANCO PROCEDENTE DE CANTON EL ALGODÓN, CARRETERA RUTA MILITAR DEPTO. DE  LA UNION.</v>
      </c>
      <c r="J71" s="1248"/>
      <c r="K71" s="1248"/>
      <c r="L71" s="1249"/>
    </row>
    <row r="72" spans="3:12" ht="8.25" customHeight="1" x14ac:dyDescent="0.2">
      <c r="C72" s="1228"/>
      <c r="D72" s="1243"/>
      <c r="E72" s="1244"/>
      <c r="F72" s="1245"/>
      <c r="G72" s="1246"/>
      <c r="H72" s="1247"/>
      <c r="I72" s="1248"/>
      <c r="J72" s="1248"/>
      <c r="K72" s="1248"/>
      <c r="L72" s="1249"/>
    </row>
    <row r="73" spans="3:12" ht="8.25" customHeight="1" x14ac:dyDescent="0.2">
      <c r="C73" s="1228"/>
      <c r="D73" s="1243"/>
      <c r="E73" s="1244"/>
      <c r="F73" s="1245"/>
      <c r="G73" s="1246"/>
      <c r="H73" s="1247"/>
      <c r="I73" s="1248"/>
      <c r="J73" s="1248"/>
      <c r="K73" s="1248"/>
      <c r="L73" s="1249"/>
    </row>
    <row r="74" spans="3:12" ht="8.25" customHeight="1" x14ac:dyDescent="0.2">
      <c r="C74" s="1228"/>
      <c r="D74" s="1243"/>
      <c r="E74" s="1244"/>
      <c r="F74" s="1245"/>
      <c r="G74" s="1246"/>
      <c r="H74" s="1247"/>
      <c r="I74" s="1248"/>
      <c r="J74" s="1248"/>
      <c r="K74" s="1248"/>
      <c r="L74" s="1249"/>
    </row>
    <row r="75" spans="3:12" ht="8.25" customHeight="1" x14ac:dyDescent="0.2">
      <c r="C75" s="1228"/>
      <c r="D75" s="1243"/>
      <c r="E75" s="1244"/>
      <c r="F75" s="1245"/>
      <c r="G75" s="1246"/>
      <c r="H75" s="1247"/>
      <c r="I75" s="1248"/>
      <c r="J75" s="1248"/>
      <c r="K75" s="1248"/>
      <c r="L75" s="1249"/>
    </row>
    <row r="76" spans="3:12" ht="8.25" customHeight="1" thickBot="1" x14ac:dyDescent="0.25">
      <c r="C76" s="1228"/>
      <c r="D76" s="1250"/>
      <c r="E76" s="1251"/>
      <c r="F76" s="1252"/>
      <c r="G76" s="1253"/>
      <c r="H76" s="1254"/>
      <c r="I76" s="1255"/>
      <c r="J76" s="1255"/>
      <c r="K76" s="1255"/>
      <c r="L76" s="1256"/>
    </row>
    <row r="77" spans="3:12" ht="4.5" customHeight="1" x14ac:dyDescent="0.2">
      <c r="C77" s="1228">
        <v>9</v>
      </c>
      <c r="D77" s="1259">
        <f t="shared" ref="D77:E77" si="8">D65</f>
        <v>1411.3</v>
      </c>
      <c r="E77" s="1260">
        <f t="shared" si="8"/>
        <v>0.224</v>
      </c>
      <c r="F77" s="1261">
        <f>'[9]densidad cono  y arena (9)'!O30</f>
        <v>1551.2137104356866</v>
      </c>
      <c r="G77" s="1262">
        <f>'[9]densidad cono  y arena (9)'!O41</f>
        <v>0.13492063492063486</v>
      </c>
      <c r="H77" s="1263">
        <f t="shared" si="1"/>
        <v>1.0991381778754954</v>
      </c>
      <c r="I77" s="1257" t="str">
        <f>'[9]densidad cono  y arena (9)'!H11</f>
        <v>COMPACTACION DE RELLENO PARA PISO</v>
      </c>
      <c r="J77" s="1257"/>
      <c r="K77" s="1257"/>
      <c r="L77" s="1258"/>
    </row>
    <row r="78" spans="3:12" ht="4.5" customHeight="1" x14ac:dyDescent="0.2">
      <c r="C78" s="1228"/>
      <c r="D78" s="1243"/>
      <c r="E78" s="1244"/>
      <c r="F78" s="1245"/>
      <c r="G78" s="1246"/>
      <c r="H78" s="1247"/>
      <c r="I78" s="1248"/>
      <c r="J78" s="1248"/>
      <c r="K78" s="1248"/>
      <c r="L78" s="1249"/>
    </row>
    <row r="79" spans="3:12" ht="4.5" customHeight="1" x14ac:dyDescent="0.2">
      <c r="C79" s="1228"/>
      <c r="D79" s="1243"/>
      <c r="E79" s="1244"/>
      <c r="F79" s="1245"/>
      <c r="G79" s="1246"/>
      <c r="H79" s="1247"/>
      <c r="I79" s="1248"/>
      <c r="J79" s="1248"/>
      <c r="K79" s="1248"/>
      <c r="L79" s="1249"/>
    </row>
    <row r="80" spans="3:12" ht="4.5" customHeight="1" x14ac:dyDescent="0.2">
      <c r="C80" s="1228"/>
      <c r="D80" s="1243"/>
      <c r="E80" s="1244"/>
      <c r="F80" s="1245"/>
      <c r="G80" s="1246"/>
      <c r="H80" s="1247"/>
      <c r="I80" s="1248"/>
      <c r="J80" s="1248"/>
      <c r="K80" s="1248"/>
      <c r="L80" s="1249"/>
    </row>
    <row r="81" spans="3:12" ht="4.5" customHeight="1" x14ac:dyDescent="0.2">
      <c r="C81" s="1228"/>
      <c r="D81" s="1243"/>
      <c r="E81" s="1244"/>
      <c r="F81" s="1245"/>
      <c r="G81" s="1246"/>
      <c r="H81" s="1247"/>
      <c r="I81" s="1248"/>
      <c r="J81" s="1248"/>
      <c r="K81" s="1248"/>
      <c r="L81" s="1249"/>
    </row>
    <row r="82" spans="3:12" ht="4.5" customHeight="1" x14ac:dyDescent="0.2">
      <c r="C82" s="1228"/>
      <c r="D82" s="1243"/>
      <c r="E82" s="1244"/>
      <c r="F82" s="1245"/>
      <c r="G82" s="1246"/>
      <c r="H82" s="1247"/>
      <c r="I82" s="1248"/>
      <c r="J82" s="1248"/>
      <c r="K82" s="1248"/>
      <c r="L82" s="1249"/>
    </row>
    <row r="83" spans="3:12" ht="4.5" customHeight="1" x14ac:dyDescent="0.2">
      <c r="C83" s="1228">
        <v>10</v>
      </c>
      <c r="D83" s="1243">
        <f t="shared" ref="D83:E83" si="9">D71</f>
        <v>1411.3</v>
      </c>
      <c r="E83" s="1244">
        <f t="shared" si="9"/>
        <v>0.224</v>
      </c>
      <c r="F83" s="1245">
        <f>'[9]densidad cono  y arena (10)'!O30</f>
        <v>1513.4409459559754</v>
      </c>
      <c r="G83" s="1246">
        <f>'[9]densidad cono  y arena (10)'!O41</f>
        <v>0.10447761194029895</v>
      </c>
      <c r="H83" s="1247">
        <f t="shared" si="1"/>
        <v>1.0723736597151388</v>
      </c>
      <c r="I83" s="1248" t="str">
        <f>'[9]densidad cono  y arena (10)'!H11</f>
        <v>COMPACTACION DE RELLENO PARA PISO</v>
      </c>
      <c r="J83" s="1248"/>
      <c r="K83" s="1248"/>
      <c r="L83" s="1249"/>
    </row>
    <row r="84" spans="3:12" ht="4.5" customHeight="1" x14ac:dyDescent="0.2">
      <c r="C84" s="1228"/>
      <c r="D84" s="1243"/>
      <c r="E84" s="1244"/>
      <c r="F84" s="1245"/>
      <c r="G84" s="1246"/>
      <c r="H84" s="1247"/>
      <c r="I84" s="1248"/>
      <c r="J84" s="1248"/>
      <c r="K84" s="1248"/>
      <c r="L84" s="1249"/>
    </row>
    <row r="85" spans="3:12" ht="4.5" customHeight="1" x14ac:dyDescent="0.2">
      <c r="C85" s="1228"/>
      <c r="D85" s="1243"/>
      <c r="E85" s="1244"/>
      <c r="F85" s="1245"/>
      <c r="G85" s="1246"/>
      <c r="H85" s="1247"/>
      <c r="I85" s="1248"/>
      <c r="J85" s="1248"/>
      <c r="K85" s="1248"/>
      <c r="L85" s="1249"/>
    </row>
    <row r="86" spans="3:12" ht="4.5" customHeight="1" x14ac:dyDescent="0.2">
      <c r="C86" s="1228"/>
      <c r="D86" s="1243"/>
      <c r="E86" s="1244"/>
      <c r="F86" s="1245"/>
      <c r="G86" s="1246"/>
      <c r="H86" s="1247"/>
      <c r="I86" s="1248"/>
      <c r="J86" s="1248"/>
      <c r="K86" s="1248"/>
      <c r="L86" s="1249"/>
    </row>
    <row r="87" spans="3:12" ht="4.5" customHeight="1" x14ac:dyDescent="0.2">
      <c r="C87" s="1228"/>
      <c r="D87" s="1243"/>
      <c r="E87" s="1244"/>
      <c r="F87" s="1245"/>
      <c r="G87" s="1246"/>
      <c r="H87" s="1247"/>
      <c r="I87" s="1248"/>
      <c r="J87" s="1248"/>
      <c r="K87" s="1248"/>
      <c r="L87" s="1249"/>
    </row>
    <row r="88" spans="3:12" ht="4.5" customHeight="1" x14ac:dyDescent="0.2">
      <c r="C88" s="1228"/>
      <c r="D88" s="1243"/>
      <c r="E88" s="1244"/>
      <c r="F88" s="1245"/>
      <c r="G88" s="1246"/>
      <c r="H88" s="1247"/>
      <c r="I88" s="1248"/>
      <c r="J88" s="1248"/>
      <c r="K88" s="1248"/>
      <c r="L88" s="1249"/>
    </row>
    <row r="89" spans="3:12" ht="4.5" customHeight="1" x14ac:dyDescent="0.2">
      <c r="C89" s="1228">
        <v>11</v>
      </c>
      <c r="D89" s="1243">
        <f t="shared" ref="D89:E89" si="10">D77</f>
        <v>1411.3</v>
      </c>
      <c r="E89" s="1244">
        <f t="shared" si="10"/>
        <v>0.224</v>
      </c>
      <c r="F89" s="1245">
        <f>'[9]densidad cono  y arena (11)'!O30</f>
        <v>1494.0365861669666</v>
      </c>
      <c r="G89" s="1246">
        <f>'[9]densidad cono  y arena (11)'!O41</f>
        <v>0.17171717171717163</v>
      </c>
      <c r="H89" s="1247">
        <f t="shared" si="1"/>
        <v>1.0586243790597085</v>
      </c>
      <c r="I89" s="1248" t="str">
        <f>'[9]densidad cono  y arena (11)'!H11</f>
        <v>COMPACTACION DE RELLENO PARA PISO</v>
      </c>
      <c r="J89" s="1248"/>
      <c r="K89" s="1248"/>
      <c r="L89" s="1249"/>
    </row>
    <row r="90" spans="3:12" ht="4.5" customHeight="1" x14ac:dyDescent="0.2">
      <c r="C90" s="1228"/>
      <c r="D90" s="1243"/>
      <c r="E90" s="1244"/>
      <c r="F90" s="1245"/>
      <c r="G90" s="1246"/>
      <c r="H90" s="1247"/>
      <c r="I90" s="1248"/>
      <c r="J90" s="1248"/>
      <c r="K90" s="1248"/>
      <c r="L90" s="1249"/>
    </row>
    <row r="91" spans="3:12" ht="4.5" customHeight="1" x14ac:dyDescent="0.2">
      <c r="C91" s="1228"/>
      <c r="D91" s="1243"/>
      <c r="E91" s="1244"/>
      <c r="F91" s="1245"/>
      <c r="G91" s="1246"/>
      <c r="H91" s="1247"/>
      <c r="I91" s="1248"/>
      <c r="J91" s="1248"/>
      <c r="K91" s="1248"/>
      <c r="L91" s="1249"/>
    </row>
    <row r="92" spans="3:12" ht="4.5" customHeight="1" x14ac:dyDescent="0.2">
      <c r="C92" s="1228"/>
      <c r="D92" s="1243"/>
      <c r="E92" s="1244"/>
      <c r="F92" s="1245"/>
      <c r="G92" s="1246"/>
      <c r="H92" s="1247"/>
      <c r="I92" s="1248"/>
      <c r="J92" s="1248"/>
      <c r="K92" s="1248"/>
      <c r="L92" s="1249"/>
    </row>
    <row r="93" spans="3:12" ht="4.5" customHeight="1" x14ac:dyDescent="0.2">
      <c r="C93" s="1228"/>
      <c r="D93" s="1243"/>
      <c r="E93" s="1244"/>
      <c r="F93" s="1245"/>
      <c r="G93" s="1246"/>
      <c r="H93" s="1247"/>
      <c r="I93" s="1248"/>
      <c r="J93" s="1248"/>
      <c r="K93" s="1248"/>
      <c r="L93" s="1249"/>
    </row>
    <row r="94" spans="3:12" ht="4.5" customHeight="1" x14ac:dyDescent="0.2">
      <c r="C94" s="1228"/>
      <c r="D94" s="1243"/>
      <c r="E94" s="1244"/>
      <c r="F94" s="1245"/>
      <c r="G94" s="1246"/>
      <c r="H94" s="1247"/>
      <c r="I94" s="1248"/>
      <c r="J94" s="1248"/>
      <c r="K94" s="1248"/>
      <c r="L94" s="1249"/>
    </row>
    <row r="95" spans="3:12" ht="4.5" customHeight="1" x14ac:dyDescent="0.2">
      <c r="C95" s="1228">
        <v>12</v>
      </c>
      <c r="D95" s="1243">
        <f t="shared" ref="D95:E95" si="11">D83</f>
        <v>1411.3</v>
      </c>
      <c r="E95" s="1244">
        <f t="shared" si="11"/>
        <v>0.224</v>
      </c>
      <c r="F95" s="1245">
        <f>'[9]densidad cono  y arena (12)'!O30</f>
        <v>1474.7669759204059</v>
      </c>
      <c r="G95" s="1246">
        <f>'[9]densidad cono  y arena (12)'!O41</f>
        <v>0.10377358490566052</v>
      </c>
      <c r="H95" s="1247">
        <f t="shared" si="1"/>
        <v>1.0449705774253568</v>
      </c>
      <c r="I95" s="1248" t="str">
        <f>'[9]densidad cono  y arena (12)'!H11</f>
        <v>COMPACTACION DE RELLENO PARA PISO</v>
      </c>
      <c r="J95" s="1248"/>
      <c r="K95" s="1248"/>
      <c r="L95" s="1249"/>
    </row>
    <row r="96" spans="3:12" ht="4.5" customHeight="1" x14ac:dyDescent="0.2">
      <c r="C96" s="1228"/>
      <c r="D96" s="1243"/>
      <c r="E96" s="1244"/>
      <c r="F96" s="1245"/>
      <c r="G96" s="1246"/>
      <c r="H96" s="1247"/>
      <c r="I96" s="1248"/>
      <c r="J96" s="1248"/>
      <c r="K96" s="1248"/>
      <c r="L96" s="1249"/>
    </row>
    <row r="97" spans="3:12" ht="4.5" customHeight="1" x14ac:dyDescent="0.2">
      <c r="C97" s="1228"/>
      <c r="D97" s="1243"/>
      <c r="E97" s="1244"/>
      <c r="F97" s="1245"/>
      <c r="G97" s="1246"/>
      <c r="H97" s="1247"/>
      <c r="I97" s="1248"/>
      <c r="J97" s="1248"/>
      <c r="K97" s="1248"/>
      <c r="L97" s="1249"/>
    </row>
    <row r="98" spans="3:12" ht="4.5" customHeight="1" x14ac:dyDescent="0.2">
      <c r="C98" s="1228"/>
      <c r="D98" s="1243"/>
      <c r="E98" s="1244"/>
      <c r="F98" s="1245"/>
      <c r="G98" s="1246"/>
      <c r="H98" s="1247"/>
      <c r="I98" s="1248"/>
      <c r="J98" s="1248"/>
      <c r="K98" s="1248"/>
      <c r="L98" s="1249"/>
    </row>
    <row r="99" spans="3:12" ht="4.5" customHeight="1" x14ac:dyDescent="0.2">
      <c r="C99" s="1228"/>
      <c r="D99" s="1243"/>
      <c r="E99" s="1244"/>
      <c r="F99" s="1245"/>
      <c r="G99" s="1246"/>
      <c r="H99" s="1247"/>
      <c r="I99" s="1248"/>
      <c r="J99" s="1248"/>
      <c r="K99" s="1248"/>
      <c r="L99" s="1249"/>
    </row>
    <row r="100" spans="3:12" ht="4.5" customHeight="1" x14ac:dyDescent="0.2">
      <c r="C100" s="1228"/>
      <c r="D100" s="1243"/>
      <c r="E100" s="1244"/>
      <c r="F100" s="1245"/>
      <c r="G100" s="1246"/>
      <c r="H100" s="1247"/>
      <c r="I100" s="1248"/>
      <c r="J100" s="1248"/>
      <c r="K100" s="1248"/>
      <c r="L100" s="1249"/>
    </row>
    <row r="101" spans="3:12" ht="4.5" customHeight="1" x14ac:dyDescent="0.2">
      <c r="C101" s="1228">
        <v>13</v>
      </c>
      <c r="D101" s="1243">
        <f t="shared" ref="D101:E101" si="12">D89</f>
        <v>1411.3</v>
      </c>
      <c r="E101" s="1244">
        <f t="shared" si="12"/>
        <v>0.224</v>
      </c>
      <c r="F101" s="1245">
        <f>'[9]densidad cono  y arena (13)'!O30</f>
        <v>1517.9740609851954</v>
      </c>
      <c r="G101" s="1246">
        <f>'[9]densidad cono  y arena (13)'!O41</f>
        <v>9.5238095238094872E-2</v>
      </c>
      <c r="H101" s="1247">
        <f t="shared" ref="H101:H161" si="13">F101/D101</f>
        <v>1.0755856734820346</v>
      </c>
      <c r="I101" s="1248" t="str">
        <f>'[9]densidad cono  y arena (13)'!H11</f>
        <v>COMPACTACION DE RELLENO PARA PISO</v>
      </c>
      <c r="J101" s="1248"/>
      <c r="K101" s="1248"/>
      <c r="L101" s="1249"/>
    </row>
    <row r="102" spans="3:12" ht="4.5" customHeight="1" x14ac:dyDescent="0.2">
      <c r="C102" s="1228"/>
      <c r="D102" s="1243"/>
      <c r="E102" s="1244"/>
      <c r="F102" s="1245"/>
      <c r="G102" s="1246"/>
      <c r="H102" s="1247"/>
      <c r="I102" s="1248"/>
      <c r="J102" s="1248"/>
      <c r="K102" s="1248"/>
      <c r="L102" s="1249"/>
    </row>
    <row r="103" spans="3:12" ht="4.5" customHeight="1" x14ac:dyDescent="0.2">
      <c r="C103" s="1228"/>
      <c r="D103" s="1243"/>
      <c r="E103" s="1244"/>
      <c r="F103" s="1245"/>
      <c r="G103" s="1246"/>
      <c r="H103" s="1247"/>
      <c r="I103" s="1248"/>
      <c r="J103" s="1248"/>
      <c r="K103" s="1248"/>
      <c r="L103" s="1249"/>
    </row>
    <row r="104" spans="3:12" ht="4.5" customHeight="1" x14ac:dyDescent="0.2">
      <c r="C104" s="1228"/>
      <c r="D104" s="1243"/>
      <c r="E104" s="1244"/>
      <c r="F104" s="1245"/>
      <c r="G104" s="1246"/>
      <c r="H104" s="1247"/>
      <c r="I104" s="1248"/>
      <c r="J104" s="1248"/>
      <c r="K104" s="1248"/>
      <c r="L104" s="1249"/>
    </row>
    <row r="105" spans="3:12" ht="4.5" customHeight="1" x14ac:dyDescent="0.2">
      <c r="C105" s="1228"/>
      <c r="D105" s="1243"/>
      <c r="E105" s="1244"/>
      <c r="F105" s="1245"/>
      <c r="G105" s="1246"/>
      <c r="H105" s="1247"/>
      <c r="I105" s="1248"/>
      <c r="J105" s="1248"/>
      <c r="K105" s="1248"/>
      <c r="L105" s="1249"/>
    </row>
    <row r="106" spans="3:12" ht="4.5" customHeight="1" x14ac:dyDescent="0.2">
      <c r="C106" s="1228"/>
      <c r="D106" s="1243"/>
      <c r="E106" s="1244"/>
      <c r="F106" s="1245"/>
      <c r="G106" s="1246"/>
      <c r="H106" s="1247"/>
      <c r="I106" s="1248"/>
      <c r="J106" s="1248"/>
      <c r="K106" s="1248"/>
      <c r="L106" s="1249"/>
    </row>
    <row r="107" spans="3:12" ht="4.5" customHeight="1" x14ac:dyDescent="0.2">
      <c r="C107" s="1228">
        <v>14</v>
      </c>
      <c r="D107" s="1243">
        <f t="shared" ref="D107:E107" si="14">D95</f>
        <v>1411.3</v>
      </c>
      <c r="E107" s="1244">
        <f t="shared" si="14"/>
        <v>0.224</v>
      </c>
      <c r="F107" s="1245">
        <f>'[9]densidad cono  y arena (14)'!O30</f>
        <v>1469.1746251188995</v>
      </c>
      <c r="G107" s="1246">
        <f>'[9]densidad cono  y arena (14)'!O41</f>
        <v>0.1862745098039218</v>
      </c>
      <c r="H107" s="1247">
        <f>F107/D107</f>
        <v>1.0410080246006514</v>
      </c>
      <c r="I107" s="1248" t="str">
        <f>'[9]densidad cono  y arena (14)'!H11</f>
        <v>COMPACTACION DE RELLENO PARA DE TERRAZA 2° CAPA</v>
      </c>
      <c r="J107" s="1248"/>
      <c r="K107" s="1248"/>
      <c r="L107" s="1249"/>
    </row>
    <row r="108" spans="3:12" ht="4.5" customHeight="1" x14ac:dyDescent="0.2">
      <c r="C108" s="1228"/>
      <c r="D108" s="1243"/>
      <c r="E108" s="1244"/>
      <c r="F108" s="1245"/>
      <c r="G108" s="1246"/>
      <c r="H108" s="1247"/>
      <c r="I108" s="1248"/>
      <c r="J108" s="1248"/>
      <c r="K108" s="1248"/>
      <c r="L108" s="1249"/>
    </row>
    <row r="109" spans="3:12" ht="4.5" customHeight="1" x14ac:dyDescent="0.2">
      <c r="C109" s="1228"/>
      <c r="D109" s="1243"/>
      <c r="E109" s="1244"/>
      <c r="F109" s="1245"/>
      <c r="G109" s="1246"/>
      <c r="H109" s="1247"/>
      <c r="I109" s="1248"/>
      <c r="J109" s="1248"/>
      <c r="K109" s="1248"/>
      <c r="L109" s="1249"/>
    </row>
    <row r="110" spans="3:12" ht="4.5" customHeight="1" x14ac:dyDescent="0.2">
      <c r="C110" s="1228"/>
      <c r="D110" s="1243"/>
      <c r="E110" s="1244"/>
      <c r="F110" s="1245"/>
      <c r="G110" s="1246"/>
      <c r="H110" s="1247"/>
      <c r="I110" s="1248"/>
      <c r="J110" s="1248"/>
      <c r="K110" s="1248"/>
      <c r="L110" s="1249"/>
    </row>
    <row r="111" spans="3:12" ht="4.5" customHeight="1" x14ac:dyDescent="0.2">
      <c r="C111" s="1228"/>
      <c r="D111" s="1243"/>
      <c r="E111" s="1244"/>
      <c r="F111" s="1245"/>
      <c r="G111" s="1246"/>
      <c r="H111" s="1247"/>
      <c r="I111" s="1248"/>
      <c r="J111" s="1248"/>
      <c r="K111" s="1248"/>
      <c r="L111" s="1249"/>
    </row>
    <row r="112" spans="3:12" ht="4.5" customHeight="1" x14ac:dyDescent="0.2">
      <c r="C112" s="1228"/>
      <c r="D112" s="1243"/>
      <c r="E112" s="1244"/>
      <c r="F112" s="1245"/>
      <c r="G112" s="1246"/>
      <c r="H112" s="1247"/>
      <c r="I112" s="1248"/>
      <c r="J112" s="1248"/>
      <c r="K112" s="1248"/>
      <c r="L112" s="1249"/>
    </row>
    <row r="113" spans="3:12" ht="4.5" customHeight="1" x14ac:dyDescent="0.2">
      <c r="C113" s="1228">
        <v>15</v>
      </c>
      <c r="D113" s="1243">
        <f t="shared" ref="D113:E113" si="15">D101</f>
        <v>1411.3</v>
      </c>
      <c r="E113" s="1244">
        <f t="shared" si="15"/>
        <v>0.224</v>
      </c>
      <c r="F113" s="1245">
        <f>'[9]densidad cono  y arena (15)'!O30</f>
        <v>1424.9345736943646</v>
      </c>
      <c r="G113" s="1246">
        <f>'[9]densidad cono  y arena (15)'!O41</f>
        <v>0.15322580645161279</v>
      </c>
      <c r="H113" s="1247">
        <f t="shared" si="13"/>
        <v>1.0096610031136999</v>
      </c>
      <c r="I113" s="1248" t="str">
        <f>'[9]densidad cono  y arena (15)'!H11</f>
        <v>COMPACTACION DE RELLENO PARA DE TERRAZA 2° CAPA</v>
      </c>
      <c r="J113" s="1248"/>
      <c r="K113" s="1248"/>
      <c r="L113" s="1249"/>
    </row>
    <row r="114" spans="3:12" ht="4.5" customHeight="1" x14ac:dyDescent="0.2">
      <c r="C114" s="1228"/>
      <c r="D114" s="1243"/>
      <c r="E114" s="1244"/>
      <c r="F114" s="1245"/>
      <c r="G114" s="1246"/>
      <c r="H114" s="1247"/>
      <c r="I114" s="1248"/>
      <c r="J114" s="1248"/>
      <c r="K114" s="1248"/>
      <c r="L114" s="1249"/>
    </row>
    <row r="115" spans="3:12" ht="4.5" customHeight="1" x14ac:dyDescent="0.2">
      <c r="C115" s="1228"/>
      <c r="D115" s="1243"/>
      <c r="E115" s="1244"/>
      <c r="F115" s="1245"/>
      <c r="G115" s="1246"/>
      <c r="H115" s="1247"/>
      <c r="I115" s="1248"/>
      <c r="J115" s="1248"/>
      <c r="K115" s="1248"/>
      <c r="L115" s="1249"/>
    </row>
    <row r="116" spans="3:12" ht="4.5" customHeight="1" x14ac:dyDescent="0.2">
      <c r="C116" s="1228"/>
      <c r="D116" s="1243"/>
      <c r="E116" s="1244"/>
      <c r="F116" s="1245"/>
      <c r="G116" s="1246"/>
      <c r="H116" s="1247"/>
      <c r="I116" s="1248"/>
      <c r="J116" s="1248"/>
      <c r="K116" s="1248"/>
      <c r="L116" s="1249"/>
    </row>
    <row r="117" spans="3:12" ht="4.5" customHeight="1" x14ac:dyDescent="0.2">
      <c r="C117" s="1228"/>
      <c r="D117" s="1243"/>
      <c r="E117" s="1244"/>
      <c r="F117" s="1245"/>
      <c r="G117" s="1246"/>
      <c r="H117" s="1247"/>
      <c r="I117" s="1248"/>
      <c r="J117" s="1248"/>
      <c r="K117" s="1248"/>
      <c r="L117" s="1249"/>
    </row>
    <row r="118" spans="3:12" ht="4.5" customHeight="1" x14ac:dyDescent="0.2">
      <c r="C118" s="1228"/>
      <c r="D118" s="1243"/>
      <c r="E118" s="1244"/>
      <c r="F118" s="1245"/>
      <c r="G118" s="1246"/>
      <c r="H118" s="1247"/>
      <c r="I118" s="1248"/>
      <c r="J118" s="1248"/>
      <c r="K118" s="1248"/>
      <c r="L118" s="1249"/>
    </row>
    <row r="119" spans="3:12" ht="4.5" customHeight="1" x14ac:dyDescent="0.2">
      <c r="C119" s="1228">
        <v>16</v>
      </c>
      <c r="D119" s="1243">
        <f t="shared" ref="D119:E119" si="16">D107</f>
        <v>1411.3</v>
      </c>
      <c r="E119" s="1244">
        <f t="shared" si="16"/>
        <v>0.224</v>
      </c>
      <c r="F119" s="1245">
        <f>'[9]densidad cono  y arena (16)'!O30</f>
        <v>1563.4821601975418</v>
      </c>
      <c r="G119" s="1246">
        <f>'[9]densidad cono  y arena (16)'!O41</f>
        <v>0.21739130434782605</v>
      </c>
      <c r="H119" s="1247">
        <f t="shared" si="13"/>
        <v>1.1078311912403755</v>
      </c>
      <c r="I119" s="1248" t="str">
        <f>'[9]densidad cono  y arena (16)'!H11</f>
        <v>COMPACTACION DE RELLENO PARA SOLERA DE FUNDACION</v>
      </c>
      <c r="J119" s="1248"/>
      <c r="K119" s="1248"/>
      <c r="L119" s="1249"/>
    </row>
    <row r="120" spans="3:12" ht="4.5" customHeight="1" x14ac:dyDescent="0.2">
      <c r="C120" s="1228"/>
      <c r="D120" s="1243"/>
      <c r="E120" s="1244"/>
      <c r="F120" s="1245"/>
      <c r="G120" s="1246"/>
      <c r="H120" s="1247"/>
      <c r="I120" s="1248"/>
      <c r="J120" s="1248"/>
      <c r="K120" s="1248"/>
      <c r="L120" s="1249"/>
    </row>
    <row r="121" spans="3:12" ht="4.5" customHeight="1" x14ac:dyDescent="0.2">
      <c r="C121" s="1228"/>
      <c r="D121" s="1243"/>
      <c r="E121" s="1244"/>
      <c r="F121" s="1245"/>
      <c r="G121" s="1246"/>
      <c r="H121" s="1247"/>
      <c r="I121" s="1248"/>
      <c r="J121" s="1248"/>
      <c r="K121" s="1248"/>
      <c r="L121" s="1249"/>
    </row>
    <row r="122" spans="3:12" ht="4.5" customHeight="1" x14ac:dyDescent="0.2">
      <c r="C122" s="1228"/>
      <c r="D122" s="1243"/>
      <c r="E122" s="1244"/>
      <c r="F122" s="1245"/>
      <c r="G122" s="1246"/>
      <c r="H122" s="1247"/>
      <c r="I122" s="1248"/>
      <c r="J122" s="1248"/>
      <c r="K122" s="1248"/>
      <c r="L122" s="1249"/>
    </row>
    <row r="123" spans="3:12" ht="4.5" customHeight="1" x14ac:dyDescent="0.2">
      <c r="C123" s="1228"/>
      <c r="D123" s="1243"/>
      <c r="E123" s="1244"/>
      <c r="F123" s="1245"/>
      <c r="G123" s="1246"/>
      <c r="H123" s="1247"/>
      <c r="I123" s="1248"/>
      <c r="J123" s="1248"/>
      <c r="K123" s="1248"/>
      <c r="L123" s="1249"/>
    </row>
    <row r="124" spans="3:12" ht="4.5" customHeight="1" x14ac:dyDescent="0.2">
      <c r="C124" s="1228"/>
      <c r="D124" s="1243"/>
      <c r="E124" s="1244"/>
      <c r="F124" s="1245"/>
      <c r="G124" s="1246"/>
      <c r="H124" s="1247"/>
      <c r="I124" s="1248"/>
      <c r="J124" s="1248"/>
      <c r="K124" s="1248"/>
      <c r="L124" s="1249"/>
    </row>
    <row r="125" spans="3:12" ht="4.5" customHeight="1" x14ac:dyDescent="0.2">
      <c r="C125" s="1228">
        <v>17</v>
      </c>
      <c r="D125" s="1243">
        <f t="shared" ref="D125:E125" si="17">D113</f>
        <v>1411.3</v>
      </c>
      <c r="E125" s="1244">
        <f t="shared" si="17"/>
        <v>0.224</v>
      </c>
      <c r="F125" s="1245">
        <f>'[9]densidad cono  y arena (17)'!O30</f>
        <v>1406.197953794343</v>
      </c>
      <c r="G125" s="1246">
        <f>'[9]densidad cono  y arena (17)'!O41</f>
        <v>0.21666666666666679</v>
      </c>
      <c r="H125" s="1247">
        <f t="shared" si="13"/>
        <v>0.99638486062094733</v>
      </c>
      <c r="I125" s="1248" t="str">
        <f>'[9]densidad cono  y arena (17)'!H11</f>
        <v>COMPACTACION DE RELLENO PARA SOLERA DE FUNDACION</v>
      </c>
      <c r="J125" s="1248"/>
      <c r="K125" s="1248"/>
      <c r="L125" s="1249"/>
    </row>
    <row r="126" spans="3:12" ht="4.5" customHeight="1" x14ac:dyDescent="0.2">
      <c r="C126" s="1228"/>
      <c r="D126" s="1243"/>
      <c r="E126" s="1244"/>
      <c r="F126" s="1245"/>
      <c r="G126" s="1246"/>
      <c r="H126" s="1247"/>
      <c r="I126" s="1248"/>
      <c r="J126" s="1248"/>
      <c r="K126" s="1248"/>
      <c r="L126" s="1249"/>
    </row>
    <row r="127" spans="3:12" ht="4.5" customHeight="1" x14ac:dyDescent="0.2">
      <c r="C127" s="1228"/>
      <c r="D127" s="1243"/>
      <c r="E127" s="1244"/>
      <c r="F127" s="1245"/>
      <c r="G127" s="1246"/>
      <c r="H127" s="1247"/>
      <c r="I127" s="1248"/>
      <c r="J127" s="1248"/>
      <c r="K127" s="1248"/>
      <c r="L127" s="1249"/>
    </row>
    <row r="128" spans="3:12" ht="4.5" customHeight="1" x14ac:dyDescent="0.2">
      <c r="C128" s="1228"/>
      <c r="D128" s="1243"/>
      <c r="E128" s="1244"/>
      <c r="F128" s="1245"/>
      <c r="G128" s="1246"/>
      <c r="H128" s="1247"/>
      <c r="I128" s="1248"/>
      <c r="J128" s="1248"/>
      <c r="K128" s="1248"/>
      <c r="L128" s="1249"/>
    </row>
    <row r="129" spans="3:12" ht="4.5" customHeight="1" x14ac:dyDescent="0.2">
      <c r="C129" s="1228"/>
      <c r="D129" s="1243"/>
      <c r="E129" s="1244"/>
      <c r="F129" s="1245"/>
      <c r="G129" s="1246"/>
      <c r="H129" s="1247"/>
      <c r="I129" s="1248"/>
      <c r="J129" s="1248"/>
      <c r="K129" s="1248"/>
      <c r="L129" s="1249"/>
    </row>
    <row r="130" spans="3:12" ht="4.5" customHeight="1" x14ac:dyDescent="0.2">
      <c r="C130" s="1228"/>
      <c r="D130" s="1243"/>
      <c r="E130" s="1244"/>
      <c r="F130" s="1245"/>
      <c r="G130" s="1246"/>
      <c r="H130" s="1247"/>
      <c r="I130" s="1248"/>
      <c r="J130" s="1248"/>
      <c r="K130" s="1248"/>
      <c r="L130" s="1249"/>
    </row>
    <row r="131" spans="3:12" ht="4.5" customHeight="1" x14ac:dyDescent="0.2">
      <c r="C131" s="1228">
        <v>18</v>
      </c>
      <c r="D131" s="1243">
        <f t="shared" ref="D131:E131" si="18">D119</f>
        <v>1411.3</v>
      </c>
      <c r="E131" s="1244">
        <f t="shared" si="18"/>
        <v>0.224</v>
      </c>
      <c r="F131" s="1245">
        <f>'[9]densidad cono  y arena (18)'!O30</f>
        <v>1491.7750843772069</v>
      </c>
      <c r="G131" s="1246">
        <f>'[9]densidad cono  y arena (18)'!O41</f>
        <v>0.23437500000000006</v>
      </c>
      <c r="H131" s="1247">
        <f t="shared" si="13"/>
        <v>1.0570219544938759</v>
      </c>
      <c r="I131" s="1248" t="str">
        <f>'[9]densidad cono  y arena (18)'!H11</f>
        <v>COMPACTACION DE RELLENO PARA SOLERA DE FUNDACION</v>
      </c>
      <c r="J131" s="1248"/>
      <c r="K131" s="1248"/>
      <c r="L131" s="1249"/>
    </row>
    <row r="132" spans="3:12" ht="4.5" customHeight="1" x14ac:dyDescent="0.2">
      <c r="C132" s="1228"/>
      <c r="D132" s="1243"/>
      <c r="E132" s="1244"/>
      <c r="F132" s="1245"/>
      <c r="G132" s="1246"/>
      <c r="H132" s="1247"/>
      <c r="I132" s="1248"/>
      <c r="J132" s="1248"/>
      <c r="K132" s="1248"/>
      <c r="L132" s="1249"/>
    </row>
    <row r="133" spans="3:12" ht="4.5" customHeight="1" x14ac:dyDescent="0.2">
      <c r="C133" s="1228"/>
      <c r="D133" s="1243"/>
      <c r="E133" s="1244"/>
      <c r="F133" s="1245"/>
      <c r="G133" s="1246"/>
      <c r="H133" s="1247"/>
      <c r="I133" s="1248"/>
      <c r="J133" s="1248"/>
      <c r="K133" s="1248"/>
      <c r="L133" s="1249"/>
    </row>
    <row r="134" spans="3:12" ht="4.5" customHeight="1" x14ac:dyDescent="0.2">
      <c r="C134" s="1228"/>
      <c r="D134" s="1243"/>
      <c r="E134" s="1244"/>
      <c r="F134" s="1245"/>
      <c r="G134" s="1246"/>
      <c r="H134" s="1247"/>
      <c r="I134" s="1248"/>
      <c r="J134" s="1248"/>
      <c r="K134" s="1248"/>
      <c r="L134" s="1249"/>
    </row>
    <row r="135" spans="3:12" ht="4.5" customHeight="1" x14ac:dyDescent="0.2">
      <c r="C135" s="1228"/>
      <c r="D135" s="1243"/>
      <c r="E135" s="1244"/>
      <c r="F135" s="1245"/>
      <c r="G135" s="1246"/>
      <c r="H135" s="1247"/>
      <c r="I135" s="1248"/>
      <c r="J135" s="1248"/>
      <c r="K135" s="1248"/>
      <c r="L135" s="1249"/>
    </row>
    <row r="136" spans="3:12" ht="4.5" customHeight="1" x14ac:dyDescent="0.2">
      <c r="C136" s="1228"/>
      <c r="D136" s="1243"/>
      <c r="E136" s="1244"/>
      <c r="F136" s="1245"/>
      <c r="G136" s="1246"/>
      <c r="H136" s="1247"/>
      <c r="I136" s="1248"/>
      <c r="J136" s="1248"/>
      <c r="K136" s="1248"/>
      <c r="L136" s="1249"/>
    </row>
    <row r="137" spans="3:12" ht="4.5" customHeight="1" x14ac:dyDescent="0.2">
      <c r="C137" s="1228">
        <v>19</v>
      </c>
      <c r="D137" s="1243">
        <f t="shared" ref="D137:E137" si="19">D125</f>
        <v>1411.3</v>
      </c>
      <c r="E137" s="1244">
        <f t="shared" si="19"/>
        <v>0.224</v>
      </c>
      <c r="F137" s="1245">
        <f>'[9]densidad cono  y arena (19)'!O30</f>
        <v>1456.9412635419037</v>
      </c>
      <c r="G137" s="1246">
        <f>'[9]densidad cono  y arena (19)'!O41</f>
        <v>0.20547945205479454</v>
      </c>
      <c r="H137" s="1247">
        <f t="shared" si="13"/>
        <v>1.0323398735505589</v>
      </c>
      <c r="I137" s="1248" t="str">
        <f>'[9]densidad cono  y arena (19)'!H11</f>
        <v>COMPACTACION DE RELLENO PARA SOLERA DE FUNDACION</v>
      </c>
      <c r="J137" s="1248"/>
      <c r="K137" s="1248"/>
      <c r="L137" s="1249"/>
    </row>
    <row r="138" spans="3:12" ht="4.5" customHeight="1" x14ac:dyDescent="0.2">
      <c r="C138" s="1228"/>
      <c r="D138" s="1243"/>
      <c r="E138" s="1244"/>
      <c r="F138" s="1245"/>
      <c r="G138" s="1246"/>
      <c r="H138" s="1247"/>
      <c r="I138" s="1248"/>
      <c r="J138" s="1248"/>
      <c r="K138" s="1248"/>
      <c r="L138" s="1249"/>
    </row>
    <row r="139" spans="3:12" ht="4.5" customHeight="1" x14ac:dyDescent="0.2">
      <c r="C139" s="1228"/>
      <c r="D139" s="1243"/>
      <c r="E139" s="1244"/>
      <c r="F139" s="1245"/>
      <c r="G139" s="1246"/>
      <c r="H139" s="1247"/>
      <c r="I139" s="1248"/>
      <c r="J139" s="1248"/>
      <c r="K139" s="1248"/>
      <c r="L139" s="1249"/>
    </row>
    <row r="140" spans="3:12" ht="4.5" customHeight="1" x14ac:dyDescent="0.2">
      <c r="C140" s="1228"/>
      <c r="D140" s="1243"/>
      <c r="E140" s="1244"/>
      <c r="F140" s="1245"/>
      <c r="G140" s="1246"/>
      <c r="H140" s="1247"/>
      <c r="I140" s="1248"/>
      <c r="J140" s="1248"/>
      <c r="K140" s="1248"/>
      <c r="L140" s="1249"/>
    </row>
    <row r="141" spans="3:12" ht="4.5" customHeight="1" x14ac:dyDescent="0.2">
      <c r="C141" s="1228"/>
      <c r="D141" s="1243"/>
      <c r="E141" s="1244"/>
      <c r="F141" s="1245"/>
      <c r="G141" s="1246"/>
      <c r="H141" s="1247"/>
      <c r="I141" s="1248"/>
      <c r="J141" s="1248"/>
      <c r="K141" s="1248"/>
      <c r="L141" s="1249"/>
    </row>
    <row r="142" spans="3:12" ht="4.5" customHeight="1" x14ac:dyDescent="0.2">
      <c r="C142" s="1228"/>
      <c r="D142" s="1243"/>
      <c r="E142" s="1244"/>
      <c r="F142" s="1245"/>
      <c r="G142" s="1246"/>
      <c r="H142" s="1247"/>
      <c r="I142" s="1248"/>
      <c r="J142" s="1248"/>
      <c r="K142" s="1248"/>
      <c r="L142" s="1249"/>
    </row>
    <row r="143" spans="3:12" ht="4.5" customHeight="1" x14ac:dyDescent="0.2">
      <c r="C143" s="1228">
        <v>20</v>
      </c>
      <c r="D143" s="1243">
        <f t="shared" ref="D143:E143" si="20">D131</f>
        <v>1411.3</v>
      </c>
      <c r="E143" s="1244">
        <f t="shared" si="20"/>
        <v>0.224</v>
      </c>
      <c r="F143" s="1245">
        <f>'[9]densidad cono  y arena (20)'!O30</f>
        <v>1544.0893150993975</v>
      </c>
      <c r="G143" s="1246">
        <f>'[9]densidad cono  y arena (20)'!O41</f>
        <v>0.24590163934426232</v>
      </c>
      <c r="H143" s="1247">
        <f t="shared" si="13"/>
        <v>1.0940900695099536</v>
      </c>
      <c r="I143" s="1248" t="str">
        <f>'[9]densidad cono  y arena (20)'!H11</f>
        <v>COMPACTACION DE RELLENO PARA SOLERA DE FUNDACION</v>
      </c>
      <c r="J143" s="1248"/>
      <c r="K143" s="1248"/>
      <c r="L143" s="1249"/>
    </row>
    <row r="144" spans="3:12" ht="4.5" customHeight="1" x14ac:dyDescent="0.2">
      <c r="C144" s="1228"/>
      <c r="D144" s="1243"/>
      <c r="E144" s="1244"/>
      <c r="F144" s="1245"/>
      <c r="G144" s="1246"/>
      <c r="H144" s="1247"/>
      <c r="I144" s="1248"/>
      <c r="J144" s="1248"/>
      <c r="K144" s="1248"/>
      <c r="L144" s="1249"/>
    </row>
    <row r="145" spans="3:12" ht="4.5" customHeight="1" x14ac:dyDescent="0.2">
      <c r="C145" s="1228"/>
      <c r="D145" s="1243"/>
      <c r="E145" s="1244"/>
      <c r="F145" s="1245"/>
      <c r="G145" s="1246"/>
      <c r="H145" s="1247"/>
      <c r="I145" s="1248"/>
      <c r="J145" s="1248"/>
      <c r="K145" s="1248"/>
      <c r="L145" s="1249"/>
    </row>
    <row r="146" spans="3:12" ht="4.5" customHeight="1" x14ac:dyDescent="0.2">
      <c r="C146" s="1228"/>
      <c r="D146" s="1243"/>
      <c r="E146" s="1244"/>
      <c r="F146" s="1245"/>
      <c r="G146" s="1246"/>
      <c r="H146" s="1247"/>
      <c r="I146" s="1248"/>
      <c r="J146" s="1248"/>
      <c r="K146" s="1248"/>
      <c r="L146" s="1249"/>
    </row>
    <row r="147" spans="3:12" ht="4.5" customHeight="1" x14ac:dyDescent="0.2">
      <c r="C147" s="1228"/>
      <c r="D147" s="1243"/>
      <c r="E147" s="1244"/>
      <c r="F147" s="1245"/>
      <c r="G147" s="1246"/>
      <c r="H147" s="1247"/>
      <c r="I147" s="1248"/>
      <c r="J147" s="1248"/>
      <c r="K147" s="1248"/>
      <c r="L147" s="1249"/>
    </row>
    <row r="148" spans="3:12" ht="4.5" customHeight="1" x14ac:dyDescent="0.2">
      <c r="C148" s="1228"/>
      <c r="D148" s="1243"/>
      <c r="E148" s="1244"/>
      <c r="F148" s="1245"/>
      <c r="G148" s="1246"/>
      <c r="H148" s="1247"/>
      <c r="I148" s="1248"/>
      <c r="J148" s="1248"/>
      <c r="K148" s="1248"/>
      <c r="L148" s="1249"/>
    </row>
    <row r="149" spans="3:12" ht="4.5" customHeight="1" x14ac:dyDescent="0.2">
      <c r="C149" s="1228">
        <v>21</v>
      </c>
      <c r="D149" s="1243">
        <f t="shared" ref="D149:E149" si="21">D137</f>
        <v>1411.3</v>
      </c>
      <c r="E149" s="1244">
        <f t="shared" si="21"/>
        <v>0.224</v>
      </c>
      <c r="F149" s="1245">
        <f>'[9]densidad cono  y arena (21)'!O30</f>
        <v>1528.8591480513473</v>
      </c>
      <c r="G149" s="1246">
        <f>'[9]densidad cono  y arena (21)'!O41</f>
        <v>0.14285714285714271</v>
      </c>
      <c r="H149" s="1247">
        <f t="shared" si="13"/>
        <v>1.0832984822867904</v>
      </c>
      <c r="I149" s="1248" t="str">
        <f>'[9]densidad cono  y arena (21)'!H11</f>
        <v>COMPACTACION DE RELLENO PARA SOLERA DE FUNDACION</v>
      </c>
      <c r="J149" s="1248"/>
      <c r="K149" s="1248"/>
      <c r="L149" s="1249"/>
    </row>
    <row r="150" spans="3:12" ht="4.5" customHeight="1" x14ac:dyDescent="0.2">
      <c r="C150" s="1228"/>
      <c r="D150" s="1243"/>
      <c r="E150" s="1244"/>
      <c r="F150" s="1245"/>
      <c r="G150" s="1246"/>
      <c r="H150" s="1247"/>
      <c r="I150" s="1248"/>
      <c r="J150" s="1248"/>
      <c r="K150" s="1248"/>
      <c r="L150" s="1249"/>
    </row>
    <row r="151" spans="3:12" ht="4.5" customHeight="1" x14ac:dyDescent="0.2">
      <c r="C151" s="1228"/>
      <c r="D151" s="1243"/>
      <c r="E151" s="1244"/>
      <c r="F151" s="1245"/>
      <c r="G151" s="1246"/>
      <c r="H151" s="1247"/>
      <c r="I151" s="1248"/>
      <c r="J151" s="1248"/>
      <c r="K151" s="1248"/>
      <c r="L151" s="1249"/>
    </row>
    <row r="152" spans="3:12" ht="4.5" customHeight="1" x14ac:dyDescent="0.2">
      <c r="C152" s="1228"/>
      <c r="D152" s="1243"/>
      <c r="E152" s="1244"/>
      <c r="F152" s="1245"/>
      <c r="G152" s="1246"/>
      <c r="H152" s="1247"/>
      <c r="I152" s="1248"/>
      <c r="J152" s="1248"/>
      <c r="K152" s="1248"/>
      <c r="L152" s="1249"/>
    </row>
    <row r="153" spans="3:12" ht="4.5" customHeight="1" x14ac:dyDescent="0.2">
      <c r="C153" s="1228"/>
      <c r="D153" s="1243"/>
      <c r="E153" s="1244"/>
      <c r="F153" s="1245"/>
      <c r="G153" s="1246"/>
      <c r="H153" s="1247"/>
      <c r="I153" s="1248"/>
      <c r="J153" s="1248"/>
      <c r="K153" s="1248"/>
      <c r="L153" s="1249"/>
    </row>
    <row r="154" spans="3:12" ht="4.5" customHeight="1" x14ac:dyDescent="0.2">
      <c r="C154" s="1228"/>
      <c r="D154" s="1243"/>
      <c r="E154" s="1244"/>
      <c r="F154" s="1245"/>
      <c r="G154" s="1246"/>
      <c r="H154" s="1247"/>
      <c r="I154" s="1248"/>
      <c r="J154" s="1248"/>
      <c r="K154" s="1248"/>
      <c r="L154" s="1249"/>
    </row>
    <row r="155" spans="3:12" ht="4.5" customHeight="1" x14ac:dyDescent="0.2">
      <c r="C155" s="1228">
        <v>22</v>
      </c>
      <c r="D155" s="1243">
        <f t="shared" ref="D155:E155" si="22">D143</f>
        <v>1411.3</v>
      </c>
      <c r="E155" s="1244">
        <f t="shared" si="22"/>
        <v>0.224</v>
      </c>
      <c r="F155" s="1245">
        <f>'[9]densidad cono  y arena (22)'!O30</f>
        <v>1408.6479766049531</v>
      </c>
      <c r="G155" s="1246">
        <f>'[9]densidad cono  y arena (22)'!O41</f>
        <v>0.17391304347826075</v>
      </c>
      <c r="H155" s="1247">
        <f t="shared" si="13"/>
        <v>0.99812086487986473</v>
      </c>
      <c r="I155" s="1248" t="str">
        <f>'[9]densidad cono  y arena (22)'!H11</f>
        <v>COMPACTACION DE RELLENO PARA SOLERA DE FUNDACION</v>
      </c>
      <c r="J155" s="1248"/>
      <c r="K155" s="1248"/>
      <c r="L155" s="1249"/>
    </row>
    <row r="156" spans="3:12" ht="4.5" customHeight="1" x14ac:dyDescent="0.2">
      <c r="C156" s="1228"/>
      <c r="D156" s="1243"/>
      <c r="E156" s="1244"/>
      <c r="F156" s="1245"/>
      <c r="G156" s="1246"/>
      <c r="H156" s="1247"/>
      <c r="I156" s="1248"/>
      <c r="J156" s="1248"/>
      <c r="K156" s="1248"/>
      <c r="L156" s="1249"/>
    </row>
    <row r="157" spans="3:12" ht="4.5" customHeight="1" x14ac:dyDescent="0.2">
      <c r="C157" s="1228"/>
      <c r="D157" s="1243"/>
      <c r="E157" s="1244"/>
      <c r="F157" s="1245"/>
      <c r="G157" s="1246"/>
      <c r="H157" s="1247"/>
      <c r="I157" s="1248"/>
      <c r="J157" s="1248"/>
      <c r="K157" s="1248"/>
      <c r="L157" s="1249"/>
    </row>
    <row r="158" spans="3:12" ht="4.5" customHeight="1" x14ac:dyDescent="0.2">
      <c r="C158" s="1228"/>
      <c r="D158" s="1243"/>
      <c r="E158" s="1244"/>
      <c r="F158" s="1245"/>
      <c r="G158" s="1246"/>
      <c r="H158" s="1247"/>
      <c r="I158" s="1248"/>
      <c r="J158" s="1248"/>
      <c r="K158" s="1248"/>
      <c r="L158" s="1249"/>
    </row>
    <row r="159" spans="3:12" ht="4.5" customHeight="1" x14ac:dyDescent="0.2">
      <c r="C159" s="1228"/>
      <c r="D159" s="1243"/>
      <c r="E159" s="1244"/>
      <c r="F159" s="1245"/>
      <c r="G159" s="1246"/>
      <c r="H159" s="1247"/>
      <c r="I159" s="1248"/>
      <c r="J159" s="1248"/>
      <c r="K159" s="1248"/>
      <c r="L159" s="1249"/>
    </row>
    <row r="160" spans="3:12" ht="4.5" customHeight="1" x14ac:dyDescent="0.2">
      <c r="C160" s="1228"/>
      <c r="D160" s="1243"/>
      <c r="E160" s="1244"/>
      <c r="F160" s="1245"/>
      <c r="G160" s="1246"/>
      <c r="H160" s="1247"/>
      <c r="I160" s="1248"/>
      <c r="J160" s="1248"/>
      <c r="K160" s="1248"/>
      <c r="L160" s="1249"/>
    </row>
    <row r="161" spans="3:12" ht="4.5" customHeight="1" x14ac:dyDescent="0.2">
      <c r="C161" s="1228">
        <v>23</v>
      </c>
      <c r="D161" s="1243">
        <f t="shared" ref="D161:E161" si="23">D149</f>
        <v>1411.3</v>
      </c>
      <c r="E161" s="1244">
        <f t="shared" si="23"/>
        <v>0.224</v>
      </c>
      <c r="F161" s="1245">
        <f>'[9]densidad cono  y arena (23)'!O30</f>
        <v>1504.7812182493192</v>
      </c>
      <c r="G161" s="1246">
        <f>'[9]densidad cono  y arena (23)'!O41</f>
        <v>0.15853658536585372</v>
      </c>
      <c r="H161" s="1247">
        <f t="shared" si="13"/>
        <v>1.0662376661583783</v>
      </c>
      <c r="I161" s="1248" t="str">
        <f>'[9]densidad cono  y arena (23)'!H11</f>
        <v>COMPACTACION DE RELLENO PARA SOLERA DE FUNDACION</v>
      </c>
      <c r="J161" s="1248"/>
      <c r="K161" s="1248"/>
      <c r="L161" s="1249"/>
    </row>
    <row r="162" spans="3:12" ht="4.5" customHeight="1" x14ac:dyDescent="0.2">
      <c r="C162" s="1228"/>
      <c r="D162" s="1243"/>
      <c r="E162" s="1244"/>
      <c r="F162" s="1245"/>
      <c r="G162" s="1246"/>
      <c r="H162" s="1247"/>
      <c r="I162" s="1248"/>
      <c r="J162" s="1248"/>
      <c r="K162" s="1248"/>
      <c r="L162" s="1249"/>
    </row>
    <row r="163" spans="3:12" ht="4.5" customHeight="1" x14ac:dyDescent="0.2">
      <c r="C163" s="1228"/>
      <c r="D163" s="1243"/>
      <c r="E163" s="1244"/>
      <c r="F163" s="1245"/>
      <c r="G163" s="1246"/>
      <c r="H163" s="1247"/>
      <c r="I163" s="1248"/>
      <c r="J163" s="1248"/>
      <c r="K163" s="1248"/>
      <c r="L163" s="1249"/>
    </row>
    <row r="164" spans="3:12" ht="4.5" customHeight="1" x14ac:dyDescent="0.2">
      <c r="C164" s="1228"/>
      <c r="D164" s="1243"/>
      <c r="E164" s="1244"/>
      <c r="F164" s="1245"/>
      <c r="G164" s="1246"/>
      <c r="H164" s="1247"/>
      <c r="I164" s="1248"/>
      <c r="J164" s="1248"/>
      <c r="K164" s="1248"/>
      <c r="L164" s="1249"/>
    </row>
    <row r="165" spans="3:12" ht="4.5" customHeight="1" x14ac:dyDescent="0.2">
      <c r="C165" s="1228"/>
      <c r="D165" s="1243"/>
      <c r="E165" s="1244"/>
      <c r="F165" s="1245"/>
      <c r="G165" s="1246"/>
      <c r="H165" s="1247"/>
      <c r="I165" s="1248"/>
      <c r="J165" s="1248"/>
      <c r="K165" s="1248"/>
      <c r="L165" s="1249"/>
    </row>
    <row r="166" spans="3:12" ht="4.5" customHeight="1" x14ac:dyDescent="0.2">
      <c r="C166" s="1228"/>
      <c r="D166" s="1243"/>
      <c r="E166" s="1244"/>
      <c r="F166" s="1245"/>
      <c r="G166" s="1246"/>
      <c r="H166" s="1247"/>
      <c r="I166" s="1248"/>
      <c r="J166" s="1248"/>
      <c r="K166" s="1248"/>
      <c r="L166" s="1249"/>
    </row>
    <row r="167" spans="3:12" ht="4.5" customHeight="1" x14ac:dyDescent="0.2">
      <c r="C167" s="1228">
        <v>24</v>
      </c>
      <c r="D167" s="1243">
        <f t="shared" ref="D167:E167" si="24">D155</f>
        <v>1411.3</v>
      </c>
      <c r="E167" s="1244">
        <f t="shared" si="24"/>
        <v>0.224</v>
      </c>
      <c r="F167" s="1245">
        <f>'[9]densidad cono  y arena (24)'!O30</f>
        <v>1511.6341028828226</v>
      </c>
      <c r="G167" s="1246">
        <f>'[9]densidad cono  y arena (24)'!O41</f>
        <v>0.12765957446808501</v>
      </c>
      <c r="H167" s="1247">
        <f t="shared" ref="H167" si="25">F167/D167</f>
        <v>1.0710933911165752</v>
      </c>
      <c r="I167" s="1248" t="str">
        <f>'[9]densidad cono  y arena (24)'!H11</f>
        <v>COMPACTACION DE RELLENO PARA SOLERA DE FUNDACION</v>
      </c>
      <c r="J167" s="1248"/>
      <c r="K167" s="1248"/>
      <c r="L167" s="1249"/>
    </row>
    <row r="168" spans="3:12" ht="4.5" customHeight="1" x14ac:dyDescent="0.2">
      <c r="C168" s="1228"/>
      <c r="D168" s="1243"/>
      <c r="E168" s="1244"/>
      <c r="F168" s="1245"/>
      <c r="G168" s="1246"/>
      <c r="H168" s="1247"/>
      <c r="I168" s="1248"/>
      <c r="J168" s="1248"/>
      <c r="K168" s="1248"/>
      <c r="L168" s="1249"/>
    </row>
    <row r="169" spans="3:12" ht="4.5" customHeight="1" x14ac:dyDescent="0.2">
      <c r="C169" s="1228"/>
      <c r="D169" s="1243"/>
      <c r="E169" s="1244"/>
      <c r="F169" s="1245"/>
      <c r="G169" s="1246"/>
      <c r="H169" s="1247"/>
      <c r="I169" s="1248"/>
      <c r="J169" s="1248"/>
      <c r="K169" s="1248"/>
      <c r="L169" s="1249"/>
    </row>
    <row r="170" spans="3:12" ht="4.5" customHeight="1" x14ac:dyDescent="0.2">
      <c r="C170" s="1228"/>
      <c r="D170" s="1243"/>
      <c r="E170" s="1244"/>
      <c r="F170" s="1245"/>
      <c r="G170" s="1246"/>
      <c r="H170" s="1247"/>
      <c r="I170" s="1248"/>
      <c r="J170" s="1248"/>
      <c r="K170" s="1248"/>
      <c r="L170" s="1249"/>
    </row>
    <row r="171" spans="3:12" ht="4.5" customHeight="1" x14ac:dyDescent="0.2">
      <c r="C171" s="1228"/>
      <c r="D171" s="1243"/>
      <c r="E171" s="1244"/>
      <c r="F171" s="1245"/>
      <c r="G171" s="1246"/>
      <c r="H171" s="1247"/>
      <c r="I171" s="1248"/>
      <c r="J171" s="1248"/>
      <c r="K171" s="1248"/>
      <c r="L171" s="1249"/>
    </row>
    <row r="172" spans="3:12" ht="4.5" customHeight="1" x14ac:dyDescent="0.2">
      <c r="C172" s="1228"/>
      <c r="D172" s="1243"/>
      <c r="E172" s="1244"/>
      <c r="F172" s="1245"/>
      <c r="G172" s="1246"/>
      <c r="H172" s="1247"/>
      <c r="I172" s="1248"/>
      <c r="J172" s="1248"/>
      <c r="K172" s="1248"/>
      <c r="L172" s="1249"/>
    </row>
    <row r="173" spans="3:12" ht="4.5" customHeight="1" x14ac:dyDescent="0.2">
      <c r="C173" s="1228">
        <v>25</v>
      </c>
      <c r="D173" s="1243">
        <f t="shared" ref="D173:E173" si="26">D161</f>
        <v>1411.3</v>
      </c>
      <c r="E173" s="1244">
        <f t="shared" si="26"/>
        <v>0.224</v>
      </c>
      <c r="F173" s="1245">
        <f>'[9]densidad cono  y arena (25)'!O30</f>
        <v>1469.6670313680363</v>
      </c>
      <c r="G173" s="1246">
        <f>'[9]densidad cono  y arena (25)'!O41</f>
        <v>0.10958904109589053</v>
      </c>
      <c r="H173" s="1247">
        <f t="shared" ref="H173" si="27">F173/D173</f>
        <v>1.0413569272075649</v>
      </c>
      <c r="I173" s="1248" t="str">
        <f>'[9]densidad cono  y arena (25)'!H11</f>
        <v>COMPACTACION DE RELLENO PARA SOLERA DE FUNDACION</v>
      </c>
      <c r="J173" s="1248"/>
      <c r="K173" s="1248"/>
      <c r="L173" s="1249"/>
    </row>
    <row r="174" spans="3:12" ht="4.5" customHeight="1" x14ac:dyDescent="0.2">
      <c r="C174" s="1228"/>
      <c r="D174" s="1243"/>
      <c r="E174" s="1244"/>
      <c r="F174" s="1245"/>
      <c r="G174" s="1246"/>
      <c r="H174" s="1247"/>
      <c r="I174" s="1248"/>
      <c r="J174" s="1248"/>
      <c r="K174" s="1248"/>
      <c r="L174" s="1249"/>
    </row>
    <row r="175" spans="3:12" ht="4.5" customHeight="1" x14ac:dyDescent="0.2">
      <c r="C175" s="1228"/>
      <c r="D175" s="1243"/>
      <c r="E175" s="1244"/>
      <c r="F175" s="1245"/>
      <c r="G175" s="1246"/>
      <c r="H175" s="1247"/>
      <c r="I175" s="1248"/>
      <c r="J175" s="1248"/>
      <c r="K175" s="1248"/>
      <c r="L175" s="1249"/>
    </row>
    <row r="176" spans="3:12" ht="4.5" customHeight="1" x14ac:dyDescent="0.2">
      <c r="C176" s="1228"/>
      <c r="D176" s="1243"/>
      <c r="E176" s="1244"/>
      <c r="F176" s="1245"/>
      <c r="G176" s="1246"/>
      <c r="H176" s="1247"/>
      <c r="I176" s="1248"/>
      <c r="J176" s="1248"/>
      <c r="K176" s="1248"/>
      <c r="L176" s="1249"/>
    </row>
    <row r="177" spans="3:12" ht="4.5" customHeight="1" x14ac:dyDescent="0.2">
      <c r="C177" s="1228"/>
      <c r="D177" s="1243"/>
      <c r="E177" s="1244"/>
      <c r="F177" s="1245"/>
      <c r="G177" s="1246"/>
      <c r="H177" s="1247"/>
      <c r="I177" s="1248"/>
      <c r="J177" s="1248"/>
      <c r="K177" s="1248"/>
      <c r="L177" s="1249"/>
    </row>
    <row r="178" spans="3:12" ht="4.5" customHeight="1" x14ac:dyDescent="0.2">
      <c r="C178" s="1228"/>
      <c r="D178" s="1243"/>
      <c r="E178" s="1244"/>
      <c r="F178" s="1245"/>
      <c r="G178" s="1246"/>
      <c r="H178" s="1247"/>
      <c r="I178" s="1248"/>
      <c r="J178" s="1248"/>
      <c r="K178" s="1248"/>
      <c r="L178" s="1249"/>
    </row>
    <row r="179" spans="3:12" ht="4.5" customHeight="1" x14ac:dyDescent="0.2">
      <c r="C179" s="1228">
        <v>26</v>
      </c>
      <c r="D179" s="1243">
        <f t="shared" ref="D179:E179" si="28">D167</f>
        <v>1411.3</v>
      </c>
      <c r="E179" s="1244">
        <f t="shared" si="28"/>
        <v>0.224</v>
      </c>
      <c r="F179" s="1245">
        <f>'[9]densidad cono  y arena (26)'!O30</f>
        <v>1539.2784572959142</v>
      </c>
      <c r="G179" s="1246">
        <f>'[9]densidad cono  y arena (26)'!O41</f>
        <v>0.15294117647058786</v>
      </c>
      <c r="H179" s="1247">
        <f t="shared" ref="H179" si="29">F179/D179</f>
        <v>1.0906812564982034</v>
      </c>
      <c r="I179" s="1248" t="str">
        <f>'[9]densidad cono  y arena (26)'!H11</f>
        <v>COMPACTACION DE RELLENO PARA SOLERA DE FUNDACION</v>
      </c>
      <c r="J179" s="1248"/>
      <c r="K179" s="1248"/>
      <c r="L179" s="1249"/>
    </row>
    <row r="180" spans="3:12" ht="4.5" customHeight="1" x14ac:dyDescent="0.2">
      <c r="C180" s="1228"/>
      <c r="D180" s="1243"/>
      <c r="E180" s="1244"/>
      <c r="F180" s="1245"/>
      <c r="G180" s="1246"/>
      <c r="H180" s="1247"/>
      <c r="I180" s="1248"/>
      <c r="J180" s="1248"/>
      <c r="K180" s="1248"/>
      <c r="L180" s="1249"/>
    </row>
    <row r="181" spans="3:12" ht="4.5" customHeight="1" x14ac:dyDescent="0.2">
      <c r="C181" s="1228"/>
      <c r="D181" s="1243"/>
      <c r="E181" s="1244"/>
      <c r="F181" s="1245"/>
      <c r="G181" s="1246"/>
      <c r="H181" s="1247"/>
      <c r="I181" s="1248"/>
      <c r="J181" s="1248"/>
      <c r="K181" s="1248"/>
      <c r="L181" s="1249"/>
    </row>
    <row r="182" spans="3:12" ht="4.5" customHeight="1" x14ac:dyDescent="0.2">
      <c r="C182" s="1228"/>
      <c r="D182" s="1243"/>
      <c r="E182" s="1244"/>
      <c r="F182" s="1245"/>
      <c r="G182" s="1246"/>
      <c r="H182" s="1247"/>
      <c r="I182" s="1248"/>
      <c r="J182" s="1248"/>
      <c r="K182" s="1248"/>
      <c r="L182" s="1249"/>
    </row>
    <row r="183" spans="3:12" ht="4.5" customHeight="1" x14ac:dyDescent="0.2">
      <c r="C183" s="1228"/>
      <c r="D183" s="1243"/>
      <c r="E183" s="1244"/>
      <c r="F183" s="1245"/>
      <c r="G183" s="1246"/>
      <c r="H183" s="1247"/>
      <c r="I183" s="1248"/>
      <c r="J183" s="1248"/>
      <c r="K183" s="1248"/>
      <c r="L183" s="1249"/>
    </row>
    <row r="184" spans="3:12" ht="4.5" customHeight="1" x14ac:dyDescent="0.2">
      <c r="C184" s="1228"/>
      <c r="D184" s="1243"/>
      <c r="E184" s="1244"/>
      <c r="F184" s="1245"/>
      <c r="G184" s="1246"/>
      <c r="H184" s="1247"/>
      <c r="I184" s="1248"/>
      <c r="J184" s="1248"/>
      <c r="K184" s="1248"/>
      <c r="L184" s="1249"/>
    </row>
    <row r="185" spans="3:12" ht="4.5" customHeight="1" x14ac:dyDescent="0.2">
      <c r="C185" s="1228">
        <v>27</v>
      </c>
      <c r="D185" s="1243">
        <f t="shared" ref="D185:E185" si="30">D173</f>
        <v>1411.3</v>
      </c>
      <c r="E185" s="1244">
        <f t="shared" si="30"/>
        <v>0.224</v>
      </c>
      <c r="F185" s="1245">
        <f>'[9]densidad cono  y arena (27)'!O30</f>
        <v>1451.5325966074088</v>
      </c>
      <c r="G185" s="1246">
        <f>'[9]densidad cono  y arena (27)'!O41</f>
        <v>0.20270270270270263</v>
      </c>
      <c r="H185" s="1247">
        <f t="shared" ref="H185" si="31">F185/D185</f>
        <v>1.0285074729734349</v>
      </c>
      <c r="I185" s="1248" t="str">
        <f>'[9]densidad cono  y arena (27)'!H11</f>
        <v>COMPACTACION DE RELLENO PARA SOLERA DE FUNDACION</v>
      </c>
      <c r="J185" s="1248"/>
      <c r="K185" s="1248"/>
      <c r="L185" s="1249"/>
    </row>
    <row r="186" spans="3:12" ht="4.5" customHeight="1" x14ac:dyDescent="0.2">
      <c r="C186" s="1228"/>
      <c r="D186" s="1243"/>
      <c r="E186" s="1244"/>
      <c r="F186" s="1245"/>
      <c r="G186" s="1246"/>
      <c r="H186" s="1247"/>
      <c r="I186" s="1248"/>
      <c r="J186" s="1248"/>
      <c r="K186" s="1248"/>
      <c r="L186" s="1249"/>
    </row>
    <row r="187" spans="3:12" ht="4.5" customHeight="1" x14ac:dyDescent="0.2">
      <c r="C187" s="1228"/>
      <c r="D187" s="1243"/>
      <c r="E187" s="1244"/>
      <c r="F187" s="1245"/>
      <c r="G187" s="1246"/>
      <c r="H187" s="1247"/>
      <c r="I187" s="1248"/>
      <c r="J187" s="1248"/>
      <c r="K187" s="1248"/>
      <c r="L187" s="1249"/>
    </row>
    <row r="188" spans="3:12" ht="4.5" customHeight="1" x14ac:dyDescent="0.2">
      <c r="C188" s="1228"/>
      <c r="D188" s="1243"/>
      <c r="E188" s="1244"/>
      <c r="F188" s="1245"/>
      <c r="G188" s="1246"/>
      <c r="H188" s="1247"/>
      <c r="I188" s="1248"/>
      <c r="J188" s="1248"/>
      <c r="K188" s="1248"/>
      <c r="L188" s="1249"/>
    </row>
    <row r="189" spans="3:12" ht="4.5" customHeight="1" x14ac:dyDescent="0.2">
      <c r="C189" s="1228"/>
      <c r="D189" s="1243"/>
      <c r="E189" s="1244"/>
      <c r="F189" s="1245"/>
      <c r="G189" s="1246"/>
      <c r="H189" s="1247"/>
      <c r="I189" s="1248"/>
      <c r="J189" s="1248"/>
      <c r="K189" s="1248"/>
      <c r="L189" s="1249"/>
    </row>
    <row r="190" spans="3:12" ht="4.5" customHeight="1" x14ac:dyDescent="0.2">
      <c r="C190" s="1228"/>
      <c r="D190" s="1243"/>
      <c r="E190" s="1244"/>
      <c r="F190" s="1245"/>
      <c r="G190" s="1246"/>
      <c r="H190" s="1247"/>
      <c r="I190" s="1248"/>
      <c r="J190" s="1248"/>
      <c r="K190" s="1248"/>
      <c r="L190" s="1249"/>
    </row>
    <row r="191" spans="3:12" ht="4.5" customHeight="1" x14ac:dyDescent="0.2">
      <c r="C191" s="1228">
        <v>28</v>
      </c>
      <c r="D191" s="1243">
        <f t="shared" ref="D191:E191" si="32">D179</f>
        <v>1411.3</v>
      </c>
      <c r="E191" s="1244">
        <f t="shared" si="32"/>
        <v>0.224</v>
      </c>
      <c r="F191" s="1245">
        <f>'[9]densidad cono  y arena (28)'!O30</f>
        <v>1563.3886735836506</v>
      </c>
      <c r="G191" s="1246">
        <f>'[9]densidad cono  y arena (28)'!O41</f>
        <v>0.16438356164383602</v>
      </c>
      <c r="H191" s="1247">
        <f t="shared" ref="H191" si="33">F191/D191</f>
        <v>1.1077649497510456</v>
      </c>
      <c r="I191" s="1248" t="str">
        <f>'[9]densidad cono  y arena (28)'!H11</f>
        <v>COMPACTACION DE RELLENO PARA PISO</v>
      </c>
      <c r="J191" s="1248"/>
      <c r="K191" s="1248"/>
      <c r="L191" s="1249"/>
    </row>
    <row r="192" spans="3:12" ht="4.5" customHeight="1" x14ac:dyDescent="0.2">
      <c r="C192" s="1228"/>
      <c r="D192" s="1243"/>
      <c r="E192" s="1244"/>
      <c r="F192" s="1245"/>
      <c r="G192" s="1246"/>
      <c r="H192" s="1247"/>
      <c r="I192" s="1248"/>
      <c r="J192" s="1248"/>
      <c r="K192" s="1248"/>
      <c r="L192" s="1249"/>
    </row>
    <row r="193" spans="2:49" ht="4.5" customHeight="1" x14ac:dyDescent="0.2">
      <c r="C193" s="1228"/>
      <c r="D193" s="1243"/>
      <c r="E193" s="1244"/>
      <c r="F193" s="1245"/>
      <c r="G193" s="1246"/>
      <c r="H193" s="1247"/>
      <c r="I193" s="1248"/>
      <c r="J193" s="1248"/>
      <c r="K193" s="1248"/>
      <c r="L193" s="1249"/>
    </row>
    <row r="194" spans="2:49" ht="4.5" customHeight="1" x14ac:dyDescent="0.2">
      <c r="C194" s="1228"/>
      <c r="D194" s="1243"/>
      <c r="E194" s="1244"/>
      <c r="F194" s="1245"/>
      <c r="G194" s="1246"/>
      <c r="H194" s="1247"/>
      <c r="I194" s="1248"/>
      <c r="J194" s="1248"/>
      <c r="K194" s="1248"/>
      <c r="L194" s="1249"/>
    </row>
    <row r="195" spans="2:49" ht="4.5" customHeight="1" x14ac:dyDescent="0.2">
      <c r="C195" s="1228"/>
      <c r="D195" s="1243"/>
      <c r="E195" s="1244"/>
      <c r="F195" s="1245"/>
      <c r="G195" s="1246"/>
      <c r="H195" s="1247"/>
      <c r="I195" s="1248"/>
      <c r="J195" s="1248"/>
      <c r="K195" s="1248"/>
      <c r="L195" s="1249"/>
    </row>
    <row r="196" spans="2:49" ht="4.5" customHeight="1" x14ac:dyDescent="0.2">
      <c r="C196" s="1228"/>
      <c r="D196" s="1243"/>
      <c r="E196" s="1244"/>
      <c r="F196" s="1245"/>
      <c r="G196" s="1246"/>
      <c r="H196" s="1247"/>
      <c r="I196" s="1248"/>
      <c r="J196" s="1248"/>
      <c r="K196" s="1248"/>
      <c r="L196" s="1249"/>
    </row>
    <row r="197" spans="2:49" ht="5.25" customHeight="1" x14ac:dyDescent="0.2">
      <c r="C197" s="1228">
        <v>29</v>
      </c>
      <c r="D197" s="1243">
        <f t="shared" ref="D197:E197" si="34">D185</f>
        <v>1411.3</v>
      </c>
      <c r="E197" s="1244">
        <f t="shared" si="34"/>
        <v>0.224</v>
      </c>
      <c r="F197" s="1245">
        <f>'[9]densidad cono  y arena (29)'!O30</f>
        <v>1489.4094870405495</v>
      </c>
      <c r="G197" s="1246">
        <f>'[9]densidad cono  y arena (29)'!O41</f>
        <v>0.17647058823529399</v>
      </c>
      <c r="H197" s="1247">
        <f t="shared" ref="H197" si="35">F197/D197</f>
        <v>1.0553457713034433</v>
      </c>
      <c r="I197" s="1248" t="str">
        <f>'[9]densidad cono  y arena (29)'!H11</f>
        <v>COMPACTACION DE RELLENO PARA PISO</v>
      </c>
      <c r="J197" s="1248"/>
      <c r="K197" s="1248"/>
      <c r="L197" s="1249"/>
    </row>
    <row r="198" spans="2:49" ht="5.25" customHeight="1" x14ac:dyDescent="0.2">
      <c r="C198" s="1228"/>
      <c r="D198" s="1243"/>
      <c r="E198" s="1244"/>
      <c r="F198" s="1245"/>
      <c r="G198" s="1246"/>
      <c r="H198" s="1247"/>
      <c r="I198" s="1248"/>
      <c r="J198" s="1248"/>
      <c r="K198" s="1248"/>
      <c r="L198" s="1249"/>
    </row>
    <row r="199" spans="2:49" ht="5.25" customHeight="1" x14ac:dyDescent="0.2">
      <c r="C199" s="1228"/>
      <c r="D199" s="1243"/>
      <c r="E199" s="1244"/>
      <c r="F199" s="1245"/>
      <c r="G199" s="1246"/>
      <c r="H199" s="1247"/>
      <c r="I199" s="1248"/>
      <c r="J199" s="1248"/>
      <c r="K199" s="1248"/>
      <c r="L199" s="1249"/>
    </row>
    <row r="200" spans="2:49" ht="5.25" customHeight="1" x14ac:dyDescent="0.2">
      <c r="C200" s="1228"/>
      <c r="D200" s="1243"/>
      <c r="E200" s="1244"/>
      <c r="F200" s="1245"/>
      <c r="G200" s="1246"/>
      <c r="H200" s="1247"/>
      <c r="I200" s="1248"/>
      <c r="J200" s="1248"/>
      <c r="K200" s="1248"/>
      <c r="L200" s="1249"/>
    </row>
    <row r="201" spans="2:49" ht="5.25" customHeight="1" x14ac:dyDescent="0.2">
      <c r="C201" s="1228"/>
      <c r="D201" s="1243"/>
      <c r="E201" s="1244"/>
      <c r="F201" s="1245"/>
      <c r="G201" s="1246"/>
      <c r="H201" s="1247"/>
      <c r="I201" s="1248"/>
      <c r="J201" s="1248"/>
      <c r="K201" s="1248"/>
      <c r="L201" s="1249"/>
    </row>
    <row r="202" spans="2:49" ht="5.25" customHeight="1" thickBot="1" x14ac:dyDescent="0.25">
      <c r="C202" s="1228"/>
      <c r="D202" s="1250"/>
      <c r="E202" s="1251"/>
      <c r="F202" s="1252"/>
      <c r="G202" s="1253"/>
      <c r="H202" s="1254"/>
      <c r="I202" s="1255"/>
      <c r="J202" s="1255"/>
      <c r="K202" s="1255"/>
      <c r="L202" s="1256"/>
    </row>
    <row r="203" spans="2:49" ht="5.25" customHeight="1" x14ac:dyDescent="0.2"/>
    <row r="204" spans="2:49" ht="5.25" customHeight="1" x14ac:dyDescent="0.2"/>
    <row r="205" spans="2:49" ht="26.25" customHeight="1" x14ac:dyDescent="0.2">
      <c r="C205" s="342"/>
      <c r="D205" s="1270" t="s">
        <v>249</v>
      </c>
      <c r="E205" s="1271"/>
      <c r="F205" s="1271"/>
      <c r="G205" s="1271"/>
      <c r="H205" s="1271"/>
      <c r="I205" s="1271"/>
      <c r="J205" s="1271"/>
      <c r="K205" s="1271"/>
      <c r="L205" s="1272"/>
    </row>
    <row r="206" spans="2:49" ht="12.75" customHeight="1" x14ac:dyDescent="0.2">
      <c r="C206" s="342"/>
      <c r="D206" s="1273"/>
      <c r="E206" s="1274"/>
      <c r="F206" s="1274"/>
      <c r="G206" s="1274"/>
      <c r="H206" s="1274"/>
      <c r="I206" s="1274"/>
      <c r="J206" s="1274"/>
      <c r="K206" s="1274"/>
      <c r="L206" s="1275"/>
    </row>
    <row r="207" spans="2:49" x14ac:dyDescent="0.2">
      <c r="D207" s="1276"/>
      <c r="E207" s="1276"/>
      <c r="F207" s="1276"/>
      <c r="G207" s="1276"/>
      <c r="H207" s="1276"/>
      <c r="I207" s="1276"/>
      <c r="J207" s="1276"/>
      <c r="K207" s="1276"/>
      <c r="L207" s="1276"/>
    </row>
    <row r="208" spans="2:49" ht="56.25" customHeight="1" x14ac:dyDescent="0.2">
      <c r="B208" s="1184"/>
      <c r="C208" s="1184"/>
      <c r="D208" s="352" t="s">
        <v>250</v>
      </c>
      <c r="E208" s="352" t="s">
        <v>192</v>
      </c>
      <c r="F208" s="352" t="s">
        <v>245</v>
      </c>
      <c r="G208" s="352" t="s">
        <v>246</v>
      </c>
      <c r="H208" s="352" t="s">
        <v>247</v>
      </c>
      <c r="I208" s="1199" t="s">
        <v>248</v>
      </c>
      <c r="J208" s="1199"/>
      <c r="K208" s="1199"/>
      <c r="L208" s="1199"/>
      <c r="N208" s="353"/>
      <c r="O208" s="346"/>
      <c r="P208" s="346"/>
      <c r="Q208" s="346"/>
      <c r="R208" s="346"/>
      <c r="S208" s="346"/>
      <c r="T208" s="346"/>
      <c r="U208" s="346"/>
      <c r="V208" s="346"/>
      <c r="W208" s="346"/>
      <c r="X208" s="346"/>
      <c r="Y208" s="346"/>
      <c r="Z208" s="346"/>
      <c r="AA208" s="346"/>
      <c r="AB208" s="346"/>
      <c r="AC208" s="346"/>
      <c r="AD208" s="346"/>
      <c r="AE208" s="346"/>
      <c r="AF208" s="346"/>
      <c r="AG208" s="346"/>
      <c r="AH208" s="346"/>
      <c r="AI208" s="346"/>
      <c r="AJ208" s="346"/>
      <c r="AK208" s="346"/>
      <c r="AL208" s="346"/>
      <c r="AM208" s="346"/>
      <c r="AN208" s="346"/>
      <c r="AO208" s="346"/>
      <c r="AP208" s="346"/>
      <c r="AQ208" s="346"/>
      <c r="AR208" s="346"/>
      <c r="AS208" s="346"/>
      <c r="AT208" s="346"/>
      <c r="AU208" s="346"/>
      <c r="AV208" s="346"/>
      <c r="AW208" s="347"/>
    </row>
    <row r="209" spans="2:49" ht="12.75" customHeight="1" x14ac:dyDescent="0.2">
      <c r="B209" s="1184"/>
      <c r="C209" s="1228"/>
      <c r="D209" s="1221">
        <v>1570</v>
      </c>
      <c r="E209" s="1265">
        <v>0.13400000000000001</v>
      </c>
      <c r="F209" s="1266" t="e">
        <f>#REF!</f>
        <v>#REF!</v>
      </c>
      <c r="G209" s="1268" t="e">
        <f>#REF!</f>
        <v>#REF!</v>
      </c>
      <c r="H209" s="1264">
        <v>0.92100000000000004</v>
      </c>
      <c r="I209" s="1269" t="e">
        <f>#REF!</f>
        <v>#REF!</v>
      </c>
      <c r="J209" s="1269"/>
      <c r="K209" s="1269"/>
      <c r="L209" s="1269"/>
      <c r="N209" s="350"/>
      <c r="O209" s="350"/>
      <c r="P209" s="350"/>
      <c r="Q209" s="350"/>
      <c r="R209" s="350"/>
      <c r="S209" s="350"/>
      <c r="T209" s="350"/>
      <c r="U209" s="350"/>
      <c r="V209" s="350"/>
      <c r="W209" s="350"/>
      <c r="X209" s="350"/>
      <c r="Y209" s="350"/>
      <c r="Z209" s="350"/>
      <c r="AA209" s="350"/>
      <c r="AB209" s="350"/>
      <c r="AC209" s="350"/>
      <c r="AD209" s="350"/>
      <c r="AE209" s="350"/>
      <c r="AF209" s="350"/>
      <c r="AG209" s="350"/>
      <c r="AH209" s="350"/>
      <c r="AI209" s="350"/>
      <c r="AJ209" s="350"/>
      <c r="AK209" s="350"/>
      <c r="AL209" s="350"/>
      <c r="AM209" s="350"/>
      <c r="AN209" s="350"/>
      <c r="AO209" s="350"/>
      <c r="AP209" s="350"/>
      <c r="AQ209" s="350"/>
      <c r="AR209" s="350"/>
      <c r="AS209" s="350"/>
      <c r="AT209" s="350"/>
      <c r="AU209" s="350"/>
      <c r="AV209" s="350"/>
      <c r="AW209" s="351"/>
    </row>
    <row r="210" spans="2:49" ht="12.75" customHeight="1" x14ac:dyDescent="0.2">
      <c r="B210" s="1184"/>
      <c r="C210" s="1228"/>
      <c r="D210" s="1221"/>
      <c r="E210" s="1265"/>
      <c r="F210" s="1266"/>
      <c r="G210" s="1268"/>
      <c r="H210" s="1264"/>
      <c r="I210" s="1269"/>
      <c r="J210" s="1269"/>
      <c r="K210" s="1269"/>
      <c r="L210" s="1269"/>
      <c r="N210" s="354"/>
      <c r="O210" s="354"/>
      <c r="P210" s="354"/>
      <c r="Q210" s="354"/>
      <c r="R210" s="354"/>
      <c r="S210" s="354"/>
      <c r="T210" s="354"/>
      <c r="U210" s="354"/>
      <c r="V210" s="354"/>
      <c r="W210" s="354"/>
      <c r="X210" s="354"/>
      <c r="Y210" s="354"/>
      <c r="Z210" s="354"/>
      <c r="AA210" s="354"/>
      <c r="AB210" s="354"/>
      <c r="AC210" s="354"/>
      <c r="AD210" s="354"/>
      <c r="AE210" s="354"/>
      <c r="AF210" s="354"/>
      <c r="AG210" s="354"/>
      <c r="AH210" s="354"/>
      <c r="AI210" s="354"/>
      <c r="AJ210" s="354"/>
      <c r="AK210" s="354"/>
      <c r="AL210" s="354"/>
      <c r="AM210" s="354"/>
      <c r="AN210" s="354"/>
      <c r="AO210" s="354"/>
      <c r="AP210" s="354"/>
      <c r="AQ210" s="354"/>
      <c r="AR210" s="354"/>
      <c r="AS210" s="354"/>
      <c r="AT210" s="354"/>
      <c r="AU210" s="354"/>
      <c r="AV210" s="355"/>
    </row>
    <row r="211" spans="2:49" x14ac:dyDescent="0.2">
      <c r="B211" s="1184"/>
      <c r="C211" s="1228"/>
      <c r="D211" s="1221"/>
      <c r="E211" s="1265"/>
      <c r="F211" s="1266"/>
      <c r="G211" s="1268"/>
      <c r="H211" s="1264"/>
      <c r="I211" s="1269"/>
      <c r="J211" s="1269"/>
      <c r="K211" s="1269"/>
      <c r="L211" s="1269"/>
    </row>
    <row r="212" spans="2:49" x14ac:dyDescent="0.2">
      <c r="B212" s="1184"/>
      <c r="C212" s="1228"/>
      <c r="D212" s="1221"/>
      <c r="E212" s="1265"/>
      <c r="F212" s="1266"/>
      <c r="G212" s="1268"/>
      <c r="H212" s="1264"/>
      <c r="I212" s="1269"/>
      <c r="J212" s="1269"/>
      <c r="K212" s="1269"/>
      <c r="L212" s="1269"/>
    </row>
    <row r="213" spans="2:49" ht="12.75" customHeight="1" x14ac:dyDescent="0.2">
      <c r="B213" s="1184"/>
      <c r="C213" s="1267"/>
      <c r="D213" s="1221"/>
      <c r="E213" s="1265"/>
      <c r="F213" s="1266"/>
      <c r="G213" s="1268"/>
      <c r="H213" s="1264"/>
      <c r="I213" s="1269"/>
      <c r="J213" s="1269"/>
      <c r="K213" s="1269"/>
      <c r="L213" s="1269"/>
    </row>
    <row r="214" spans="2:49" x14ac:dyDescent="0.2">
      <c r="B214" s="1184"/>
      <c r="C214" s="1267"/>
      <c r="D214" s="1221"/>
      <c r="E214" s="1265"/>
      <c r="F214" s="1266"/>
      <c r="G214" s="1268"/>
      <c r="H214" s="1264"/>
      <c r="I214" s="1269"/>
      <c r="J214" s="1269"/>
      <c r="K214" s="1269"/>
      <c r="L214" s="1269"/>
    </row>
    <row r="215" spans="2:49" ht="12.75" customHeight="1" x14ac:dyDescent="0.2">
      <c r="B215" s="1184"/>
      <c r="C215" s="1267"/>
      <c r="D215" s="1221">
        <f>D209</f>
        <v>1570</v>
      </c>
      <c r="E215" s="1265">
        <f>E209</f>
        <v>0.13400000000000001</v>
      </c>
      <c r="F215" s="1266">
        <v>1509</v>
      </c>
      <c r="G215" s="1268">
        <v>0.17799999999999999</v>
      </c>
      <c r="H215" s="1264">
        <v>1.921</v>
      </c>
      <c r="I215" s="1269" t="e">
        <f>I209</f>
        <v>#REF!</v>
      </c>
      <c r="J215" s="1269"/>
      <c r="K215" s="1269"/>
      <c r="L215" s="1269"/>
    </row>
    <row r="216" spans="2:49" ht="12.75" customHeight="1" x14ac:dyDescent="0.2">
      <c r="B216" s="1184"/>
      <c r="C216" s="1267"/>
      <c r="D216" s="1221"/>
      <c r="E216" s="1265"/>
      <c r="F216" s="1266"/>
      <c r="G216" s="1268"/>
      <c r="H216" s="1264"/>
      <c r="I216" s="1269"/>
      <c r="J216" s="1269"/>
      <c r="K216" s="1269"/>
      <c r="L216" s="1269"/>
      <c r="N216" s="354"/>
      <c r="O216" s="354"/>
      <c r="P216" s="354"/>
      <c r="Q216" s="354"/>
      <c r="R216" s="354"/>
      <c r="S216" s="354"/>
      <c r="T216" s="354"/>
      <c r="U216" s="354"/>
      <c r="V216" s="354"/>
      <c r="W216" s="354"/>
      <c r="X216" s="354"/>
      <c r="Y216" s="354"/>
      <c r="Z216" s="354"/>
      <c r="AA216" s="354"/>
      <c r="AB216" s="354"/>
      <c r="AC216" s="354"/>
      <c r="AD216" s="354"/>
      <c r="AE216" s="354"/>
      <c r="AF216" s="354"/>
      <c r="AG216" s="354"/>
      <c r="AH216" s="354"/>
      <c r="AI216" s="354"/>
      <c r="AJ216" s="354"/>
      <c r="AK216" s="354"/>
      <c r="AL216" s="354"/>
      <c r="AM216" s="354"/>
      <c r="AN216" s="354"/>
      <c r="AO216" s="354"/>
      <c r="AP216" s="354"/>
      <c r="AQ216" s="354"/>
      <c r="AR216" s="354"/>
      <c r="AS216" s="354"/>
      <c r="AT216" s="355"/>
    </row>
    <row r="217" spans="2:49" ht="12.75" customHeight="1" x14ac:dyDescent="0.2">
      <c r="B217" s="1184"/>
      <c r="C217" s="1267"/>
      <c r="D217" s="1221"/>
      <c r="E217" s="1265"/>
      <c r="F217" s="1266"/>
      <c r="G217" s="1268"/>
      <c r="H217" s="1264"/>
      <c r="I217" s="1269"/>
      <c r="J217" s="1269"/>
      <c r="K217" s="1269"/>
      <c r="L217" s="1269"/>
      <c r="N217" s="354"/>
      <c r="O217" s="354"/>
      <c r="P217" s="354"/>
      <c r="Q217" s="354"/>
      <c r="R217" s="354"/>
      <c r="S217" s="354"/>
      <c r="T217" s="354"/>
      <c r="U217" s="354"/>
      <c r="V217" s="354"/>
      <c r="W217" s="354"/>
      <c r="X217" s="354"/>
      <c r="Y217" s="354"/>
      <c r="Z217" s="354"/>
      <c r="AA217" s="354"/>
      <c r="AB217" s="354"/>
      <c r="AC217" s="354"/>
      <c r="AD217" s="354"/>
      <c r="AE217" s="354"/>
      <c r="AF217" s="354"/>
      <c r="AG217" s="354"/>
      <c r="AH217" s="354"/>
      <c r="AI217" s="354"/>
      <c r="AJ217" s="354"/>
      <c r="AK217" s="354"/>
      <c r="AL217" s="354"/>
      <c r="AM217" s="354"/>
      <c r="AN217" s="354"/>
      <c r="AO217" s="354"/>
      <c r="AP217" s="354"/>
      <c r="AQ217" s="354"/>
      <c r="AR217" s="354"/>
      <c r="AS217" s="354"/>
      <c r="AT217" s="355"/>
    </row>
    <row r="218" spans="2:49" x14ac:dyDescent="0.2">
      <c r="B218" s="1184"/>
      <c r="C218" s="1267"/>
      <c r="D218" s="1221"/>
      <c r="E218" s="1265"/>
      <c r="F218" s="1266"/>
      <c r="G218" s="1268"/>
      <c r="H218" s="1264"/>
      <c r="I218" s="1269"/>
      <c r="J218" s="1269"/>
      <c r="K218" s="1269"/>
      <c r="L218" s="1269"/>
    </row>
    <row r="219" spans="2:49" x14ac:dyDescent="0.2">
      <c r="B219" s="1184"/>
      <c r="C219" s="1267"/>
      <c r="D219" s="1221"/>
      <c r="E219" s="1265"/>
      <c r="F219" s="1266"/>
      <c r="G219" s="1268"/>
      <c r="H219" s="1264"/>
      <c r="I219" s="1269"/>
      <c r="J219" s="1269"/>
      <c r="K219" s="1269"/>
      <c r="L219" s="1269"/>
    </row>
    <row r="220" spans="2:49" x14ac:dyDescent="0.2">
      <c r="B220" s="1184"/>
      <c r="C220" s="1267"/>
      <c r="D220" s="1221"/>
      <c r="E220" s="1265"/>
      <c r="F220" s="1266"/>
      <c r="G220" s="1268"/>
      <c r="H220" s="1264"/>
      <c r="I220" s="1269"/>
      <c r="J220" s="1269"/>
      <c r="K220" s="1269"/>
      <c r="L220" s="1269"/>
    </row>
    <row r="221" spans="2:49" ht="12.75" customHeight="1" x14ac:dyDescent="0.2">
      <c r="B221" s="356"/>
      <c r="C221" s="357"/>
      <c r="D221" s="1221">
        <f>D209</f>
        <v>1570</v>
      </c>
      <c r="E221" s="1265">
        <f>E209</f>
        <v>0.13400000000000001</v>
      </c>
      <c r="F221" s="1266">
        <v>1423</v>
      </c>
      <c r="G221" s="1268">
        <v>0.19500000000000001</v>
      </c>
      <c r="H221" s="1264">
        <v>2.9209999999999998</v>
      </c>
      <c r="I221" s="1269" t="e">
        <f>I215</f>
        <v>#REF!</v>
      </c>
      <c r="J221" s="1269"/>
      <c r="K221" s="1269"/>
      <c r="L221" s="1269"/>
    </row>
    <row r="222" spans="2:49" x14ac:dyDescent="0.2">
      <c r="D222" s="1221"/>
      <c r="E222" s="1265"/>
      <c r="F222" s="1266"/>
      <c r="G222" s="1268"/>
      <c r="H222" s="1264"/>
      <c r="I222" s="1269"/>
      <c r="J222" s="1269"/>
      <c r="K222" s="1269"/>
      <c r="L222" s="1269"/>
    </row>
    <row r="223" spans="2:49" x14ac:dyDescent="0.2">
      <c r="D223" s="1221"/>
      <c r="E223" s="1265"/>
      <c r="F223" s="1266"/>
      <c r="G223" s="1268"/>
      <c r="H223" s="1264"/>
      <c r="I223" s="1269"/>
      <c r="J223" s="1269"/>
      <c r="K223" s="1269"/>
      <c r="L223" s="1269"/>
    </row>
    <row r="224" spans="2:49" x14ac:dyDescent="0.2">
      <c r="D224" s="1221"/>
      <c r="E224" s="1265"/>
      <c r="F224" s="1266"/>
      <c r="G224" s="1268"/>
      <c r="H224" s="1264"/>
      <c r="I224" s="1269"/>
      <c r="J224" s="1269"/>
      <c r="K224" s="1269"/>
      <c r="L224" s="1269"/>
    </row>
    <row r="225" spans="4:48" x14ac:dyDescent="0.2">
      <c r="D225" s="1221"/>
      <c r="E225" s="1265"/>
      <c r="F225" s="1266"/>
      <c r="G225" s="1268"/>
      <c r="H225" s="1264"/>
      <c r="I225" s="1269"/>
      <c r="J225" s="1269"/>
      <c r="K225" s="1269"/>
      <c r="L225" s="1269"/>
    </row>
    <row r="226" spans="4:48" x14ac:dyDescent="0.2">
      <c r="D226" s="1221"/>
      <c r="E226" s="1265"/>
      <c r="F226" s="1266"/>
      <c r="G226" s="1268"/>
      <c r="H226" s="1264"/>
      <c r="I226" s="1269"/>
      <c r="J226" s="1269"/>
      <c r="K226" s="1269"/>
      <c r="L226" s="1269"/>
    </row>
    <row r="227" spans="4:48" ht="12.75" customHeight="1" x14ac:dyDescent="0.2">
      <c r="D227" s="1221">
        <f>D215</f>
        <v>1570</v>
      </c>
      <c r="E227" s="1265">
        <f>E215</f>
        <v>0.13400000000000001</v>
      </c>
      <c r="F227" s="1266">
        <v>1505</v>
      </c>
      <c r="G227" s="1268">
        <v>0.16200000000000001</v>
      </c>
      <c r="H227" s="1264">
        <v>3.9209999999999998</v>
      </c>
      <c r="I227" s="1269" t="e">
        <f>I221</f>
        <v>#REF!</v>
      </c>
      <c r="J227" s="1269"/>
      <c r="K227" s="1269"/>
      <c r="L227" s="1269"/>
      <c r="M227" s="346"/>
      <c r="N227" s="346"/>
      <c r="O227" s="346"/>
      <c r="P227" s="346"/>
      <c r="Q227" s="346"/>
      <c r="R227" s="346"/>
      <c r="S227" s="346"/>
      <c r="T227" s="346"/>
      <c r="U227" s="346"/>
      <c r="V227" s="346"/>
      <c r="W227" s="346"/>
      <c r="X227" s="346"/>
      <c r="Y227" s="346"/>
      <c r="Z227" s="346"/>
      <c r="AA227" s="346"/>
      <c r="AB227" s="346"/>
      <c r="AC227" s="346"/>
      <c r="AD227" s="346"/>
      <c r="AE227" s="346"/>
      <c r="AF227" s="346"/>
      <c r="AG227" s="346"/>
      <c r="AH227" s="346"/>
      <c r="AI227" s="346"/>
      <c r="AJ227" s="346"/>
      <c r="AK227" s="346"/>
      <c r="AL227" s="346"/>
      <c r="AM227" s="346"/>
      <c r="AN227" s="346"/>
      <c r="AO227" s="346"/>
      <c r="AP227" s="346"/>
      <c r="AQ227" s="346"/>
      <c r="AR227" s="346"/>
      <c r="AS227" s="346"/>
      <c r="AT227" s="346"/>
      <c r="AU227" s="346"/>
      <c r="AV227" s="347"/>
    </row>
    <row r="228" spans="4:48" ht="12.75" customHeight="1" x14ac:dyDescent="0.2">
      <c r="D228" s="1221"/>
      <c r="E228" s="1265"/>
      <c r="F228" s="1266"/>
      <c r="G228" s="1268"/>
      <c r="H228" s="1264"/>
      <c r="I228" s="1269"/>
      <c r="J228" s="1269"/>
      <c r="K228" s="1269"/>
      <c r="L228" s="1269"/>
      <c r="M228" s="350"/>
      <c r="N228" s="350"/>
      <c r="O228" s="350"/>
      <c r="P228" s="350"/>
      <c r="Q228" s="350"/>
      <c r="R228" s="350"/>
      <c r="S228" s="350"/>
      <c r="T228" s="350"/>
      <c r="U228" s="350"/>
      <c r="V228" s="350"/>
      <c r="W228" s="350"/>
      <c r="X228" s="350"/>
      <c r="Y228" s="350"/>
      <c r="Z228" s="350"/>
      <c r="AA228" s="350"/>
      <c r="AB228" s="350"/>
      <c r="AC228" s="350"/>
      <c r="AD228" s="350"/>
      <c r="AE228" s="350"/>
      <c r="AF228" s="350"/>
      <c r="AG228" s="350"/>
      <c r="AH228" s="350"/>
      <c r="AI228" s="350"/>
      <c r="AJ228" s="350"/>
      <c r="AK228" s="350"/>
      <c r="AL228" s="350"/>
      <c r="AM228" s="350"/>
      <c r="AN228" s="350"/>
      <c r="AO228" s="350"/>
      <c r="AP228" s="350"/>
      <c r="AQ228" s="350"/>
      <c r="AR228" s="350"/>
      <c r="AS228" s="350"/>
      <c r="AT228" s="350"/>
      <c r="AU228" s="350"/>
      <c r="AV228" s="351"/>
    </row>
    <row r="229" spans="4:48" x14ac:dyDescent="0.2">
      <c r="D229" s="1221"/>
      <c r="E229" s="1265"/>
      <c r="F229" s="1266"/>
      <c r="G229" s="1268"/>
      <c r="H229" s="1264"/>
      <c r="I229" s="1269"/>
      <c r="J229" s="1269"/>
      <c r="K229" s="1269"/>
      <c r="L229" s="1269"/>
    </row>
    <row r="230" spans="4:48" x14ac:dyDescent="0.2">
      <c r="D230" s="1221"/>
      <c r="E230" s="1265"/>
      <c r="F230" s="1266"/>
      <c r="G230" s="1268"/>
      <c r="H230" s="1264"/>
      <c r="I230" s="1269"/>
      <c r="J230" s="1269"/>
      <c r="K230" s="1269"/>
      <c r="L230" s="1269"/>
    </row>
    <row r="231" spans="4:48" x14ac:dyDescent="0.2">
      <c r="D231" s="1221"/>
      <c r="E231" s="1265"/>
      <c r="F231" s="1266"/>
      <c r="G231" s="1268"/>
      <c r="H231" s="1264"/>
      <c r="I231" s="1269"/>
      <c r="J231" s="1269"/>
      <c r="K231" s="1269"/>
      <c r="L231" s="1269"/>
    </row>
    <row r="232" spans="4:48" x14ac:dyDescent="0.2">
      <c r="D232" s="1221"/>
      <c r="E232" s="1265"/>
      <c r="F232" s="1266"/>
      <c r="G232" s="1268"/>
      <c r="H232" s="1264"/>
      <c r="I232" s="1269"/>
      <c r="J232" s="1269"/>
      <c r="K232" s="1269"/>
      <c r="L232" s="1269"/>
    </row>
    <row r="233" spans="4:48" ht="12.75" customHeight="1" x14ac:dyDescent="0.2">
      <c r="D233" s="1221">
        <f>D221</f>
        <v>1570</v>
      </c>
      <c r="E233" s="1265">
        <f>E221</f>
        <v>0.13400000000000001</v>
      </c>
      <c r="F233" s="1266">
        <v>1500</v>
      </c>
      <c r="G233" s="1268">
        <v>0.222</v>
      </c>
      <c r="H233" s="1264">
        <v>4.9210000000000003</v>
      </c>
      <c r="I233" s="1269" t="e">
        <f>I227</f>
        <v>#REF!</v>
      </c>
      <c r="J233" s="1269"/>
      <c r="K233" s="1269"/>
      <c r="L233" s="1269"/>
    </row>
    <row r="234" spans="4:48" x14ac:dyDescent="0.2">
      <c r="D234" s="1221"/>
      <c r="E234" s="1265"/>
      <c r="F234" s="1266"/>
      <c r="G234" s="1268"/>
      <c r="H234" s="1264"/>
      <c r="I234" s="1269"/>
      <c r="J234" s="1269"/>
      <c r="K234" s="1269"/>
      <c r="L234" s="1269"/>
    </row>
    <row r="235" spans="4:48" x14ac:dyDescent="0.2">
      <c r="D235" s="1221"/>
      <c r="E235" s="1265"/>
      <c r="F235" s="1266"/>
      <c r="G235" s="1268"/>
      <c r="H235" s="1264"/>
      <c r="I235" s="1269"/>
      <c r="J235" s="1269"/>
      <c r="K235" s="1269"/>
      <c r="L235" s="1269"/>
    </row>
    <row r="236" spans="4:48" x14ac:dyDescent="0.2">
      <c r="D236" s="1221"/>
      <c r="E236" s="1265"/>
      <c r="F236" s="1266"/>
      <c r="G236" s="1268"/>
      <c r="H236" s="1264"/>
      <c r="I236" s="1269"/>
      <c r="J236" s="1269"/>
      <c r="K236" s="1269"/>
      <c r="L236" s="1269"/>
    </row>
    <row r="237" spans="4:48" x14ac:dyDescent="0.2">
      <c r="D237" s="1221"/>
      <c r="E237" s="1265"/>
      <c r="F237" s="1266"/>
      <c r="G237" s="1268"/>
      <c r="H237" s="1264"/>
      <c r="I237" s="1269"/>
      <c r="J237" s="1269"/>
      <c r="K237" s="1269"/>
      <c r="L237" s="1269"/>
    </row>
    <row r="238" spans="4:48" x14ac:dyDescent="0.2">
      <c r="D238" s="1221"/>
      <c r="E238" s="1265"/>
      <c r="F238" s="1266"/>
      <c r="G238" s="1268"/>
      <c r="H238" s="1264"/>
      <c r="I238" s="1269"/>
      <c r="J238" s="1269"/>
      <c r="K238" s="1269"/>
      <c r="L238" s="1269"/>
    </row>
    <row r="239" spans="4:48" ht="12.75" customHeight="1" x14ac:dyDescent="0.2">
      <c r="D239" s="1221">
        <f t="shared" ref="D239:E239" si="36">D227</f>
        <v>1570</v>
      </c>
      <c r="E239" s="1265">
        <f t="shared" si="36"/>
        <v>0.13400000000000001</v>
      </c>
      <c r="F239" s="1266">
        <v>1421</v>
      </c>
      <c r="G239" s="1268">
        <v>0.20599999999999999</v>
      </c>
      <c r="H239" s="1264">
        <v>5.9210000000000003</v>
      </c>
      <c r="I239" s="1269" t="e">
        <f t="shared" ref="I239" si="37">I233</f>
        <v>#REF!</v>
      </c>
      <c r="J239" s="1269"/>
      <c r="K239" s="1269"/>
      <c r="L239" s="1269"/>
    </row>
    <row r="240" spans="4:48" x14ac:dyDescent="0.2">
      <c r="D240" s="1221"/>
      <c r="E240" s="1265"/>
      <c r="F240" s="1266"/>
      <c r="G240" s="1268"/>
      <c r="H240" s="1264"/>
      <c r="I240" s="1269"/>
      <c r="J240" s="1269"/>
      <c r="K240" s="1269"/>
      <c r="L240" s="1269"/>
    </row>
    <row r="241" spans="4:12" x14ac:dyDescent="0.2">
      <c r="D241" s="1221"/>
      <c r="E241" s="1265"/>
      <c r="F241" s="1266"/>
      <c r="G241" s="1268"/>
      <c r="H241" s="1264"/>
      <c r="I241" s="1269"/>
      <c r="J241" s="1269"/>
      <c r="K241" s="1269"/>
      <c r="L241" s="1269"/>
    </row>
    <row r="242" spans="4:12" x14ac:dyDescent="0.2">
      <c r="D242" s="1221"/>
      <c r="E242" s="1265"/>
      <c r="F242" s="1266"/>
      <c r="G242" s="1268"/>
      <c r="H242" s="1264"/>
      <c r="I242" s="1269"/>
      <c r="J242" s="1269"/>
      <c r="K242" s="1269"/>
      <c r="L242" s="1269"/>
    </row>
    <row r="243" spans="4:12" x14ac:dyDescent="0.2">
      <c r="D243" s="1221"/>
      <c r="E243" s="1265"/>
      <c r="F243" s="1266"/>
      <c r="G243" s="1268"/>
      <c r="H243" s="1264"/>
      <c r="I243" s="1269"/>
      <c r="J243" s="1269"/>
      <c r="K243" s="1269"/>
      <c r="L243" s="1269"/>
    </row>
    <row r="244" spans="4:12" x14ac:dyDescent="0.2">
      <c r="D244" s="1221"/>
      <c r="E244" s="1265"/>
      <c r="F244" s="1266"/>
      <c r="G244" s="1268"/>
      <c r="H244" s="1264"/>
      <c r="I244" s="1269"/>
      <c r="J244" s="1269"/>
      <c r="K244" s="1269"/>
      <c r="L244" s="1269"/>
    </row>
    <row r="245" spans="4:12" ht="12.75" customHeight="1" x14ac:dyDescent="0.2">
      <c r="D245" s="1221">
        <f t="shared" ref="D245:E245" si="38">D233</f>
        <v>1570</v>
      </c>
      <c r="E245" s="1265">
        <f t="shared" si="38"/>
        <v>0.13400000000000001</v>
      </c>
      <c r="F245" s="1266">
        <v>1419</v>
      </c>
      <c r="G245" s="1268">
        <v>0.17</v>
      </c>
      <c r="H245" s="1264">
        <v>6.9210000000000003</v>
      </c>
      <c r="I245" s="1269" t="e">
        <f t="shared" ref="I245" si="39">I239</f>
        <v>#REF!</v>
      </c>
      <c r="J245" s="1269"/>
      <c r="K245" s="1269"/>
      <c r="L245" s="1269"/>
    </row>
    <row r="246" spans="4:12" x14ac:dyDescent="0.2">
      <c r="D246" s="1221"/>
      <c r="E246" s="1265"/>
      <c r="F246" s="1266"/>
      <c r="G246" s="1268"/>
      <c r="H246" s="1264"/>
      <c r="I246" s="1269"/>
      <c r="J246" s="1269"/>
      <c r="K246" s="1269"/>
      <c r="L246" s="1269"/>
    </row>
    <row r="247" spans="4:12" x14ac:dyDescent="0.2">
      <c r="D247" s="1221"/>
      <c r="E247" s="1265"/>
      <c r="F247" s="1266"/>
      <c r="G247" s="1268"/>
      <c r="H247" s="1264"/>
      <c r="I247" s="1269"/>
      <c r="J247" s="1269"/>
      <c r="K247" s="1269"/>
      <c r="L247" s="1269"/>
    </row>
    <row r="248" spans="4:12" x14ac:dyDescent="0.2">
      <c r="D248" s="1221"/>
      <c r="E248" s="1265"/>
      <c r="F248" s="1266"/>
      <c r="G248" s="1268"/>
      <c r="H248" s="1264"/>
      <c r="I248" s="1269"/>
      <c r="J248" s="1269"/>
      <c r="K248" s="1269"/>
      <c r="L248" s="1269"/>
    </row>
    <row r="249" spans="4:12" x14ac:dyDescent="0.2">
      <c r="D249" s="1221"/>
      <c r="E249" s="1265"/>
      <c r="F249" s="1266"/>
      <c r="G249" s="1268"/>
      <c r="H249" s="1264"/>
      <c r="I249" s="1269"/>
      <c r="J249" s="1269"/>
      <c r="K249" s="1269"/>
      <c r="L249" s="1269"/>
    </row>
    <row r="250" spans="4:12" x14ac:dyDescent="0.2">
      <c r="D250" s="1221"/>
      <c r="E250" s="1265"/>
      <c r="F250" s="1266"/>
      <c r="G250" s="1268"/>
      <c r="H250" s="1264"/>
      <c r="I250" s="1269"/>
      <c r="J250" s="1269"/>
      <c r="K250" s="1269"/>
      <c r="L250" s="1269"/>
    </row>
    <row r="251" spans="4:12" x14ac:dyDescent="0.2">
      <c r="D251" s="1221">
        <f t="shared" ref="D251:E251" si="40">D239</f>
        <v>1570</v>
      </c>
      <c r="E251" s="1265">
        <f t="shared" si="40"/>
        <v>0.13400000000000001</v>
      </c>
      <c r="F251" s="1266">
        <v>1441</v>
      </c>
      <c r="G251" s="1268">
        <v>0.19500000000000001</v>
      </c>
      <c r="H251" s="1264">
        <v>7.9210000000000003</v>
      </c>
      <c r="I251" s="1269" t="e">
        <f t="shared" ref="I251" si="41">I245</f>
        <v>#REF!</v>
      </c>
      <c r="J251" s="1269"/>
      <c r="K251" s="1269"/>
      <c r="L251" s="1269"/>
    </row>
    <row r="252" spans="4:12" x14ac:dyDescent="0.2">
      <c r="D252" s="1221"/>
      <c r="E252" s="1265"/>
      <c r="F252" s="1266"/>
      <c r="G252" s="1268"/>
      <c r="H252" s="1264"/>
      <c r="I252" s="1269"/>
      <c r="J252" s="1269"/>
      <c r="K252" s="1269"/>
      <c r="L252" s="1269"/>
    </row>
    <row r="253" spans="4:12" x14ac:dyDescent="0.2">
      <c r="D253" s="1221"/>
      <c r="E253" s="1265"/>
      <c r="F253" s="1266"/>
      <c r="G253" s="1268"/>
      <c r="H253" s="1264"/>
      <c r="I253" s="1269"/>
      <c r="J253" s="1269"/>
      <c r="K253" s="1269"/>
      <c r="L253" s="1269"/>
    </row>
    <row r="254" spans="4:12" x14ac:dyDescent="0.2">
      <c r="D254" s="1221"/>
      <c r="E254" s="1265"/>
      <c r="F254" s="1266"/>
      <c r="G254" s="1268"/>
      <c r="H254" s="1264"/>
      <c r="I254" s="1269"/>
      <c r="J254" s="1269"/>
      <c r="K254" s="1269"/>
      <c r="L254" s="1269"/>
    </row>
    <row r="255" spans="4:12" x14ac:dyDescent="0.2">
      <c r="D255" s="1221"/>
      <c r="E255" s="1265"/>
      <c r="F255" s="1266"/>
      <c r="G255" s="1268"/>
      <c r="H255" s="1264"/>
      <c r="I255" s="1269"/>
      <c r="J255" s="1269"/>
      <c r="K255" s="1269"/>
      <c r="L255" s="1269"/>
    </row>
    <row r="256" spans="4:12" x14ac:dyDescent="0.2">
      <c r="D256" s="1221"/>
      <c r="E256" s="1265"/>
      <c r="F256" s="1266"/>
      <c r="G256" s="1268"/>
      <c r="H256" s="1264"/>
      <c r="I256" s="1269"/>
      <c r="J256" s="1269"/>
      <c r="K256" s="1269"/>
      <c r="L256" s="1269"/>
    </row>
    <row r="257" spans="4:12" x14ac:dyDescent="0.2">
      <c r="D257" s="1221">
        <f t="shared" ref="D257:E257" si="42">D245</f>
        <v>1570</v>
      </c>
      <c r="E257" s="1265">
        <f t="shared" si="42"/>
        <v>0.13400000000000001</v>
      </c>
      <c r="F257" s="1266">
        <v>1461</v>
      </c>
      <c r="G257" s="1268">
        <v>0.19800000000000001</v>
      </c>
      <c r="H257" s="1264">
        <v>8.9209999999999994</v>
      </c>
      <c r="I257" s="1269" t="e">
        <f t="shared" ref="I257" si="43">I251</f>
        <v>#REF!</v>
      </c>
      <c r="J257" s="1269"/>
      <c r="K257" s="1269"/>
      <c r="L257" s="1269"/>
    </row>
    <row r="258" spans="4:12" x14ac:dyDescent="0.2">
      <c r="D258" s="1221"/>
      <c r="E258" s="1265"/>
      <c r="F258" s="1266"/>
      <c r="G258" s="1268"/>
      <c r="H258" s="1264"/>
      <c r="I258" s="1269"/>
      <c r="J258" s="1269"/>
      <c r="K258" s="1269"/>
      <c r="L258" s="1269"/>
    </row>
    <row r="259" spans="4:12" x14ac:dyDescent="0.2">
      <c r="D259" s="1221"/>
      <c r="E259" s="1265"/>
      <c r="F259" s="1266"/>
      <c r="G259" s="1268"/>
      <c r="H259" s="1264"/>
      <c r="I259" s="1269"/>
      <c r="J259" s="1269"/>
      <c r="K259" s="1269"/>
      <c r="L259" s="1269"/>
    </row>
    <row r="260" spans="4:12" x14ac:dyDescent="0.2">
      <c r="D260" s="1221"/>
      <c r="E260" s="1265"/>
      <c r="F260" s="1266"/>
      <c r="G260" s="1268"/>
      <c r="H260" s="1264"/>
      <c r="I260" s="1269"/>
      <c r="J260" s="1269"/>
      <c r="K260" s="1269"/>
      <c r="L260" s="1269"/>
    </row>
    <row r="261" spans="4:12" x14ac:dyDescent="0.2">
      <c r="D261" s="1221"/>
      <c r="E261" s="1265"/>
      <c r="F261" s="1266"/>
      <c r="G261" s="1268"/>
      <c r="H261" s="1264"/>
      <c r="I261" s="1269"/>
      <c r="J261" s="1269"/>
      <c r="K261" s="1269"/>
      <c r="L261" s="1269"/>
    </row>
    <row r="262" spans="4:12" x14ac:dyDescent="0.2">
      <c r="D262" s="1221"/>
      <c r="E262" s="1265"/>
      <c r="F262" s="1266"/>
      <c r="G262" s="1268"/>
      <c r="H262" s="1264"/>
      <c r="I262" s="1269"/>
      <c r="J262" s="1269"/>
      <c r="K262" s="1269"/>
      <c r="L262" s="1269"/>
    </row>
    <row r="263" spans="4:12" x14ac:dyDescent="0.2">
      <c r="D263" s="1221">
        <f t="shared" ref="D263:E263" si="44">D251</f>
        <v>1570</v>
      </c>
      <c r="E263" s="1265">
        <f t="shared" si="44"/>
        <v>0.13400000000000001</v>
      </c>
      <c r="F263" s="1266">
        <v>1541</v>
      </c>
      <c r="G263" s="1268">
        <v>0.159</v>
      </c>
      <c r="H263" s="1264">
        <v>9.9209999999999994</v>
      </c>
      <c r="I263" s="1269" t="e">
        <f t="shared" ref="I263" si="45">I257</f>
        <v>#REF!</v>
      </c>
      <c r="J263" s="1269"/>
      <c r="K263" s="1269"/>
      <c r="L263" s="1269"/>
    </row>
    <row r="264" spans="4:12" x14ac:dyDescent="0.2">
      <c r="D264" s="1221"/>
      <c r="E264" s="1265"/>
      <c r="F264" s="1266"/>
      <c r="G264" s="1268"/>
      <c r="H264" s="1264"/>
      <c r="I264" s="1269"/>
      <c r="J264" s="1269"/>
      <c r="K264" s="1269"/>
      <c r="L264" s="1269"/>
    </row>
    <row r="265" spans="4:12" x14ac:dyDescent="0.2">
      <c r="D265" s="1221"/>
      <c r="E265" s="1265"/>
      <c r="F265" s="1266"/>
      <c r="G265" s="1268"/>
      <c r="H265" s="1264"/>
      <c r="I265" s="1269"/>
      <c r="J265" s="1269"/>
      <c r="K265" s="1269"/>
      <c r="L265" s="1269"/>
    </row>
    <row r="266" spans="4:12" x14ac:dyDescent="0.2">
      <c r="D266" s="1221"/>
      <c r="E266" s="1265"/>
      <c r="F266" s="1266"/>
      <c r="G266" s="1268"/>
      <c r="H266" s="1264"/>
      <c r="I266" s="1269"/>
      <c r="J266" s="1269"/>
      <c r="K266" s="1269"/>
      <c r="L266" s="1269"/>
    </row>
    <row r="267" spans="4:12" x14ac:dyDescent="0.2">
      <c r="D267" s="1221"/>
      <c r="E267" s="1265"/>
      <c r="F267" s="1266"/>
      <c r="G267" s="1268"/>
      <c r="H267" s="1264"/>
      <c r="I267" s="1269"/>
      <c r="J267" s="1269"/>
      <c r="K267" s="1269"/>
      <c r="L267" s="1269"/>
    </row>
    <row r="268" spans="4:12" x14ac:dyDescent="0.2">
      <c r="D268" s="1221"/>
      <c r="E268" s="1265"/>
      <c r="F268" s="1266"/>
      <c r="G268" s="1268"/>
      <c r="H268" s="1264"/>
      <c r="I268" s="1269"/>
      <c r="J268" s="1269"/>
      <c r="K268" s="1269"/>
      <c r="L268" s="1269"/>
    </row>
    <row r="269" spans="4:12" x14ac:dyDescent="0.2">
      <c r="D269" s="1221">
        <v>1570</v>
      </c>
      <c r="E269" s="1265">
        <v>0.13400000000000001</v>
      </c>
      <c r="F269" s="1266">
        <v>1430</v>
      </c>
      <c r="G269" s="1268">
        <v>0.25600000000000001</v>
      </c>
      <c r="H269" s="1264">
        <v>10.920999999999999</v>
      </c>
      <c r="I269" s="1269" t="e">
        <f t="shared" ref="I269" si="46">I263</f>
        <v>#REF!</v>
      </c>
      <c r="J269" s="1269"/>
      <c r="K269" s="1269"/>
      <c r="L269" s="1269"/>
    </row>
    <row r="270" spans="4:12" x14ac:dyDescent="0.2">
      <c r="D270" s="1221"/>
      <c r="E270" s="1265"/>
      <c r="F270" s="1266"/>
      <c r="G270" s="1268"/>
      <c r="H270" s="1264"/>
      <c r="I270" s="1269"/>
      <c r="J270" s="1269"/>
      <c r="K270" s="1269"/>
      <c r="L270" s="1269"/>
    </row>
    <row r="271" spans="4:12" x14ac:dyDescent="0.2">
      <c r="D271" s="1221"/>
      <c r="E271" s="1265"/>
      <c r="F271" s="1266"/>
      <c r="G271" s="1268"/>
      <c r="H271" s="1264"/>
      <c r="I271" s="1269"/>
      <c r="J271" s="1269"/>
      <c r="K271" s="1269"/>
      <c r="L271" s="1269"/>
    </row>
    <row r="272" spans="4:12" x14ac:dyDescent="0.2">
      <c r="D272" s="1221"/>
      <c r="E272" s="1265"/>
      <c r="F272" s="1266"/>
      <c r="G272" s="1268"/>
      <c r="H272" s="1264"/>
      <c r="I272" s="1269"/>
      <c r="J272" s="1269"/>
      <c r="K272" s="1269"/>
      <c r="L272" s="1269"/>
    </row>
    <row r="273" spans="4:12" x14ac:dyDescent="0.2">
      <c r="D273" s="1221"/>
      <c r="E273" s="1265"/>
      <c r="F273" s="1266"/>
      <c r="G273" s="1268"/>
      <c r="H273" s="1264"/>
      <c r="I273" s="1269"/>
      <c r="J273" s="1269"/>
      <c r="K273" s="1269"/>
      <c r="L273" s="1269"/>
    </row>
    <row r="274" spans="4:12" x14ac:dyDescent="0.2">
      <c r="D274" s="1221"/>
      <c r="E274" s="1265"/>
      <c r="F274" s="1266"/>
      <c r="G274" s="1268"/>
      <c r="H274" s="1264"/>
      <c r="I274" s="1269"/>
      <c r="J274" s="1269"/>
      <c r="K274" s="1269"/>
      <c r="L274" s="1269"/>
    </row>
    <row r="275" spans="4:12" x14ac:dyDescent="0.2">
      <c r="D275" s="1221"/>
      <c r="E275" s="1265"/>
      <c r="F275" s="1266"/>
      <c r="G275" s="1268"/>
      <c r="H275" s="1264">
        <v>11.920999999999999</v>
      </c>
      <c r="I275" s="1269"/>
      <c r="J275" s="1269"/>
      <c r="K275" s="1269"/>
      <c r="L275" s="1269"/>
    </row>
    <row r="276" spans="4:12" x14ac:dyDescent="0.2">
      <c r="D276" s="1221"/>
      <c r="E276" s="1265"/>
      <c r="F276" s="1266"/>
      <c r="G276" s="1268"/>
      <c r="H276" s="1264"/>
      <c r="I276" s="1269"/>
      <c r="J276" s="1269"/>
      <c r="K276" s="1269"/>
      <c r="L276" s="1269"/>
    </row>
    <row r="277" spans="4:12" x14ac:dyDescent="0.2">
      <c r="D277" s="1221"/>
      <c r="E277" s="1265"/>
      <c r="F277" s="1266"/>
      <c r="G277" s="1268"/>
      <c r="H277" s="1264"/>
      <c r="I277" s="1269"/>
      <c r="J277" s="1269"/>
      <c r="K277" s="1269"/>
      <c r="L277" s="1269"/>
    </row>
    <row r="278" spans="4:12" x14ac:dyDescent="0.2">
      <c r="D278" s="1221"/>
      <c r="E278" s="1265"/>
      <c r="F278" s="1266"/>
      <c r="G278" s="1268"/>
      <c r="H278" s="1264"/>
      <c r="I278" s="1269"/>
      <c r="J278" s="1269"/>
      <c r="K278" s="1269"/>
      <c r="L278" s="1269"/>
    </row>
    <row r="279" spans="4:12" x14ac:dyDescent="0.2">
      <c r="D279" s="1221"/>
      <c r="E279" s="1265"/>
      <c r="F279" s="1266"/>
      <c r="G279" s="1268"/>
      <c r="H279" s="1264"/>
      <c r="I279" s="1269"/>
      <c r="J279" s="1269"/>
      <c r="K279" s="1269"/>
      <c r="L279" s="1269"/>
    </row>
    <row r="280" spans="4:12" x14ac:dyDescent="0.2">
      <c r="D280" s="1221"/>
      <c r="E280" s="1265"/>
      <c r="F280" s="1266"/>
      <c r="G280" s="1268"/>
      <c r="H280" s="1264"/>
      <c r="I280" s="1269"/>
      <c r="J280" s="1269"/>
      <c r="K280" s="1269"/>
      <c r="L280" s="1269"/>
    </row>
    <row r="281" spans="4:12" x14ac:dyDescent="0.2">
      <c r="D281" s="1221"/>
      <c r="E281" s="1265"/>
      <c r="F281" s="1266"/>
      <c r="G281" s="1268"/>
      <c r="H281" s="1264">
        <v>12.920999999999999</v>
      </c>
      <c r="I281" s="1269"/>
      <c r="J281" s="1269"/>
      <c r="K281" s="1269"/>
      <c r="L281" s="1269"/>
    </row>
    <row r="282" spans="4:12" x14ac:dyDescent="0.2">
      <c r="D282" s="1221"/>
      <c r="E282" s="1265"/>
      <c r="F282" s="1266"/>
      <c r="G282" s="1268"/>
      <c r="H282" s="1264"/>
      <c r="I282" s="1269"/>
      <c r="J282" s="1269"/>
      <c r="K282" s="1269"/>
      <c r="L282" s="1269"/>
    </row>
    <row r="283" spans="4:12" x14ac:dyDescent="0.2">
      <c r="D283" s="1221"/>
      <c r="E283" s="1265"/>
      <c r="F283" s="1266"/>
      <c r="G283" s="1268"/>
      <c r="H283" s="1264"/>
      <c r="I283" s="1269"/>
      <c r="J283" s="1269"/>
      <c r="K283" s="1269"/>
      <c r="L283" s="1269"/>
    </row>
    <row r="284" spans="4:12" x14ac:dyDescent="0.2">
      <c r="D284" s="1221"/>
      <c r="E284" s="1265"/>
      <c r="F284" s="1266"/>
      <c r="G284" s="1268"/>
      <c r="H284" s="1264"/>
      <c r="I284" s="1269"/>
      <c r="J284" s="1269"/>
      <c r="K284" s="1269"/>
      <c r="L284" s="1269"/>
    </row>
    <row r="285" spans="4:12" x14ac:dyDescent="0.2">
      <c r="D285" s="1221"/>
      <c r="E285" s="1265"/>
      <c r="F285" s="1266"/>
      <c r="G285" s="1268"/>
      <c r="H285" s="1264"/>
      <c r="I285" s="1269"/>
      <c r="J285" s="1269"/>
      <c r="K285" s="1269"/>
      <c r="L285" s="1269"/>
    </row>
    <row r="286" spans="4:12" x14ac:dyDescent="0.2">
      <c r="D286" s="1221"/>
      <c r="E286" s="1265"/>
      <c r="F286" s="1266"/>
      <c r="G286" s="1268"/>
      <c r="H286" s="1264"/>
      <c r="I286" s="1269"/>
      <c r="J286" s="1269"/>
      <c r="K286" s="1269"/>
      <c r="L286" s="1269"/>
    </row>
    <row r="287" spans="4:12" x14ac:dyDescent="0.2">
      <c r="D287" s="1221"/>
      <c r="E287" s="1265"/>
      <c r="F287" s="1266"/>
      <c r="G287" s="1268"/>
      <c r="H287" s="1264"/>
      <c r="I287" s="1269"/>
      <c r="J287" s="1269"/>
      <c r="K287" s="1269"/>
      <c r="L287" s="1269"/>
    </row>
    <row r="288" spans="4:12" x14ac:dyDescent="0.2">
      <c r="D288" s="1221"/>
      <c r="E288" s="1265"/>
      <c r="F288" s="1266"/>
      <c r="G288" s="1268"/>
      <c r="H288" s="1264"/>
      <c r="I288" s="1269"/>
      <c r="J288" s="1269"/>
      <c r="K288" s="1269"/>
      <c r="L288" s="1269"/>
    </row>
    <row r="289" spans="4:12" x14ac:dyDescent="0.2">
      <c r="D289" s="1221"/>
      <c r="E289" s="1265"/>
      <c r="F289" s="1266"/>
      <c r="G289" s="1268"/>
      <c r="H289" s="1264"/>
      <c r="I289" s="1269"/>
      <c r="J289" s="1269"/>
      <c r="K289" s="1269"/>
      <c r="L289" s="1269"/>
    </row>
    <row r="290" spans="4:12" x14ac:dyDescent="0.2">
      <c r="D290" s="1221"/>
      <c r="E290" s="1265"/>
      <c r="F290" s="1266"/>
      <c r="G290" s="1268"/>
      <c r="H290" s="1264"/>
      <c r="I290" s="1269"/>
      <c r="J290" s="1269"/>
      <c r="K290" s="1269"/>
      <c r="L290" s="1269"/>
    </row>
    <row r="291" spans="4:12" x14ac:dyDescent="0.2">
      <c r="D291" s="1221"/>
      <c r="E291" s="1265"/>
      <c r="F291" s="1266"/>
      <c r="G291" s="1268"/>
      <c r="H291" s="1264"/>
      <c r="I291" s="1269"/>
      <c r="J291" s="1269"/>
      <c r="K291" s="1269"/>
      <c r="L291" s="1269"/>
    </row>
    <row r="292" spans="4:12" x14ac:dyDescent="0.2">
      <c r="D292" s="1221"/>
      <c r="E292" s="1265"/>
      <c r="F292" s="1266"/>
      <c r="G292" s="1268"/>
      <c r="H292" s="1264"/>
      <c r="I292" s="1269"/>
      <c r="J292" s="1269"/>
      <c r="K292" s="1269"/>
      <c r="L292" s="1269"/>
    </row>
  </sheetData>
  <mergeCells count="332">
    <mergeCell ref="D287:D292"/>
    <mergeCell ref="E287:E292"/>
    <mergeCell ref="F287:F292"/>
    <mergeCell ref="G287:G292"/>
    <mergeCell ref="H287:H292"/>
    <mergeCell ref="I287:L292"/>
    <mergeCell ref="D281:D286"/>
    <mergeCell ref="E281:E286"/>
    <mergeCell ref="F281:F286"/>
    <mergeCell ref="G281:G286"/>
    <mergeCell ref="H281:H286"/>
    <mergeCell ref="I281:L286"/>
    <mergeCell ref="D275:D280"/>
    <mergeCell ref="E275:E280"/>
    <mergeCell ref="F275:F280"/>
    <mergeCell ref="G275:G280"/>
    <mergeCell ref="H275:H280"/>
    <mergeCell ref="I275:L280"/>
    <mergeCell ref="D269:D274"/>
    <mergeCell ref="E269:E274"/>
    <mergeCell ref="F269:F274"/>
    <mergeCell ref="G269:G274"/>
    <mergeCell ref="H269:H274"/>
    <mergeCell ref="I269:L274"/>
    <mergeCell ref="D263:D268"/>
    <mergeCell ref="E263:E268"/>
    <mergeCell ref="F263:F268"/>
    <mergeCell ref="G263:G268"/>
    <mergeCell ref="H263:H268"/>
    <mergeCell ref="I263:L268"/>
    <mergeCell ref="D257:D262"/>
    <mergeCell ref="E257:E262"/>
    <mergeCell ref="F257:F262"/>
    <mergeCell ref="G257:G262"/>
    <mergeCell ref="H257:H262"/>
    <mergeCell ref="I257:L262"/>
    <mergeCell ref="D251:D256"/>
    <mergeCell ref="E251:E256"/>
    <mergeCell ref="F251:F256"/>
    <mergeCell ref="G251:G256"/>
    <mergeCell ref="H251:H256"/>
    <mergeCell ref="I251:L256"/>
    <mergeCell ref="D245:D250"/>
    <mergeCell ref="E245:E250"/>
    <mergeCell ref="F245:F250"/>
    <mergeCell ref="G245:G250"/>
    <mergeCell ref="H245:H250"/>
    <mergeCell ref="I245:L250"/>
    <mergeCell ref="D239:D244"/>
    <mergeCell ref="E239:E244"/>
    <mergeCell ref="F239:F244"/>
    <mergeCell ref="G239:G244"/>
    <mergeCell ref="H239:H244"/>
    <mergeCell ref="H215:H220"/>
    <mergeCell ref="I239:L244"/>
    <mergeCell ref="D233:D238"/>
    <mergeCell ref="E233:E238"/>
    <mergeCell ref="F233:F238"/>
    <mergeCell ref="G233:G238"/>
    <mergeCell ref="H233:H238"/>
    <mergeCell ref="I233:L238"/>
    <mergeCell ref="I221:L226"/>
    <mergeCell ref="D227:D232"/>
    <mergeCell ref="E227:E232"/>
    <mergeCell ref="F227:F232"/>
    <mergeCell ref="G227:G232"/>
    <mergeCell ref="H227:H232"/>
    <mergeCell ref="I227:L232"/>
    <mergeCell ref="D221:D226"/>
    <mergeCell ref="E221:E226"/>
    <mergeCell ref="F221:F226"/>
    <mergeCell ref="G221:G226"/>
    <mergeCell ref="C197:C202"/>
    <mergeCell ref="D197:D202"/>
    <mergeCell ref="E197:E202"/>
    <mergeCell ref="F197:F202"/>
    <mergeCell ref="G197:G202"/>
    <mergeCell ref="H197:H202"/>
    <mergeCell ref="G209:G214"/>
    <mergeCell ref="H209:H214"/>
    <mergeCell ref="I209:L214"/>
    <mergeCell ref="I197:L202"/>
    <mergeCell ref="D205:L206"/>
    <mergeCell ref="D207:L207"/>
    <mergeCell ref="H221:H226"/>
    <mergeCell ref="B208:C208"/>
    <mergeCell ref="I208:L208"/>
    <mergeCell ref="B209:B220"/>
    <mergeCell ref="C209:C212"/>
    <mergeCell ref="D209:D214"/>
    <mergeCell ref="E209:E214"/>
    <mergeCell ref="F209:F214"/>
    <mergeCell ref="C213:C217"/>
    <mergeCell ref="D215:D220"/>
    <mergeCell ref="E215:E220"/>
    <mergeCell ref="F215:F220"/>
    <mergeCell ref="G215:G220"/>
    <mergeCell ref="I215:L220"/>
    <mergeCell ref="C218:C220"/>
    <mergeCell ref="I185:L190"/>
    <mergeCell ref="C191:C196"/>
    <mergeCell ref="D191:D196"/>
    <mergeCell ref="E191:E196"/>
    <mergeCell ref="F191:F196"/>
    <mergeCell ref="G191:G196"/>
    <mergeCell ref="H191:H196"/>
    <mergeCell ref="I191:L196"/>
    <mergeCell ref="C185:C190"/>
    <mergeCell ref="D185:D190"/>
    <mergeCell ref="E185:E190"/>
    <mergeCell ref="F185:F190"/>
    <mergeCell ref="G185:G190"/>
    <mergeCell ref="H185:H190"/>
    <mergeCell ref="I173:L178"/>
    <mergeCell ref="C179:C184"/>
    <mergeCell ref="D179:D184"/>
    <mergeCell ref="E179:E184"/>
    <mergeCell ref="F179:F184"/>
    <mergeCell ref="G179:G184"/>
    <mergeCell ref="H179:H184"/>
    <mergeCell ref="I179:L184"/>
    <mergeCell ref="C173:C178"/>
    <mergeCell ref="D173:D178"/>
    <mergeCell ref="E173:E178"/>
    <mergeCell ref="F173:F178"/>
    <mergeCell ref="G173:G178"/>
    <mergeCell ref="H173:H178"/>
    <mergeCell ref="I161:L166"/>
    <mergeCell ref="C167:C172"/>
    <mergeCell ref="D167:D172"/>
    <mergeCell ref="E167:E172"/>
    <mergeCell ref="F167:F172"/>
    <mergeCell ref="G167:G172"/>
    <mergeCell ref="H167:H172"/>
    <mergeCell ref="I167:L172"/>
    <mergeCell ref="C161:C166"/>
    <mergeCell ref="D161:D166"/>
    <mergeCell ref="E161:E166"/>
    <mergeCell ref="F161:F166"/>
    <mergeCell ref="G161:G166"/>
    <mergeCell ref="H161:H166"/>
    <mergeCell ref="I149:L154"/>
    <mergeCell ref="C155:C160"/>
    <mergeCell ref="D155:D160"/>
    <mergeCell ref="E155:E160"/>
    <mergeCell ref="F155:F160"/>
    <mergeCell ref="G155:G160"/>
    <mergeCell ref="H155:H160"/>
    <mergeCell ref="I155:L160"/>
    <mergeCell ref="C149:C154"/>
    <mergeCell ref="D149:D154"/>
    <mergeCell ref="E149:E154"/>
    <mergeCell ref="F149:F154"/>
    <mergeCell ref="G149:G154"/>
    <mergeCell ref="H149:H154"/>
    <mergeCell ref="I137:L142"/>
    <mergeCell ref="C143:C148"/>
    <mergeCell ref="D143:D148"/>
    <mergeCell ref="E143:E148"/>
    <mergeCell ref="F143:F148"/>
    <mergeCell ref="G143:G148"/>
    <mergeCell ref="H143:H148"/>
    <mergeCell ref="I143:L148"/>
    <mergeCell ref="C137:C142"/>
    <mergeCell ref="D137:D142"/>
    <mergeCell ref="E137:E142"/>
    <mergeCell ref="F137:F142"/>
    <mergeCell ref="G137:G142"/>
    <mergeCell ref="H137:H142"/>
    <mergeCell ref="I125:L130"/>
    <mergeCell ref="C131:C136"/>
    <mergeCell ref="D131:D136"/>
    <mergeCell ref="E131:E136"/>
    <mergeCell ref="F131:F136"/>
    <mergeCell ref="G131:G136"/>
    <mergeCell ref="H131:H136"/>
    <mergeCell ref="I131:L136"/>
    <mergeCell ref="C125:C130"/>
    <mergeCell ref="D125:D130"/>
    <mergeCell ref="E125:E130"/>
    <mergeCell ref="F125:F130"/>
    <mergeCell ref="G125:G130"/>
    <mergeCell ref="H125:H130"/>
    <mergeCell ref="I113:L118"/>
    <mergeCell ref="C119:C124"/>
    <mergeCell ref="D119:D124"/>
    <mergeCell ref="E119:E124"/>
    <mergeCell ref="F119:F124"/>
    <mergeCell ref="G119:G124"/>
    <mergeCell ref="H119:H124"/>
    <mergeCell ref="I119:L124"/>
    <mergeCell ref="C113:C118"/>
    <mergeCell ref="D113:D118"/>
    <mergeCell ref="E113:E118"/>
    <mergeCell ref="F113:F118"/>
    <mergeCell ref="G113:G118"/>
    <mergeCell ref="H113:H118"/>
    <mergeCell ref="I101:L106"/>
    <mergeCell ref="C107:C112"/>
    <mergeCell ref="D107:D112"/>
    <mergeCell ref="E107:E112"/>
    <mergeCell ref="F107:F112"/>
    <mergeCell ref="G107:G112"/>
    <mergeCell ref="H107:H112"/>
    <mergeCell ref="I107:L112"/>
    <mergeCell ref="C101:C106"/>
    <mergeCell ref="D101:D106"/>
    <mergeCell ref="E101:E106"/>
    <mergeCell ref="F101:F106"/>
    <mergeCell ref="G101:G106"/>
    <mergeCell ref="H101:H106"/>
    <mergeCell ref="I89:L94"/>
    <mergeCell ref="C95:C100"/>
    <mergeCell ref="D95:D100"/>
    <mergeCell ref="E95:E100"/>
    <mergeCell ref="F95:F100"/>
    <mergeCell ref="G95:G100"/>
    <mergeCell ref="H95:H100"/>
    <mergeCell ref="I95:L100"/>
    <mergeCell ref="C89:C94"/>
    <mergeCell ref="D89:D94"/>
    <mergeCell ref="E89:E94"/>
    <mergeCell ref="F89:F94"/>
    <mergeCell ref="G89:G94"/>
    <mergeCell ref="H89:H94"/>
    <mergeCell ref="I77:L82"/>
    <mergeCell ref="C83:C88"/>
    <mergeCell ref="D83:D88"/>
    <mergeCell ref="E83:E88"/>
    <mergeCell ref="F83:F88"/>
    <mergeCell ref="G83:G88"/>
    <mergeCell ref="H83:H88"/>
    <mergeCell ref="I83:L88"/>
    <mergeCell ref="C77:C82"/>
    <mergeCell ref="D77:D82"/>
    <mergeCell ref="E77:E82"/>
    <mergeCell ref="F77:F82"/>
    <mergeCell ref="G77:G82"/>
    <mergeCell ref="H77:H82"/>
    <mergeCell ref="I65:L70"/>
    <mergeCell ref="C71:C76"/>
    <mergeCell ref="D71:D76"/>
    <mergeCell ref="E71:E76"/>
    <mergeCell ref="F71:F76"/>
    <mergeCell ref="G71:G76"/>
    <mergeCell ref="H71:H76"/>
    <mergeCell ref="I71:L76"/>
    <mergeCell ref="C65:C70"/>
    <mergeCell ref="D65:D70"/>
    <mergeCell ref="E65:E70"/>
    <mergeCell ref="F65:F70"/>
    <mergeCell ref="G65:G70"/>
    <mergeCell ref="H65:H70"/>
    <mergeCell ref="I53:L58"/>
    <mergeCell ref="C59:C64"/>
    <mergeCell ref="D59:D64"/>
    <mergeCell ref="E59:E64"/>
    <mergeCell ref="F59:F64"/>
    <mergeCell ref="G59:G64"/>
    <mergeCell ref="H59:H64"/>
    <mergeCell ref="I59:L64"/>
    <mergeCell ref="C53:C58"/>
    <mergeCell ref="D53:D58"/>
    <mergeCell ref="E53:E58"/>
    <mergeCell ref="F53:F58"/>
    <mergeCell ref="G53:G58"/>
    <mergeCell ref="H53:H58"/>
    <mergeCell ref="I41:L46"/>
    <mergeCell ref="C47:C52"/>
    <mergeCell ref="D47:D52"/>
    <mergeCell ref="E47:E52"/>
    <mergeCell ref="F47:F52"/>
    <mergeCell ref="G47:G52"/>
    <mergeCell ref="H47:H52"/>
    <mergeCell ref="I47:L52"/>
    <mergeCell ref="C41:C46"/>
    <mergeCell ref="D41:D46"/>
    <mergeCell ref="E41:E46"/>
    <mergeCell ref="F41:F46"/>
    <mergeCell ref="G41:G46"/>
    <mergeCell ref="H41:H46"/>
    <mergeCell ref="C29:C34"/>
    <mergeCell ref="D29:D34"/>
    <mergeCell ref="E29:E34"/>
    <mergeCell ref="F29:F34"/>
    <mergeCell ref="G29:G34"/>
    <mergeCell ref="H29:H34"/>
    <mergeCell ref="I29:L34"/>
    <mergeCell ref="C35:C40"/>
    <mergeCell ref="D35:D40"/>
    <mergeCell ref="E35:E40"/>
    <mergeCell ref="F35:F40"/>
    <mergeCell ref="G35:G40"/>
    <mergeCell ref="H35:H40"/>
    <mergeCell ref="I35:L40"/>
    <mergeCell ref="R6:S7"/>
    <mergeCell ref="B7:C7"/>
    <mergeCell ref="D7:F7"/>
    <mergeCell ref="G7:G8"/>
    <mergeCell ref="H7:H8"/>
    <mergeCell ref="I7:I8"/>
    <mergeCell ref="J7:J8"/>
    <mergeCell ref="K7:L8"/>
    <mergeCell ref="O8:P8"/>
    <mergeCell ref="R8:S20"/>
    <mergeCell ref="K9:L21"/>
    <mergeCell ref="O9:P11"/>
    <mergeCell ref="Q9:Q11"/>
    <mergeCell ref="O12:P14"/>
    <mergeCell ref="Q12:Q14"/>
    <mergeCell ref="C13:C21"/>
    <mergeCell ref="E9:E21"/>
    <mergeCell ref="F9:F21"/>
    <mergeCell ref="G9:G21"/>
    <mergeCell ref="H9:H21"/>
    <mergeCell ref="I9:I21"/>
    <mergeCell ref="J9:J21"/>
    <mergeCell ref="A1:A24"/>
    <mergeCell ref="B1:L3"/>
    <mergeCell ref="M1:M28"/>
    <mergeCell ref="O3:Q5"/>
    <mergeCell ref="B4:H6"/>
    <mergeCell ref="O6:P7"/>
    <mergeCell ref="Q6:Q7"/>
    <mergeCell ref="B9:B21"/>
    <mergeCell ref="C9:C12"/>
    <mergeCell ref="D9:D21"/>
    <mergeCell ref="B22:L24"/>
    <mergeCell ref="D25:L26"/>
    <mergeCell ref="D27:L27"/>
    <mergeCell ref="B28:C28"/>
    <mergeCell ref="I28:L28"/>
  </mergeCells>
  <pageMargins left="0.7" right="0.7" top="0.75" bottom="0.75" header="0.3" footer="0.3"/>
  <pageSetup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29A3-7211-46BF-877C-C29A4142068F}">
  <sheetPr codeName="Hoja49">
    <tabColor rgb="FFFF0000"/>
  </sheetPr>
  <dimension ref="B1:BC89"/>
  <sheetViews>
    <sheetView view="pageBreakPreview" zoomScaleNormal="100" zoomScaleSheetLayoutView="100" workbookViewId="0"/>
  </sheetViews>
  <sheetFormatPr baseColWidth="10" defaultColWidth="12.5703125" defaultRowHeight="15" x14ac:dyDescent="0.25"/>
  <cols>
    <col min="1" max="1" width="5.42578125" style="2" customWidth="1"/>
    <col min="2" max="2" width="11.85546875" style="2" customWidth="1"/>
    <col min="3" max="4" width="11.28515625" style="2" customWidth="1"/>
    <col min="5" max="9" width="8.42578125" style="2" customWidth="1"/>
    <col min="10" max="12" width="11.7109375" style="2" customWidth="1"/>
    <col min="13" max="13" width="11.7109375" style="9" customWidth="1"/>
    <col min="14" max="14" width="11.7109375" style="2" customWidth="1"/>
    <col min="15" max="15" width="20.28515625" style="2" customWidth="1"/>
    <col min="16" max="16" width="23.85546875" style="2" customWidth="1"/>
    <col min="17" max="17" width="12.140625" style="2" customWidth="1"/>
    <col min="18" max="18" width="11.42578125" style="2" customWidth="1"/>
    <col min="19" max="19" width="9" style="2" customWidth="1"/>
    <col min="20" max="21" width="12.5703125" style="2" customWidth="1"/>
    <col min="22" max="16384" width="12.5703125" style="2"/>
  </cols>
  <sheetData>
    <row r="1" spans="2:55" ht="15.75" thickBot="1" x14ac:dyDescent="0.3"/>
    <row r="2" spans="2:55" ht="34.5" customHeight="1" x14ac:dyDescent="0.25">
      <c r="B2" s="1293"/>
      <c r="C2" s="1294"/>
      <c r="D2" s="1294"/>
      <c r="E2" s="1295"/>
      <c r="F2" s="1284" t="s">
        <v>77</v>
      </c>
      <c r="G2" s="1285"/>
      <c r="H2" s="1285"/>
      <c r="I2" s="1285"/>
      <c r="J2" s="1285"/>
      <c r="K2" s="1285"/>
      <c r="L2" s="1285"/>
      <c r="M2" s="1285"/>
      <c r="N2" s="1285"/>
      <c r="O2" s="1285"/>
      <c r="P2" s="1286"/>
      <c r="R2" s="49" t="s">
        <v>76</v>
      </c>
      <c r="S2" s="49" t="s">
        <v>75</v>
      </c>
      <c r="T2" s="51"/>
    </row>
    <row r="3" spans="2:55" ht="34.5" customHeight="1" x14ac:dyDescent="0.25">
      <c r="B3" s="1296"/>
      <c r="C3" s="1297"/>
      <c r="D3" s="1297"/>
      <c r="E3" s="1298"/>
      <c r="F3" s="1287" t="s">
        <v>225</v>
      </c>
      <c r="G3" s="1288"/>
      <c r="H3" s="1288"/>
      <c r="I3" s="1288"/>
      <c r="J3" s="1288"/>
      <c r="K3" s="1288"/>
      <c r="L3" s="1288"/>
      <c r="M3" s="1288"/>
      <c r="N3" s="1288"/>
      <c r="O3" s="1288"/>
      <c r="P3" s="1289"/>
      <c r="R3" s="50">
        <v>1</v>
      </c>
      <c r="S3" s="49">
        <v>1</v>
      </c>
      <c r="T3" s="49">
        <f>R3*S3</f>
        <v>1</v>
      </c>
    </row>
    <row r="4" spans="2:55" ht="14.25" customHeight="1" thickBot="1" x14ac:dyDescent="0.3">
      <c r="B4" s="1299"/>
      <c r="C4" s="1300"/>
      <c r="D4" s="1300"/>
      <c r="E4" s="1301"/>
      <c r="F4" s="1290"/>
      <c r="G4" s="1291"/>
      <c r="H4" s="1291"/>
      <c r="I4" s="1291"/>
      <c r="J4" s="1291"/>
      <c r="K4" s="1291"/>
      <c r="L4" s="1291"/>
      <c r="M4" s="1291"/>
      <c r="N4" s="1291"/>
      <c r="O4" s="1291"/>
      <c r="P4" s="1292"/>
    </row>
    <row r="5" spans="2:55" ht="8.25" customHeight="1" thickBot="1" x14ac:dyDescent="0.3">
      <c r="B5" s="1277"/>
      <c r="C5" s="1278"/>
      <c r="D5" s="1278"/>
      <c r="E5" s="1278"/>
      <c r="F5" s="1278"/>
      <c r="G5" s="1278"/>
      <c r="H5" s="1278"/>
      <c r="I5" s="1278"/>
      <c r="J5" s="1278"/>
      <c r="K5" s="1278"/>
      <c r="L5" s="1278"/>
      <c r="M5" s="1278"/>
      <c r="N5" s="1278"/>
      <c r="O5" s="1278"/>
      <c r="P5" s="1279"/>
    </row>
    <row r="6" spans="2:55" ht="69.75" customHeight="1" x14ac:dyDescent="0.25">
      <c r="B6" s="1280" t="s">
        <v>0</v>
      </c>
      <c r="C6" s="1281"/>
      <c r="D6" s="1282" t="e">
        <f>#REF!</f>
        <v>#REF!</v>
      </c>
      <c r="E6" s="1282"/>
      <c r="F6" s="1282"/>
      <c r="G6" s="1282"/>
      <c r="H6" s="1282"/>
      <c r="I6" s="1282"/>
      <c r="J6" s="1282"/>
      <c r="K6" s="1282"/>
      <c r="L6" s="1282"/>
      <c r="M6" s="1282"/>
      <c r="N6" s="1282"/>
      <c r="O6" s="1282"/>
      <c r="P6" s="1283"/>
      <c r="Q6" s="48"/>
      <c r="R6" s="48"/>
      <c r="S6" s="47"/>
      <c r="U6" s="1302" t="e">
        <f>#REF!</f>
        <v>#REF!</v>
      </c>
      <c r="V6" s="1302"/>
      <c r="W6" s="1302"/>
      <c r="X6" s="1302"/>
      <c r="Y6" s="1302"/>
      <c r="Z6" s="1302"/>
      <c r="AA6" s="1302"/>
      <c r="AB6" s="1302"/>
      <c r="AC6" s="1302"/>
      <c r="AD6" s="1302"/>
      <c r="AE6" s="1302"/>
      <c r="AF6" s="1302"/>
      <c r="AG6" s="309"/>
      <c r="AH6" s="309"/>
      <c r="AI6" s="309"/>
      <c r="AJ6" s="309"/>
      <c r="AK6" s="309"/>
      <c r="AL6" s="309"/>
      <c r="AM6" s="309"/>
      <c r="AN6" s="309"/>
      <c r="AO6" s="309"/>
      <c r="AP6" s="309"/>
      <c r="AQ6" s="309"/>
      <c r="AR6" s="309"/>
      <c r="AS6" s="309"/>
      <c r="AT6" s="309"/>
      <c r="AU6" s="309"/>
      <c r="AV6" s="310"/>
      <c r="AW6" s="4"/>
      <c r="AX6" s="4"/>
      <c r="AY6" s="4"/>
      <c r="AZ6" s="4"/>
      <c r="BA6" s="4"/>
      <c r="BB6" s="4"/>
      <c r="BC6" s="5"/>
    </row>
    <row r="7" spans="2:55" ht="32.25" customHeight="1" x14ac:dyDescent="0.25">
      <c r="B7" s="1303" t="s">
        <v>7</v>
      </c>
      <c r="C7" s="1304"/>
      <c r="D7" s="1305" t="e">
        <f>#REF!</f>
        <v>#REF!</v>
      </c>
      <c r="E7" s="1305"/>
      <c r="F7" s="1305"/>
      <c r="G7" s="1305"/>
      <c r="H7" s="1305"/>
      <c r="I7" s="1305"/>
      <c r="J7" s="1305"/>
      <c r="K7" s="1305"/>
      <c r="L7" s="1305"/>
      <c r="M7" s="1305"/>
      <c r="N7" s="1305"/>
      <c r="O7" s="1305"/>
      <c r="P7" s="1306"/>
      <c r="Q7" s="3"/>
      <c r="R7" s="3"/>
      <c r="S7" s="4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8"/>
    </row>
    <row r="8" spans="2:55" ht="32.25" customHeight="1" x14ac:dyDescent="0.25">
      <c r="B8" s="1307" t="s">
        <v>8</v>
      </c>
      <c r="C8" s="1308"/>
      <c r="D8" s="1305"/>
      <c r="E8" s="1305"/>
      <c r="F8" s="1305"/>
      <c r="G8" s="1305"/>
      <c r="H8" s="1305"/>
      <c r="I8" s="1305"/>
      <c r="J8" s="1305"/>
      <c r="K8" s="1305"/>
      <c r="L8" s="1305"/>
      <c r="M8" s="1305"/>
      <c r="N8" s="1305"/>
      <c r="O8" s="1305"/>
      <c r="P8" s="1306"/>
      <c r="Q8" s="6"/>
      <c r="R8" s="6"/>
      <c r="S8" s="45"/>
      <c r="U8" s="311" t="s">
        <v>74</v>
      </c>
      <c r="V8" s="311"/>
      <c r="W8" s="311"/>
      <c r="X8" s="311"/>
      <c r="Y8" s="311"/>
      <c r="Z8" s="311"/>
      <c r="AA8" s="311"/>
      <c r="AB8" s="311"/>
      <c r="AC8" s="311"/>
      <c r="AD8" s="311"/>
      <c r="AE8" s="311"/>
      <c r="AF8" s="311"/>
      <c r="AG8" s="311"/>
      <c r="AH8" s="311"/>
      <c r="AI8" s="311"/>
      <c r="AJ8" s="311"/>
      <c r="AK8" s="311"/>
      <c r="AL8" s="311"/>
      <c r="AM8" s="311"/>
      <c r="AN8" s="311"/>
      <c r="AO8" s="311"/>
      <c r="AP8" s="311"/>
      <c r="AQ8" s="311"/>
      <c r="AR8" s="311"/>
      <c r="AS8" s="311"/>
      <c r="AT8" s="311"/>
      <c r="AU8" s="312"/>
    </row>
    <row r="9" spans="2:55" ht="31.5" customHeight="1" thickBot="1" x14ac:dyDescent="0.3">
      <c r="B9" s="1322" t="s">
        <v>9</v>
      </c>
      <c r="C9" s="1323"/>
      <c r="D9" s="1324"/>
      <c r="E9" s="1324"/>
      <c r="F9" s="1325" t="s">
        <v>10</v>
      </c>
      <c r="G9" s="1325"/>
      <c r="H9" s="1326"/>
      <c r="I9" s="1326"/>
      <c r="J9" s="1326"/>
      <c r="K9" s="1325" t="s">
        <v>11</v>
      </c>
      <c r="L9" s="1325"/>
      <c r="M9" s="1309" t="s">
        <v>268</v>
      </c>
      <c r="N9" s="1309"/>
      <c r="O9" s="1309"/>
      <c r="P9" s="1310"/>
      <c r="Q9" s="44"/>
      <c r="R9" s="44"/>
      <c r="S9" s="43"/>
      <c r="U9" s="313"/>
      <c r="V9" s="313"/>
      <c r="W9" s="313"/>
      <c r="X9" s="313"/>
      <c r="Y9" s="313"/>
      <c r="Z9" s="313"/>
      <c r="AA9" s="313"/>
    </row>
    <row r="10" spans="2:55" ht="6" customHeight="1" thickBot="1" x14ac:dyDescent="0.3">
      <c r="B10" s="1311"/>
      <c r="C10" s="1312"/>
      <c r="D10" s="1312"/>
      <c r="E10" s="1312"/>
      <c r="F10" s="1312"/>
      <c r="G10" s="1312"/>
      <c r="H10" s="1312"/>
      <c r="I10" s="1312"/>
      <c r="J10" s="1312"/>
      <c r="K10" s="1312"/>
      <c r="L10" s="1312"/>
      <c r="M10" s="1312"/>
      <c r="N10" s="1312"/>
      <c r="O10" s="1312"/>
      <c r="P10" s="1313"/>
    </row>
    <row r="11" spans="2:55" ht="24" customHeight="1" x14ac:dyDescent="0.25">
      <c r="B11" s="1314" t="s">
        <v>73</v>
      </c>
      <c r="C11" s="1316" t="s">
        <v>72</v>
      </c>
      <c r="D11" s="1317"/>
      <c r="E11" s="1318" t="s">
        <v>57</v>
      </c>
      <c r="F11" s="1318" t="s">
        <v>71</v>
      </c>
      <c r="G11" s="1318" t="s">
        <v>70</v>
      </c>
      <c r="H11" s="1318" t="s">
        <v>269</v>
      </c>
      <c r="I11" s="1320" t="s">
        <v>69</v>
      </c>
      <c r="J11" s="1318" t="s">
        <v>58</v>
      </c>
      <c r="K11" s="1318" t="s">
        <v>68</v>
      </c>
      <c r="L11" s="1318" t="s">
        <v>67</v>
      </c>
      <c r="M11" s="1333" t="s">
        <v>66</v>
      </c>
      <c r="N11" s="1318" t="s">
        <v>59</v>
      </c>
      <c r="O11" s="1335" t="s">
        <v>60</v>
      </c>
      <c r="P11" s="1336"/>
      <c r="Q11" s="41" t="s">
        <v>50</v>
      </c>
      <c r="R11" s="40" t="s">
        <v>65</v>
      </c>
      <c r="S11" s="10"/>
    </row>
    <row r="12" spans="2:55" ht="30.6" customHeight="1" thickBot="1" x14ac:dyDescent="0.3">
      <c r="B12" s="1315"/>
      <c r="C12" s="42" t="s">
        <v>61</v>
      </c>
      <c r="D12" s="42" t="s">
        <v>64</v>
      </c>
      <c r="E12" s="1319"/>
      <c r="F12" s="1319"/>
      <c r="G12" s="1319"/>
      <c r="H12" s="1319"/>
      <c r="I12" s="1321"/>
      <c r="J12" s="1319"/>
      <c r="K12" s="1319"/>
      <c r="L12" s="1319"/>
      <c r="M12" s="1334"/>
      <c r="N12" s="1319"/>
      <c r="O12" s="1337"/>
      <c r="P12" s="1338"/>
      <c r="Q12" s="41">
        <v>0</v>
      </c>
      <c r="R12" s="40">
        <v>0</v>
      </c>
      <c r="S12" s="10"/>
    </row>
    <row r="13" spans="2:55" ht="28.5" customHeight="1" thickBot="1" x14ac:dyDescent="0.3">
      <c r="B13" s="314">
        <v>1</v>
      </c>
      <c r="C13" s="39">
        <f>D9</f>
        <v>0</v>
      </c>
      <c r="D13" s="38">
        <f t="shared" ref="D13:D20" si="0">C13+E13</f>
        <v>0</v>
      </c>
      <c r="E13" s="37"/>
      <c r="F13" s="315"/>
      <c r="G13" s="315"/>
      <c r="H13" s="315"/>
      <c r="I13" s="316">
        <f>((F13/2)^2)*PI()</f>
        <v>0</v>
      </c>
      <c r="J13" s="315"/>
      <c r="K13" s="36" t="str">
        <f>IF(J13="","",J13/(((F13/10)/2)^2*PI()))</f>
        <v/>
      </c>
      <c r="L13" s="1358"/>
      <c r="M13" s="1339" t="e">
        <f>N13/27</f>
        <v>#VALUE!</v>
      </c>
      <c r="N13" s="1340" t="str">
        <f>IF(K13="","",AVERAGE(K13:K14))</f>
        <v/>
      </c>
      <c r="O13" s="1329" t="s">
        <v>256</v>
      </c>
      <c r="P13" s="1330"/>
      <c r="Q13" s="35">
        <v>2</v>
      </c>
      <c r="R13" s="34" t="str">
        <f>N13</f>
        <v/>
      </c>
      <c r="S13" s="10"/>
    </row>
    <row r="14" spans="2:55" ht="28.5" customHeight="1" thickBot="1" x14ac:dyDescent="0.3">
      <c r="B14" s="317">
        <f t="shared" ref="B14:B20" si="1">B13+1</f>
        <v>2</v>
      </c>
      <c r="C14" s="31">
        <f>C13</f>
        <v>0</v>
      </c>
      <c r="D14" s="30">
        <f t="shared" si="0"/>
        <v>0</v>
      </c>
      <c r="E14" s="29"/>
      <c r="F14" s="318"/>
      <c r="G14" s="318"/>
      <c r="H14" s="318"/>
      <c r="I14" s="319">
        <f>((F14/2)^2)*PI()</f>
        <v>0</v>
      </c>
      <c r="J14" s="318"/>
      <c r="K14" s="52" t="str">
        <f>IF(J14="","",J14/(((F14/10)/2)^2*PI()))</f>
        <v/>
      </c>
      <c r="L14" s="1359"/>
      <c r="M14" s="1327"/>
      <c r="N14" s="1328"/>
      <c r="O14" s="1331"/>
      <c r="P14" s="1332"/>
      <c r="Q14" s="35">
        <v>3</v>
      </c>
      <c r="R14" s="33" t="str">
        <f>N15</f>
        <v/>
      </c>
      <c r="S14" s="10"/>
    </row>
    <row r="15" spans="2:55" ht="28.5" customHeight="1" x14ac:dyDescent="0.25">
      <c r="B15" s="317">
        <f>B14+1</f>
        <v>3</v>
      </c>
      <c r="C15" s="31">
        <f>C14</f>
        <v>0</v>
      </c>
      <c r="D15" s="30">
        <f t="shared" si="0"/>
        <v>0</v>
      </c>
      <c r="E15" s="29"/>
      <c r="F15" s="318"/>
      <c r="G15" s="318"/>
      <c r="H15" s="318"/>
      <c r="I15" s="319">
        <f t="shared" ref="I15:I20" si="2">((F15/2)^2)*PI()</f>
        <v>0</v>
      </c>
      <c r="J15" s="28"/>
      <c r="K15" s="52" t="str">
        <f t="shared" ref="K15:K20" si="3">IF(J15="","",J15/(((F15/10)/2)^2*PI()))</f>
        <v/>
      </c>
      <c r="L15" s="1359"/>
      <c r="M15" s="1327" t="e">
        <f>N15/27</f>
        <v>#VALUE!</v>
      </c>
      <c r="N15" s="1328" t="str">
        <f>IF(K15="","",AVERAGE(K15:K16))</f>
        <v/>
      </c>
      <c r="O15" s="1329" t="s">
        <v>257</v>
      </c>
      <c r="P15" s="1330"/>
      <c r="Q15" s="35">
        <v>4</v>
      </c>
      <c r="R15" s="33" t="str">
        <f>N17</f>
        <v/>
      </c>
      <c r="S15" s="10"/>
    </row>
    <row r="16" spans="2:55" ht="28.5" customHeight="1" thickBot="1" x14ac:dyDescent="0.3">
      <c r="B16" s="317">
        <f t="shared" si="1"/>
        <v>4</v>
      </c>
      <c r="C16" s="31">
        <f t="shared" ref="C16" si="4">C15</f>
        <v>0</v>
      </c>
      <c r="D16" s="30">
        <f t="shared" si="0"/>
        <v>0</v>
      </c>
      <c r="E16" s="29"/>
      <c r="F16" s="318"/>
      <c r="G16" s="318"/>
      <c r="H16" s="318"/>
      <c r="I16" s="319">
        <f t="shared" si="2"/>
        <v>0</v>
      </c>
      <c r="J16" s="28"/>
      <c r="K16" s="52" t="str">
        <f t="shared" si="3"/>
        <v/>
      </c>
      <c r="L16" s="1359"/>
      <c r="M16" s="1327"/>
      <c r="N16" s="1328"/>
      <c r="O16" s="1331"/>
      <c r="P16" s="1332"/>
      <c r="Q16" s="32">
        <v>5</v>
      </c>
      <c r="R16" s="305" t="str">
        <f>N19</f>
        <v/>
      </c>
      <c r="S16" s="10"/>
    </row>
    <row r="17" spans="2:19" ht="28.5" customHeight="1" x14ac:dyDescent="0.25">
      <c r="B17" s="317">
        <f>B16+1</f>
        <v>5</v>
      </c>
      <c r="C17" s="31">
        <f>C16</f>
        <v>0</v>
      </c>
      <c r="D17" s="30">
        <f t="shared" si="0"/>
        <v>0</v>
      </c>
      <c r="E17" s="29"/>
      <c r="F17" s="318"/>
      <c r="G17" s="318"/>
      <c r="H17" s="318"/>
      <c r="I17" s="319">
        <f t="shared" si="2"/>
        <v>0</v>
      </c>
      <c r="J17" s="28"/>
      <c r="K17" s="52" t="str">
        <f t="shared" si="3"/>
        <v/>
      </c>
      <c r="L17" s="1359"/>
      <c r="M17" s="1327" t="e">
        <f>N17/27</f>
        <v>#VALUE!</v>
      </c>
      <c r="N17" s="1328" t="str">
        <f>IF(K17="","",AVERAGE(K17:K18))</f>
        <v/>
      </c>
      <c r="O17" s="1329" t="s">
        <v>258</v>
      </c>
      <c r="P17" s="1330"/>
      <c r="S17" s="10"/>
    </row>
    <row r="18" spans="2:19" ht="28.5" customHeight="1" thickBot="1" x14ac:dyDescent="0.3">
      <c r="B18" s="317">
        <f>B17+1</f>
        <v>6</v>
      </c>
      <c r="C18" s="31">
        <f>C17</f>
        <v>0</v>
      </c>
      <c r="D18" s="30">
        <f t="shared" si="0"/>
        <v>0</v>
      </c>
      <c r="E18" s="29"/>
      <c r="F18" s="318"/>
      <c r="G18" s="318"/>
      <c r="H18" s="318"/>
      <c r="I18" s="319">
        <f t="shared" si="2"/>
        <v>0</v>
      </c>
      <c r="J18" s="28"/>
      <c r="K18" s="52" t="str">
        <f t="shared" si="3"/>
        <v/>
      </c>
      <c r="L18" s="1359"/>
      <c r="M18" s="1327"/>
      <c r="N18" s="1328"/>
      <c r="O18" s="1331"/>
      <c r="P18" s="1332"/>
      <c r="Q18" s="11"/>
      <c r="S18" s="10" t="s">
        <v>252</v>
      </c>
    </row>
    <row r="19" spans="2:19" ht="28.5" customHeight="1" x14ac:dyDescent="0.25">
      <c r="B19" s="317">
        <f>B18+1</f>
        <v>7</v>
      </c>
      <c r="C19" s="31">
        <f>C18</f>
        <v>0</v>
      </c>
      <c r="D19" s="30">
        <f t="shared" si="0"/>
        <v>0</v>
      </c>
      <c r="E19" s="29"/>
      <c r="F19" s="318"/>
      <c r="G19" s="318"/>
      <c r="H19" s="318"/>
      <c r="I19" s="319">
        <f t="shared" si="2"/>
        <v>0</v>
      </c>
      <c r="J19" s="28"/>
      <c r="K19" s="52" t="str">
        <f t="shared" si="3"/>
        <v/>
      </c>
      <c r="L19" s="1359"/>
      <c r="M19" s="1327" t="e">
        <f>N19/27</f>
        <v>#VALUE!</v>
      </c>
      <c r="N19" s="1328" t="str">
        <f>IF(K19="","",AVERAGE(K19:K20))</f>
        <v/>
      </c>
      <c r="O19" s="1329" t="s">
        <v>259</v>
      </c>
      <c r="P19" s="1330"/>
      <c r="Q19" s="11"/>
      <c r="S19" s="10"/>
    </row>
    <row r="20" spans="2:19" ht="28.5" customHeight="1" x14ac:dyDescent="0.25">
      <c r="B20" s="317">
        <f t="shared" si="1"/>
        <v>8</v>
      </c>
      <c r="C20" s="31">
        <f t="shared" ref="C20" si="5">C19</f>
        <v>0</v>
      </c>
      <c r="D20" s="30">
        <f t="shared" si="0"/>
        <v>0</v>
      </c>
      <c r="E20" s="29"/>
      <c r="F20" s="318"/>
      <c r="G20" s="318"/>
      <c r="H20" s="318"/>
      <c r="I20" s="319">
        <f t="shared" si="2"/>
        <v>0</v>
      </c>
      <c r="J20" s="28"/>
      <c r="K20" s="52" t="str">
        <f t="shared" si="3"/>
        <v/>
      </c>
      <c r="L20" s="1360"/>
      <c r="M20" s="1327"/>
      <c r="N20" s="1328"/>
      <c r="O20" s="1331"/>
      <c r="P20" s="1332"/>
      <c r="Q20" s="11"/>
      <c r="S20" s="10"/>
    </row>
    <row r="21" spans="2:19" ht="5.25" customHeight="1" thickBot="1" x14ac:dyDescent="0.3">
      <c r="B21" s="1347"/>
      <c r="C21" s="1348"/>
      <c r="D21" s="1348"/>
      <c r="E21" s="1348"/>
      <c r="F21" s="1348"/>
      <c r="G21" s="1348"/>
      <c r="H21" s="1348"/>
      <c r="I21" s="1348"/>
      <c r="J21" s="1348"/>
      <c r="K21" s="1348"/>
      <c r="L21" s="1348"/>
      <c r="M21" s="1348"/>
      <c r="N21" s="1348"/>
      <c r="O21" s="1348"/>
      <c r="P21" s="1349"/>
    </row>
    <row r="22" spans="2:19" ht="21.75" customHeight="1" x14ac:dyDescent="0.25">
      <c r="B22" s="27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5"/>
    </row>
    <row r="23" spans="2:19" ht="21.75" customHeight="1" x14ac:dyDescent="0.25">
      <c r="B23" s="24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</row>
    <row r="24" spans="2:19" ht="21.75" customHeight="1" x14ac:dyDescent="0.25">
      <c r="B24" s="24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2"/>
    </row>
    <row r="25" spans="2:19" ht="21.75" customHeight="1" thickBot="1" x14ac:dyDescent="0.3">
      <c r="B25" s="21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19"/>
    </row>
    <row r="26" spans="2:19" ht="27" customHeight="1" x14ac:dyDescent="0.25">
      <c r="B26" s="1350">
        <f>H9</f>
        <v>0</v>
      </c>
      <c r="C26" s="506"/>
      <c r="D26" s="506"/>
      <c r="E26" s="506"/>
      <c r="F26" s="506"/>
      <c r="G26" s="506"/>
      <c r="H26" s="506"/>
      <c r="I26" s="506"/>
      <c r="J26" s="506"/>
      <c r="K26" s="506" t="s">
        <v>267</v>
      </c>
      <c r="L26" s="506"/>
      <c r="M26" s="506"/>
      <c r="N26" s="506"/>
      <c r="O26" s="506"/>
      <c r="P26" s="1351"/>
      <c r="Q26" s="18"/>
      <c r="R26" s="17"/>
    </row>
    <row r="27" spans="2:19" ht="27" customHeight="1" thickBot="1" x14ac:dyDescent="0.3">
      <c r="B27" s="1352" t="str">
        <f>[9]Granulometría!A55</f>
        <v xml:space="preserve">Tecnico de Laboratorio de suelos y Materiales. </v>
      </c>
      <c r="C27" s="1353"/>
      <c r="D27" s="1353"/>
      <c r="E27" s="1353"/>
      <c r="F27" s="1353"/>
      <c r="G27" s="1353"/>
      <c r="H27" s="1353"/>
      <c r="I27" s="1353"/>
      <c r="J27" s="1353"/>
      <c r="K27" s="1353" t="s">
        <v>265</v>
      </c>
      <c r="L27" s="1353"/>
      <c r="M27" s="1353"/>
      <c r="N27" s="1353"/>
      <c r="O27" s="1353"/>
      <c r="P27" s="1354"/>
      <c r="Q27" s="16"/>
      <c r="R27" s="15"/>
    </row>
    <row r="34" spans="4:17" x14ac:dyDescent="0.25">
      <c r="D34" s="14" t="s">
        <v>63</v>
      </c>
      <c r="E34" s="14" t="s">
        <v>54</v>
      </c>
    </row>
    <row r="35" spans="4:17" x14ac:dyDescent="0.25">
      <c r="D35" s="13">
        <v>0</v>
      </c>
      <c r="E35" s="12">
        <v>2.65</v>
      </c>
    </row>
    <row r="36" spans="4:17" x14ac:dyDescent="0.25">
      <c r="D36" s="12">
        <v>32</v>
      </c>
      <c r="E36" s="12">
        <f>E35</f>
        <v>2.65</v>
      </c>
    </row>
    <row r="37" spans="4:17" x14ac:dyDescent="0.25">
      <c r="D37" s="12">
        <f>D36</f>
        <v>32</v>
      </c>
      <c r="E37" s="13">
        <v>0</v>
      </c>
    </row>
    <row r="38" spans="4:17" x14ac:dyDescent="0.25">
      <c r="D38" s="12">
        <f>D37</f>
        <v>32</v>
      </c>
      <c r="E38" s="12">
        <f>E35</f>
        <v>2.65</v>
      </c>
    </row>
    <row r="46" spans="4:17" x14ac:dyDescent="0.25">
      <c r="Q46" s="2" t="s">
        <v>226</v>
      </c>
    </row>
    <row r="63" spans="6:14" ht="25.5" customHeight="1" x14ac:dyDescent="0.25">
      <c r="F63" s="1355" t="s">
        <v>261</v>
      </c>
      <c r="G63" s="1355"/>
      <c r="H63" s="1355"/>
      <c r="I63" s="1355"/>
      <c r="J63" s="1355"/>
      <c r="K63" s="1355"/>
      <c r="L63" s="1355"/>
      <c r="M63" s="1355"/>
      <c r="N63" s="1355"/>
    </row>
    <row r="64" spans="6:14" ht="25.5" customHeight="1" x14ac:dyDescent="0.25">
      <c r="F64" s="1356" t="s">
        <v>227</v>
      </c>
      <c r="G64" s="1356"/>
      <c r="H64" s="1356"/>
      <c r="I64" s="1356"/>
      <c r="J64" s="1356"/>
      <c r="K64" s="1356"/>
      <c r="L64" s="1356"/>
      <c r="M64" s="1356"/>
      <c r="N64" s="1356"/>
    </row>
    <row r="65" spans="6:14" ht="25.5" customHeight="1" x14ac:dyDescent="0.25">
      <c r="F65" s="1357" t="s">
        <v>228</v>
      </c>
      <c r="G65" s="1357"/>
      <c r="H65" s="1357"/>
      <c r="I65" s="1357"/>
      <c r="J65" s="1357"/>
      <c r="K65" s="1357"/>
      <c r="L65" s="1357"/>
      <c r="M65" s="1357"/>
      <c r="N65" s="1357"/>
    </row>
    <row r="67" spans="6:14" ht="15.75" thickBot="1" x14ac:dyDescent="0.3"/>
    <row r="68" spans="6:14" x14ac:dyDescent="0.25">
      <c r="H68" s="1341" t="s">
        <v>229</v>
      </c>
      <c r="I68" s="1342"/>
      <c r="J68" s="1342"/>
      <c r="K68" s="1343"/>
    </row>
    <row r="69" spans="6:14" ht="15.75" thickBot="1" x14ac:dyDescent="0.3">
      <c r="H69" s="1344"/>
      <c r="I69" s="1345"/>
      <c r="J69" s="1345"/>
      <c r="K69" s="1346"/>
    </row>
    <row r="70" spans="6:14" ht="33.75" customHeight="1" x14ac:dyDescent="0.25">
      <c r="H70" s="1364" t="s">
        <v>260</v>
      </c>
      <c r="I70" s="1365"/>
      <c r="J70" s="1364" t="s">
        <v>230</v>
      </c>
      <c r="K70" s="1365"/>
    </row>
    <row r="71" spans="6:14" ht="42.75" customHeight="1" thickBot="1" x14ac:dyDescent="0.3">
      <c r="H71" s="1366"/>
      <c r="I71" s="1367"/>
      <c r="J71" s="1366"/>
      <c r="K71" s="1367"/>
    </row>
    <row r="72" spans="6:14" ht="39.75" customHeight="1" x14ac:dyDescent="0.25">
      <c r="H72" s="1368">
        <v>1</v>
      </c>
      <c r="I72" s="1368"/>
      <c r="J72" s="1369">
        <v>0.02</v>
      </c>
      <c r="K72" s="1370"/>
    </row>
    <row r="73" spans="6:14" ht="39.75" customHeight="1" x14ac:dyDescent="0.25">
      <c r="H73" s="1361">
        <v>1</v>
      </c>
      <c r="I73" s="1361"/>
      <c r="J73" s="1362">
        <v>0.03</v>
      </c>
      <c r="K73" s="1363"/>
    </row>
    <row r="74" spans="6:14" ht="39.75" customHeight="1" x14ac:dyDescent="0.25">
      <c r="H74" s="1361">
        <v>1</v>
      </c>
      <c r="I74" s="1361"/>
      <c r="J74" s="1362">
        <v>0.04</v>
      </c>
      <c r="K74" s="1363"/>
    </row>
    <row r="75" spans="6:14" ht="39.75" customHeight="1" x14ac:dyDescent="0.25">
      <c r="H75" s="1361">
        <v>1</v>
      </c>
      <c r="I75" s="1361"/>
      <c r="J75" s="1362">
        <v>0.05</v>
      </c>
      <c r="K75" s="1363"/>
    </row>
    <row r="89" spans="10:10" x14ac:dyDescent="0.25">
      <c r="J89" s="2">
        <v>3</v>
      </c>
    </row>
  </sheetData>
  <autoFilter ref="C12:D18" xr:uid="{00000000-0009-0000-0000-000000000000}"/>
  <mergeCells count="64">
    <mergeCell ref="H74:I74"/>
    <mergeCell ref="J74:K74"/>
    <mergeCell ref="H75:I75"/>
    <mergeCell ref="J75:K75"/>
    <mergeCell ref="H70:I71"/>
    <mergeCell ref="J70:K71"/>
    <mergeCell ref="H72:I72"/>
    <mergeCell ref="J72:K72"/>
    <mergeCell ref="H73:I73"/>
    <mergeCell ref="J73:K73"/>
    <mergeCell ref="H68:K69"/>
    <mergeCell ref="M19:M20"/>
    <mergeCell ref="N19:N20"/>
    <mergeCell ref="O19:P20"/>
    <mergeCell ref="B21:P21"/>
    <mergeCell ref="B26:J26"/>
    <mergeCell ref="K26:P26"/>
    <mergeCell ref="B27:J27"/>
    <mergeCell ref="K27:P27"/>
    <mergeCell ref="F63:N63"/>
    <mergeCell ref="F64:N64"/>
    <mergeCell ref="F65:N65"/>
    <mergeCell ref="L13:L20"/>
    <mergeCell ref="M15:M16"/>
    <mergeCell ref="N15:N16"/>
    <mergeCell ref="O15:P16"/>
    <mergeCell ref="M17:M18"/>
    <mergeCell ref="N17:N18"/>
    <mergeCell ref="O17:P18"/>
    <mergeCell ref="K11:K12"/>
    <mergeCell ref="L11:L12"/>
    <mergeCell ref="M11:M12"/>
    <mergeCell ref="N11:N12"/>
    <mergeCell ref="O11:P12"/>
    <mergeCell ref="M13:M14"/>
    <mergeCell ref="N13:N14"/>
    <mergeCell ref="O13:P14"/>
    <mergeCell ref="M9:P9"/>
    <mergeCell ref="B10:P10"/>
    <mergeCell ref="B11:B12"/>
    <mergeCell ref="C11:D11"/>
    <mergeCell ref="E11:E12"/>
    <mergeCell ref="F11:F12"/>
    <mergeCell ref="G11:G12"/>
    <mergeCell ref="H11:H12"/>
    <mergeCell ref="I11:I12"/>
    <mergeCell ref="J11:J12"/>
    <mergeCell ref="B9:C9"/>
    <mergeCell ref="D9:E9"/>
    <mergeCell ref="F9:G9"/>
    <mergeCell ref="H9:J9"/>
    <mergeCell ref="K9:L9"/>
    <mergeCell ref="U6:AF6"/>
    <mergeCell ref="B7:C7"/>
    <mergeCell ref="D7:P7"/>
    <mergeCell ref="B8:C8"/>
    <mergeCell ref="D8:P8"/>
    <mergeCell ref="B5:P5"/>
    <mergeCell ref="B6:C6"/>
    <mergeCell ref="D6:P6"/>
    <mergeCell ref="F2:P2"/>
    <mergeCell ref="F3:P3"/>
    <mergeCell ref="F4:P4"/>
    <mergeCell ref="B2:E4"/>
  </mergeCells>
  <printOptions horizontalCentered="1" verticalCentered="1"/>
  <pageMargins left="0.70866141732283472" right="0.6692913385826772" top="0.31496062992125984" bottom="0.15748031496062992" header="0.23622047244094491" footer="0"/>
  <pageSetup scale="68" fitToHeight="3" orientation="landscape" r:id="rId1"/>
  <headerFooter alignWithMargins="0">
    <oddFooter>&amp;C&amp;"Calibri,Cursiva"&amp;K00-024&amp;P de &amp;N</oddFooter>
  </headerFooter>
  <colBreaks count="1" manualBreakCount="1">
    <brk id="16" max="180" man="1"/>
  </colBreaks>
  <ignoredErrors>
    <ignoredError sqref="D14:D20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F4929-1C18-42D0-A0AD-71A92BAE6457}">
  <sheetPr>
    <tabColor theme="9" tint="-0.249977111117893"/>
  </sheetPr>
  <dimension ref="A1:BP56"/>
  <sheetViews>
    <sheetView showGridLines="0" view="pageBreakPreview" zoomScaleNormal="100" zoomScaleSheetLayoutView="100" workbookViewId="0"/>
  </sheetViews>
  <sheetFormatPr baseColWidth="10" defaultColWidth="2.7109375" defaultRowHeight="14.25" customHeight="1" x14ac:dyDescent="0.25"/>
  <cols>
    <col min="1" max="1" width="2.7109375" style="206"/>
    <col min="2" max="2" width="4.42578125" style="206" customWidth="1"/>
    <col min="3" max="8" width="2.7109375" style="206"/>
    <col min="9" max="9" width="4.140625" style="206" customWidth="1"/>
    <col min="10" max="10" width="2.7109375" style="206"/>
    <col min="11" max="11" width="4.7109375" style="206" customWidth="1"/>
    <col min="12" max="12" width="2.7109375" style="206"/>
    <col min="13" max="13" width="3.5703125" style="206" customWidth="1"/>
    <col min="14" max="14" width="2.7109375" style="206"/>
    <col min="15" max="15" width="3.140625" style="206" customWidth="1"/>
    <col min="16" max="16" width="4.7109375" style="206" customWidth="1"/>
    <col min="17" max="17" width="3.5703125" style="206" customWidth="1"/>
    <col min="18" max="18" width="4.140625" style="206" customWidth="1"/>
    <col min="19" max="20" width="3.5703125" style="206" customWidth="1"/>
    <col min="21" max="21" width="4.140625" style="206" customWidth="1"/>
    <col min="22" max="22" width="3.7109375" style="206" customWidth="1"/>
    <col min="23" max="23" width="3.42578125" style="206" customWidth="1"/>
    <col min="24" max="24" width="4.85546875" style="206" customWidth="1"/>
    <col min="25" max="25" width="2.7109375" style="206"/>
    <col min="26" max="26" width="4.140625" style="206" customWidth="1"/>
    <col min="27" max="27" width="2.7109375" style="206"/>
    <col min="28" max="28" width="3.28515625" style="206" customWidth="1"/>
    <col min="29" max="29" width="3.140625" style="206" customWidth="1"/>
    <col min="30" max="30" width="6" style="206" customWidth="1"/>
    <col min="31" max="31" width="3.42578125" style="206" customWidth="1"/>
    <col min="32" max="32" width="8.140625" style="206" customWidth="1"/>
    <col min="33" max="33" width="5.5703125" style="206" customWidth="1"/>
    <col min="34" max="34" width="21.140625" style="207" customWidth="1"/>
    <col min="35" max="35" width="11.42578125" style="207" customWidth="1"/>
    <col min="36" max="37" width="5.5703125" style="62" customWidth="1"/>
    <col min="38" max="38" width="10.140625" style="62" customWidth="1"/>
    <col min="39" max="39" width="10.140625" style="206" customWidth="1"/>
    <col min="40" max="258" width="2.7109375" style="206"/>
    <col min="259" max="259" width="4.42578125" style="206" customWidth="1"/>
    <col min="260" max="265" width="2.7109375" style="206"/>
    <col min="266" max="266" width="4.140625" style="206" customWidth="1"/>
    <col min="267" max="267" width="2.7109375" style="206"/>
    <col min="268" max="268" width="4.7109375" style="206" customWidth="1"/>
    <col min="269" max="269" width="2.7109375" style="206"/>
    <col min="270" max="270" width="3.5703125" style="206" customWidth="1"/>
    <col min="271" max="272" width="2.7109375" style="206"/>
    <col min="273" max="273" width="4.7109375" style="206" customWidth="1"/>
    <col min="274" max="278" width="2.7109375" style="206"/>
    <col min="279" max="280" width="3.42578125" style="206" customWidth="1"/>
    <col min="281" max="281" width="4.85546875" style="206" customWidth="1"/>
    <col min="282" max="282" width="2.7109375" style="206"/>
    <col min="283" max="283" width="4.5703125" style="206" customWidth="1"/>
    <col min="284" max="285" width="2.7109375" style="206"/>
    <col min="286" max="286" width="3.140625" style="206" customWidth="1"/>
    <col min="287" max="287" width="6" style="206" customWidth="1"/>
    <col min="288" max="288" width="3.42578125" style="206" customWidth="1"/>
    <col min="289" max="289" width="8.140625" style="206" customWidth="1"/>
    <col min="290" max="290" width="5.5703125" style="206" customWidth="1"/>
    <col min="291" max="291" width="21.140625" style="206" customWidth="1"/>
    <col min="292" max="292" width="11.42578125" style="206" customWidth="1"/>
    <col min="293" max="293" width="8" style="206" customWidth="1"/>
    <col min="294" max="295" width="10.140625" style="206" customWidth="1"/>
    <col min="296" max="514" width="2.7109375" style="206"/>
    <col min="515" max="515" width="4.42578125" style="206" customWidth="1"/>
    <col min="516" max="521" width="2.7109375" style="206"/>
    <col min="522" max="522" width="4.140625" style="206" customWidth="1"/>
    <col min="523" max="523" width="2.7109375" style="206"/>
    <col min="524" max="524" width="4.7109375" style="206" customWidth="1"/>
    <col min="525" max="525" width="2.7109375" style="206"/>
    <col min="526" max="526" width="3.5703125" style="206" customWidth="1"/>
    <col min="527" max="528" width="2.7109375" style="206"/>
    <col min="529" max="529" width="4.7109375" style="206" customWidth="1"/>
    <col min="530" max="534" width="2.7109375" style="206"/>
    <col min="535" max="536" width="3.42578125" style="206" customWidth="1"/>
    <col min="537" max="537" width="4.85546875" style="206" customWidth="1"/>
    <col min="538" max="538" width="2.7109375" style="206"/>
    <col min="539" max="539" width="4.5703125" style="206" customWidth="1"/>
    <col min="540" max="541" width="2.7109375" style="206"/>
    <col min="542" max="542" width="3.140625" style="206" customWidth="1"/>
    <col min="543" max="543" width="6" style="206" customWidth="1"/>
    <col min="544" max="544" width="3.42578125" style="206" customWidth="1"/>
    <col min="545" max="545" width="8.140625" style="206" customWidth="1"/>
    <col min="546" max="546" width="5.5703125" style="206" customWidth="1"/>
    <col min="547" max="547" width="21.140625" style="206" customWidth="1"/>
    <col min="548" max="548" width="11.42578125" style="206" customWidth="1"/>
    <col min="549" max="549" width="8" style="206" customWidth="1"/>
    <col min="550" max="551" width="10.140625" style="206" customWidth="1"/>
    <col min="552" max="770" width="2.7109375" style="206"/>
    <col min="771" max="771" width="4.42578125" style="206" customWidth="1"/>
    <col min="772" max="777" width="2.7109375" style="206"/>
    <col min="778" max="778" width="4.140625" style="206" customWidth="1"/>
    <col min="779" max="779" width="2.7109375" style="206"/>
    <col min="780" max="780" width="4.7109375" style="206" customWidth="1"/>
    <col min="781" max="781" width="2.7109375" style="206"/>
    <col min="782" max="782" width="3.5703125" style="206" customWidth="1"/>
    <col min="783" max="784" width="2.7109375" style="206"/>
    <col min="785" max="785" width="4.7109375" style="206" customWidth="1"/>
    <col min="786" max="790" width="2.7109375" style="206"/>
    <col min="791" max="792" width="3.42578125" style="206" customWidth="1"/>
    <col min="793" max="793" width="4.85546875" style="206" customWidth="1"/>
    <col min="794" max="794" width="2.7109375" style="206"/>
    <col min="795" max="795" width="4.5703125" style="206" customWidth="1"/>
    <col min="796" max="797" width="2.7109375" style="206"/>
    <col min="798" max="798" width="3.140625" style="206" customWidth="1"/>
    <col min="799" max="799" width="6" style="206" customWidth="1"/>
    <col min="800" max="800" width="3.42578125" style="206" customWidth="1"/>
    <col min="801" max="801" width="8.140625" style="206" customWidth="1"/>
    <col min="802" max="802" width="5.5703125" style="206" customWidth="1"/>
    <col min="803" max="803" width="21.140625" style="206" customWidth="1"/>
    <col min="804" max="804" width="11.42578125" style="206" customWidth="1"/>
    <col min="805" max="805" width="8" style="206" customWidth="1"/>
    <col min="806" max="807" width="10.140625" style="206" customWidth="1"/>
    <col min="808" max="1026" width="2.7109375" style="206"/>
    <col min="1027" max="1027" width="4.42578125" style="206" customWidth="1"/>
    <col min="1028" max="1033" width="2.7109375" style="206"/>
    <col min="1034" max="1034" width="4.140625" style="206" customWidth="1"/>
    <col min="1035" max="1035" width="2.7109375" style="206"/>
    <col min="1036" max="1036" width="4.7109375" style="206" customWidth="1"/>
    <col min="1037" max="1037" width="2.7109375" style="206"/>
    <col min="1038" max="1038" width="3.5703125" style="206" customWidth="1"/>
    <col min="1039" max="1040" width="2.7109375" style="206"/>
    <col min="1041" max="1041" width="4.7109375" style="206" customWidth="1"/>
    <col min="1042" max="1046" width="2.7109375" style="206"/>
    <col min="1047" max="1048" width="3.42578125" style="206" customWidth="1"/>
    <col min="1049" max="1049" width="4.85546875" style="206" customWidth="1"/>
    <col min="1050" max="1050" width="2.7109375" style="206"/>
    <col min="1051" max="1051" width="4.5703125" style="206" customWidth="1"/>
    <col min="1052" max="1053" width="2.7109375" style="206"/>
    <col min="1054" max="1054" width="3.140625" style="206" customWidth="1"/>
    <col min="1055" max="1055" width="6" style="206" customWidth="1"/>
    <col min="1056" max="1056" width="3.42578125" style="206" customWidth="1"/>
    <col min="1057" max="1057" width="8.140625" style="206" customWidth="1"/>
    <col min="1058" max="1058" width="5.5703125" style="206" customWidth="1"/>
    <col min="1059" max="1059" width="21.140625" style="206" customWidth="1"/>
    <col min="1060" max="1060" width="11.42578125" style="206" customWidth="1"/>
    <col min="1061" max="1061" width="8" style="206" customWidth="1"/>
    <col min="1062" max="1063" width="10.140625" style="206" customWidth="1"/>
    <col min="1064" max="1282" width="2.7109375" style="206"/>
    <col min="1283" max="1283" width="4.42578125" style="206" customWidth="1"/>
    <col min="1284" max="1289" width="2.7109375" style="206"/>
    <col min="1290" max="1290" width="4.140625" style="206" customWidth="1"/>
    <col min="1291" max="1291" width="2.7109375" style="206"/>
    <col min="1292" max="1292" width="4.7109375" style="206" customWidth="1"/>
    <col min="1293" max="1293" width="2.7109375" style="206"/>
    <col min="1294" max="1294" width="3.5703125" style="206" customWidth="1"/>
    <col min="1295" max="1296" width="2.7109375" style="206"/>
    <col min="1297" max="1297" width="4.7109375" style="206" customWidth="1"/>
    <col min="1298" max="1302" width="2.7109375" style="206"/>
    <col min="1303" max="1304" width="3.42578125" style="206" customWidth="1"/>
    <col min="1305" max="1305" width="4.85546875" style="206" customWidth="1"/>
    <col min="1306" max="1306" width="2.7109375" style="206"/>
    <col min="1307" max="1307" width="4.5703125" style="206" customWidth="1"/>
    <col min="1308" max="1309" width="2.7109375" style="206"/>
    <col min="1310" max="1310" width="3.140625" style="206" customWidth="1"/>
    <col min="1311" max="1311" width="6" style="206" customWidth="1"/>
    <col min="1312" max="1312" width="3.42578125" style="206" customWidth="1"/>
    <col min="1313" max="1313" width="8.140625" style="206" customWidth="1"/>
    <col min="1314" max="1314" width="5.5703125" style="206" customWidth="1"/>
    <col min="1315" max="1315" width="21.140625" style="206" customWidth="1"/>
    <col min="1316" max="1316" width="11.42578125" style="206" customWidth="1"/>
    <col min="1317" max="1317" width="8" style="206" customWidth="1"/>
    <col min="1318" max="1319" width="10.140625" style="206" customWidth="1"/>
    <col min="1320" max="1538" width="2.7109375" style="206"/>
    <col min="1539" max="1539" width="4.42578125" style="206" customWidth="1"/>
    <col min="1540" max="1545" width="2.7109375" style="206"/>
    <col min="1546" max="1546" width="4.140625" style="206" customWidth="1"/>
    <col min="1547" max="1547" width="2.7109375" style="206"/>
    <col min="1548" max="1548" width="4.7109375" style="206" customWidth="1"/>
    <col min="1549" max="1549" width="2.7109375" style="206"/>
    <col min="1550" max="1550" width="3.5703125" style="206" customWidth="1"/>
    <col min="1551" max="1552" width="2.7109375" style="206"/>
    <col min="1553" max="1553" width="4.7109375" style="206" customWidth="1"/>
    <col min="1554" max="1558" width="2.7109375" style="206"/>
    <col min="1559" max="1560" width="3.42578125" style="206" customWidth="1"/>
    <col min="1561" max="1561" width="4.85546875" style="206" customWidth="1"/>
    <col min="1562" max="1562" width="2.7109375" style="206"/>
    <col min="1563" max="1563" width="4.5703125" style="206" customWidth="1"/>
    <col min="1564" max="1565" width="2.7109375" style="206"/>
    <col min="1566" max="1566" width="3.140625" style="206" customWidth="1"/>
    <col min="1567" max="1567" width="6" style="206" customWidth="1"/>
    <col min="1568" max="1568" width="3.42578125" style="206" customWidth="1"/>
    <col min="1569" max="1569" width="8.140625" style="206" customWidth="1"/>
    <col min="1570" max="1570" width="5.5703125" style="206" customWidth="1"/>
    <col min="1571" max="1571" width="21.140625" style="206" customWidth="1"/>
    <col min="1572" max="1572" width="11.42578125" style="206" customWidth="1"/>
    <col min="1573" max="1573" width="8" style="206" customWidth="1"/>
    <col min="1574" max="1575" width="10.140625" style="206" customWidth="1"/>
    <col min="1576" max="1794" width="2.7109375" style="206"/>
    <col min="1795" max="1795" width="4.42578125" style="206" customWidth="1"/>
    <col min="1796" max="1801" width="2.7109375" style="206"/>
    <col min="1802" max="1802" width="4.140625" style="206" customWidth="1"/>
    <col min="1803" max="1803" width="2.7109375" style="206"/>
    <col min="1804" max="1804" width="4.7109375" style="206" customWidth="1"/>
    <col min="1805" max="1805" width="2.7109375" style="206"/>
    <col min="1806" max="1806" width="3.5703125" style="206" customWidth="1"/>
    <col min="1807" max="1808" width="2.7109375" style="206"/>
    <col min="1809" max="1809" width="4.7109375" style="206" customWidth="1"/>
    <col min="1810" max="1814" width="2.7109375" style="206"/>
    <col min="1815" max="1816" width="3.42578125" style="206" customWidth="1"/>
    <col min="1817" max="1817" width="4.85546875" style="206" customWidth="1"/>
    <col min="1818" max="1818" width="2.7109375" style="206"/>
    <col min="1819" max="1819" width="4.5703125" style="206" customWidth="1"/>
    <col min="1820" max="1821" width="2.7109375" style="206"/>
    <col min="1822" max="1822" width="3.140625" style="206" customWidth="1"/>
    <col min="1823" max="1823" width="6" style="206" customWidth="1"/>
    <col min="1824" max="1824" width="3.42578125" style="206" customWidth="1"/>
    <col min="1825" max="1825" width="8.140625" style="206" customWidth="1"/>
    <col min="1826" max="1826" width="5.5703125" style="206" customWidth="1"/>
    <col min="1827" max="1827" width="21.140625" style="206" customWidth="1"/>
    <col min="1828" max="1828" width="11.42578125" style="206" customWidth="1"/>
    <col min="1829" max="1829" width="8" style="206" customWidth="1"/>
    <col min="1830" max="1831" width="10.140625" style="206" customWidth="1"/>
    <col min="1832" max="2050" width="2.7109375" style="206"/>
    <col min="2051" max="2051" width="4.42578125" style="206" customWidth="1"/>
    <col min="2052" max="2057" width="2.7109375" style="206"/>
    <col min="2058" max="2058" width="4.140625" style="206" customWidth="1"/>
    <col min="2059" max="2059" width="2.7109375" style="206"/>
    <col min="2060" max="2060" width="4.7109375" style="206" customWidth="1"/>
    <col min="2061" max="2061" width="2.7109375" style="206"/>
    <col min="2062" max="2062" width="3.5703125" style="206" customWidth="1"/>
    <col min="2063" max="2064" width="2.7109375" style="206"/>
    <col min="2065" max="2065" width="4.7109375" style="206" customWidth="1"/>
    <col min="2066" max="2070" width="2.7109375" style="206"/>
    <col min="2071" max="2072" width="3.42578125" style="206" customWidth="1"/>
    <col min="2073" max="2073" width="4.85546875" style="206" customWidth="1"/>
    <col min="2074" max="2074" width="2.7109375" style="206"/>
    <col min="2075" max="2075" width="4.5703125" style="206" customWidth="1"/>
    <col min="2076" max="2077" width="2.7109375" style="206"/>
    <col min="2078" max="2078" width="3.140625" style="206" customWidth="1"/>
    <col min="2079" max="2079" width="6" style="206" customWidth="1"/>
    <col min="2080" max="2080" width="3.42578125" style="206" customWidth="1"/>
    <col min="2081" max="2081" width="8.140625" style="206" customWidth="1"/>
    <col min="2082" max="2082" width="5.5703125" style="206" customWidth="1"/>
    <col min="2083" max="2083" width="21.140625" style="206" customWidth="1"/>
    <col min="2084" max="2084" width="11.42578125" style="206" customWidth="1"/>
    <col min="2085" max="2085" width="8" style="206" customWidth="1"/>
    <col min="2086" max="2087" width="10.140625" style="206" customWidth="1"/>
    <col min="2088" max="2306" width="2.7109375" style="206"/>
    <col min="2307" max="2307" width="4.42578125" style="206" customWidth="1"/>
    <col min="2308" max="2313" width="2.7109375" style="206"/>
    <col min="2314" max="2314" width="4.140625" style="206" customWidth="1"/>
    <col min="2315" max="2315" width="2.7109375" style="206"/>
    <col min="2316" max="2316" width="4.7109375" style="206" customWidth="1"/>
    <col min="2317" max="2317" width="2.7109375" style="206"/>
    <col min="2318" max="2318" width="3.5703125" style="206" customWidth="1"/>
    <col min="2319" max="2320" width="2.7109375" style="206"/>
    <col min="2321" max="2321" width="4.7109375" style="206" customWidth="1"/>
    <col min="2322" max="2326" width="2.7109375" style="206"/>
    <col min="2327" max="2328" width="3.42578125" style="206" customWidth="1"/>
    <col min="2329" max="2329" width="4.85546875" style="206" customWidth="1"/>
    <col min="2330" max="2330" width="2.7109375" style="206"/>
    <col min="2331" max="2331" width="4.5703125" style="206" customWidth="1"/>
    <col min="2332" max="2333" width="2.7109375" style="206"/>
    <col min="2334" max="2334" width="3.140625" style="206" customWidth="1"/>
    <col min="2335" max="2335" width="6" style="206" customWidth="1"/>
    <col min="2336" max="2336" width="3.42578125" style="206" customWidth="1"/>
    <col min="2337" max="2337" width="8.140625" style="206" customWidth="1"/>
    <col min="2338" max="2338" width="5.5703125" style="206" customWidth="1"/>
    <col min="2339" max="2339" width="21.140625" style="206" customWidth="1"/>
    <col min="2340" max="2340" width="11.42578125" style="206" customWidth="1"/>
    <col min="2341" max="2341" width="8" style="206" customWidth="1"/>
    <col min="2342" max="2343" width="10.140625" style="206" customWidth="1"/>
    <col min="2344" max="2562" width="2.7109375" style="206"/>
    <col min="2563" max="2563" width="4.42578125" style="206" customWidth="1"/>
    <col min="2564" max="2569" width="2.7109375" style="206"/>
    <col min="2570" max="2570" width="4.140625" style="206" customWidth="1"/>
    <col min="2571" max="2571" width="2.7109375" style="206"/>
    <col min="2572" max="2572" width="4.7109375" style="206" customWidth="1"/>
    <col min="2573" max="2573" width="2.7109375" style="206"/>
    <col min="2574" max="2574" width="3.5703125" style="206" customWidth="1"/>
    <col min="2575" max="2576" width="2.7109375" style="206"/>
    <col min="2577" max="2577" width="4.7109375" style="206" customWidth="1"/>
    <col min="2578" max="2582" width="2.7109375" style="206"/>
    <col min="2583" max="2584" width="3.42578125" style="206" customWidth="1"/>
    <col min="2585" max="2585" width="4.85546875" style="206" customWidth="1"/>
    <col min="2586" max="2586" width="2.7109375" style="206"/>
    <col min="2587" max="2587" width="4.5703125" style="206" customWidth="1"/>
    <col min="2588" max="2589" width="2.7109375" style="206"/>
    <col min="2590" max="2590" width="3.140625" style="206" customWidth="1"/>
    <col min="2591" max="2591" width="6" style="206" customWidth="1"/>
    <col min="2592" max="2592" width="3.42578125" style="206" customWidth="1"/>
    <col min="2593" max="2593" width="8.140625" style="206" customWidth="1"/>
    <col min="2594" max="2594" width="5.5703125" style="206" customWidth="1"/>
    <col min="2595" max="2595" width="21.140625" style="206" customWidth="1"/>
    <col min="2596" max="2596" width="11.42578125" style="206" customWidth="1"/>
    <col min="2597" max="2597" width="8" style="206" customWidth="1"/>
    <col min="2598" max="2599" width="10.140625" style="206" customWidth="1"/>
    <col min="2600" max="2818" width="2.7109375" style="206"/>
    <col min="2819" max="2819" width="4.42578125" style="206" customWidth="1"/>
    <col min="2820" max="2825" width="2.7109375" style="206"/>
    <col min="2826" max="2826" width="4.140625" style="206" customWidth="1"/>
    <col min="2827" max="2827" width="2.7109375" style="206"/>
    <col min="2828" max="2828" width="4.7109375" style="206" customWidth="1"/>
    <col min="2829" max="2829" width="2.7109375" style="206"/>
    <col min="2830" max="2830" width="3.5703125" style="206" customWidth="1"/>
    <col min="2831" max="2832" width="2.7109375" style="206"/>
    <col min="2833" max="2833" width="4.7109375" style="206" customWidth="1"/>
    <col min="2834" max="2838" width="2.7109375" style="206"/>
    <col min="2839" max="2840" width="3.42578125" style="206" customWidth="1"/>
    <col min="2841" max="2841" width="4.85546875" style="206" customWidth="1"/>
    <col min="2842" max="2842" width="2.7109375" style="206"/>
    <col min="2843" max="2843" width="4.5703125" style="206" customWidth="1"/>
    <col min="2844" max="2845" width="2.7109375" style="206"/>
    <col min="2846" max="2846" width="3.140625" style="206" customWidth="1"/>
    <col min="2847" max="2847" width="6" style="206" customWidth="1"/>
    <col min="2848" max="2848" width="3.42578125" style="206" customWidth="1"/>
    <col min="2849" max="2849" width="8.140625" style="206" customWidth="1"/>
    <col min="2850" max="2850" width="5.5703125" style="206" customWidth="1"/>
    <col min="2851" max="2851" width="21.140625" style="206" customWidth="1"/>
    <col min="2852" max="2852" width="11.42578125" style="206" customWidth="1"/>
    <col min="2853" max="2853" width="8" style="206" customWidth="1"/>
    <col min="2854" max="2855" width="10.140625" style="206" customWidth="1"/>
    <col min="2856" max="3074" width="2.7109375" style="206"/>
    <col min="3075" max="3075" width="4.42578125" style="206" customWidth="1"/>
    <col min="3076" max="3081" width="2.7109375" style="206"/>
    <col min="3082" max="3082" width="4.140625" style="206" customWidth="1"/>
    <col min="3083" max="3083" width="2.7109375" style="206"/>
    <col min="3084" max="3084" width="4.7109375" style="206" customWidth="1"/>
    <col min="3085" max="3085" width="2.7109375" style="206"/>
    <col min="3086" max="3086" width="3.5703125" style="206" customWidth="1"/>
    <col min="3087" max="3088" width="2.7109375" style="206"/>
    <col min="3089" max="3089" width="4.7109375" style="206" customWidth="1"/>
    <col min="3090" max="3094" width="2.7109375" style="206"/>
    <col min="3095" max="3096" width="3.42578125" style="206" customWidth="1"/>
    <col min="3097" max="3097" width="4.85546875" style="206" customWidth="1"/>
    <col min="3098" max="3098" width="2.7109375" style="206"/>
    <col min="3099" max="3099" width="4.5703125" style="206" customWidth="1"/>
    <col min="3100" max="3101" width="2.7109375" style="206"/>
    <col min="3102" max="3102" width="3.140625" style="206" customWidth="1"/>
    <col min="3103" max="3103" width="6" style="206" customWidth="1"/>
    <col min="3104" max="3104" width="3.42578125" style="206" customWidth="1"/>
    <col min="3105" max="3105" width="8.140625" style="206" customWidth="1"/>
    <col min="3106" max="3106" width="5.5703125" style="206" customWidth="1"/>
    <col min="3107" max="3107" width="21.140625" style="206" customWidth="1"/>
    <col min="3108" max="3108" width="11.42578125" style="206" customWidth="1"/>
    <col min="3109" max="3109" width="8" style="206" customWidth="1"/>
    <col min="3110" max="3111" width="10.140625" style="206" customWidth="1"/>
    <col min="3112" max="3330" width="2.7109375" style="206"/>
    <col min="3331" max="3331" width="4.42578125" style="206" customWidth="1"/>
    <col min="3332" max="3337" width="2.7109375" style="206"/>
    <col min="3338" max="3338" width="4.140625" style="206" customWidth="1"/>
    <col min="3339" max="3339" width="2.7109375" style="206"/>
    <col min="3340" max="3340" width="4.7109375" style="206" customWidth="1"/>
    <col min="3341" max="3341" width="2.7109375" style="206"/>
    <col min="3342" max="3342" width="3.5703125" style="206" customWidth="1"/>
    <col min="3343" max="3344" width="2.7109375" style="206"/>
    <col min="3345" max="3345" width="4.7109375" style="206" customWidth="1"/>
    <col min="3346" max="3350" width="2.7109375" style="206"/>
    <col min="3351" max="3352" width="3.42578125" style="206" customWidth="1"/>
    <col min="3353" max="3353" width="4.85546875" style="206" customWidth="1"/>
    <col min="3354" max="3354" width="2.7109375" style="206"/>
    <col min="3355" max="3355" width="4.5703125" style="206" customWidth="1"/>
    <col min="3356" max="3357" width="2.7109375" style="206"/>
    <col min="3358" max="3358" width="3.140625" style="206" customWidth="1"/>
    <col min="3359" max="3359" width="6" style="206" customWidth="1"/>
    <col min="3360" max="3360" width="3.42578125" style="206" customWidth="1"/>
    <col min="3361" max="3361" width="8.140625" style="206" customWidth="1"/>
    <col min="3362" max="3362" width="5.5703125" style="206" customWidth="1"/>
    <col min="3363" max="3363" width="21.140625" style="206" customWidth="1"/>
    <col min="3364" max="3364" width="11.42578125" style="206" customWidth="1"/>
    <col min="3365" max="3365" width="8" style="206" customWidth="1"/>
    <col min="3366" max="3367" width="10.140625" style="206" customWidth="1"/>
    <col min="3368" max="3586" width="2.7109375" style="206"/>
    <col min="3587" max="3587" width="4.42578125" style="206" customWidth="1"/>
    <col min="3588" max="3593" width="2.7109375" style="206"/>
    <col min="3594" max="3594" width="4.140625" style="206" customWidth="1"/>
    <col min="3595" max="3595" width="2.7109375" style="206"/>
    <col min="3596" max="3596" width="4.7109375" style="206" customWidth="1"/>
    <col min="3597" max="3597" width="2.7109375" style="206"/>
    <col min="3598" max="3598" width="3.5703125" style="206" customWidth="1"/>
    <col min="3599" max="3600" width="2.7109375" style="206"/>
    <col min="3601" max="3601" width="4.7109375" style="206" customWidth="1"/>
    <col min="3602" max="3606" width="2.7109375" style="206"/>
    <col min="3607" max="3608" width="3.42578125" style="206" customWidth="1"/>
    <col min="3609" max="3609" width="4.85546875" style="206" customWidth="1"/>
    <col min="3610" max="3610" width="2.7109375" style="206"/>
    <col min="3611" max="3611" width="4.5703125" style="206" customWidth="1"/>
    <col min="3612" max="3613" width="2.7109375" style="206"/>
    <col min="3614" max="3614" width="3.140625" style="206" customWidth="1"/>
    <col min="3615" max="3615" width="6" style="206" customWidth="1"/>
    <col min="3616" max="3616" width="3.42578125" style="206" customWidth="1"/>
    <col min="3617" max="3617" width="8.140625" style="206" customWidth="1"/>
    <col min="3618" max="3618" width="5.5703125" style="206" customWidth="1"/>
    <col min="3619" max="3619" width="21.140625" style="206" customWidth="1"/>
    <col min="3620" max="3620" width="11.42578125" style="206" customWidth="1"/>
    <col min="3621" max="3621" width="8" style="206" customWidth="1"/>
    <col min="3622" max="3623" width="10.140625" style="206" customWidth="1"/>
    <col min="3624" max="3842" width="2.7109375" style="206"/>
    <col min="3843" max="3843" width="4.42578125" style="206" customWidth="1"/>
    <col min="3844" max="3849" width="2.7109375" style="206"/>
    <col min="3850" max="3850" width="4.140625" style="206" customWidth="1"/>
    <col min="3851" max="3851" width="2.7109375" style="206"/>
    <col min="3852" max="3852" width="4.7109375" style="206" customWidth="1"/>
    <col min="3853" max="3853" width="2.7109375" style="206"/>
    <col min="3854" max="3854" width="3.5703125" style="206" customWidth="1"/>
    <col min="3855" max="3856" width="2.7109375" style="206"/>
    <col min="3857" max="3857" width="4.7109375" style="206" customWidth="1"/>
    <col min="3858" max="3862" width="2.7109375" style="206"/>
    <col min="3863" max="3864" width="3.42578125" style="206" customWidth="1"/>
    <col min="3865" max="3865" width="4.85546875" style="206" customWidth="1"/>
    <col min="3866" max="3866" width="2.7109375" style="206"/>
    <col min="3867" max="3867" width="4.5703125" style="206" customWidth="1"/>
    <col min="3868" max="3869" width="2.7109375" style="206"/>
    <col min="3870" max="3870" width="3.140625" style="206" customWidth="1"/>
    <col min="3871" max="3871" width="6" style="206" customWidth="1"/>
    <col min="3872" max="3872" width="3.42578125" style="206" customWidth="1"/>
    <col min="3873" max="3873" width="8.140625" style="206" customWidth="1"/>
    <col min="3874" max="3874" width="5.5703125" style="206" customWidth="1"/>
    <col min="3875" max="3875" width="21.140625" style="206" customWidth="1"/>
    <col min="3876" max="3876" width="11.42578125" style="206" customWidth="1"/>
    <col min="3877" max="3877" width="8" style="206" customWidth="1"/>
    <col min="3878" max="3879" width="10.140625" style="206" customWidth="1"/>
    <col min="3880" max="4098" width="2.7109375" style="206"/>
    <col min="4099" max="4099" width="4.42578125" style="206" customWidth="1"/>
    <col min="4100" max="4105" width="2.7109375" style="206"/>
    <col min="4106" max="4106" width="4.140625" style="206" customWidth="1"/>
    <col min="4107" max="4107" width="2.7109375" style="206"/>
    <col min="4108" max="4108" width="4.7109375" style="206" customWidth="1"/>
    <col min="4109" max="4109" width="2.7109375" style="206"/>
    <col min="4110" max="4110" width="3.5703125" style="206" customWidth="1"/>
    <col min="4111" max="4112" width="2.7109375" style="206"/>
    <col min="4113" max="4113" width="4.7109375" style="206" customWidth="1"/>
    <col min="4114" max="4118" width="2.7109375" style="206"/>
    <col min="4119" max="4120" width="3.42578125" style="206" customWidth="1"/>
    <col min="4121" max="4121" width="4.85546875" style="206" customWidth="1"/>
    <col min="4122" max="4122" width="2.7109375" style="206"/>
    <col min="4123" max="4123" width="4.5703125" style="206" customWidth="1"/>
    <col min="4124" max="4125" width="2.7109375" style="206"/>
    <col min="4126" max="4126" width="3.140625" style="206" customWidth="1"/>
    <col min="4127" max="4127" width="6" style="206" customWidth="1"/>
    <col min="4128" max="4128" width="3.42578125" style="206" customWidth="1"/>
    <col min="4129" max="4129" width="8.140625" style="206" customWidth="1"/>
    <col min="4130" max="4130" width="5.5703125" style="206" customWidth="1"/>
    <col min="4131" max="4131" width="21.140625" style="206" customWidth="1"/>
    <col min="4132" max="4132" width="11.42578125" style="206" customWidth="1"/>
    <col min="4133" max="4133" width="8" style="206" customWidth="1"/>
    <col min="4134" max="4135" width="10.140625" style="206" customWidth="1"/>
    <col min="4136" max="4354" width="2.7109375" style="206"/>
    <col min="4355" max="4355" width="4.42578125" style="206" customWidth="1"/>
    <col min="4356" max="4361" width="2.7109375" style="206"/>
    <col min="4362" max="4362" width="4.140625" style="206" customWidth="1"/>
    <col min="4363" max="4363" width="2.7109375" style="206"/>
    <col min="4364" max="4364" width="4.7109375" style="206" customWidth="1"/>
    <col min="4365" max="4365" width="2.7109375" style="206"/>
    <col min="4366" max="4366" width="3.5703125" style="206" customWidth="1"/>
    <col min="4367" max="4368" width="2.7109375" style="206"/>
    <col min="4369" max="4369" width="4.7109375" style="206" customWidth="1"/>
    <col min="4370" max="4374" width="2.7109375" style="206"/>
    <col min="4375" max="4376" width="3.42578125" style="206" customWidth="1"/>
    <col min="4377" max="4377" width="4.85546875" style="206" customWidth="1"/>
    <col min="4378" max="4378" width="2.7109375" style="206"/>
    <col min="4379" max="4379" width="4.5703125" style="206" customWidth="1"/>
    <col min="4380" max="4381" width="2.7109375" style="206"/>
    <col min="4382" max="4382" width="3.140625" style="206" customWidth="1"/>
    <col min="4383" max="4383" width="6" style="206" customWidth="1"/>
    <col min="4384" max="4384" width="3.42578125" style="206" customWidth="1"/>
    <col min="4385" max="4385" width="8.140625" style="206" customWidth="1"/>
    <col min="4386" max="4386" width="5.5703125" style="206" customWidth="1"/>
    <col min="4387" max="4387" width="21.140625" style="206" customWidth="1"/>
    <col min="4388" max="4388" width="11.42578125" style="206" customWidth="1"/>
    <col min="4389" max="4389" width="8" style="206" customWidth="1"/>
    <col min="4390" max="4391" width="10.140625" style="206" customWidth="1"/>
    <col min="4392" max="4610" width="2.7109375" style="206"/>
    <col min="4611" max="4611" width="4.42578125" style="206" customWidth="1"/>
    <col min="4612" max="4617" width="2.7109375" style="206"/>
    <col min="4618" max="4618" width="4.140625" style="206" customWidth="1"/>
    <col min="4619" max="4619" width="2.7109375" style="206"/>
    <col min="4620" max="4620" width="4.7109375" style="206" customWidth="1"/>
    <col min="4621" max="4621" width="2.7109375" style="206"/>
    <col min="4622" max="4622" width="3.5703125" style="206" customWidth="1"/>
    <col min="4623" max="4624" width="2.7109375" style="206"/>
    <col min="4625" max="4625" width="4.7109375" style="206" customWidth="1"/>
    <col min="4626" max="4630" width="2.7109375" style="206"/>
    <col min="4631" max="4632" width="3.42578125" style="206" customWidth="1"/>
    <col min="4633" max="4633" width="4.85546875" style="206" customWidth="1"/>
    <col min="4634" max="4634" width="2.7109375" style="206"/>
    <col min="4635" max="4635" width="4.5703125" style="206" customWidth="1"/>
    <col min="4636" max="4637" width="2.7109375" style="206"/>
    <col min="4638" max="4638" width="3.140625" style="206" customWidth="1"/>
    <col min="4639" max="4639" width="6" style="206" customWidth="1"/>
    <col min="4640" max="4640" width="3.42578125" style="206" customWidth="1"/>
    <col min="4641" max="4641" width="8.140625" style="206" customWidth="1"/>
    <col min="4642" max="4642" width="5.5703125" style="206" customWidth="1"/>
    <col min="4643" max="4643" width="21.140625" style="206" customWidth="1"/>
    <col min="4644" max="4644" width="11.42578125" style="206" customWidth="1"/>
    <col min="4645" max="4645" width="8" style="206" customWidth="1"/>
    <col min="4646" max="4647" width="10.140625" style="206" customWidth="1"/>
    <col min="4648" max="4866" width="2.7109375" style="206"/>
    <col min="4867" max="4867" width="4.42578125" style="206" customWidth="1"/>
    <col min="4868" max="4873" width="2.7109375" style="206"/>
    <col min="4874" max="4874" width="4.140625" style="206" customWidth="1"/>
    <col min="4875" max="4875" width="2.7109375" style="206"/>
    <col min="4876" max="4876" width="4.7109375" style="206" customWidth="1"/>
    <col min="4877" max="4877" width="2.7109375" style="206"/>
    <col min="4878" max="4878" width="3.5703125" style="206" customWidth="1"/>
    <col min="4879" max="4880" width="2.7109375" style="206"/>
    <col min="4881" max="4881" width="4.7109375" style="206" customWidth="1"/>
    <col min="4882" max="4886" width="2.7109375" style="206"/>
    <col min="4887" max="4888" width="3.42578125" style="206" customWidth="1"/>
    <col min="4889" max="4889" width="4.85546875" style="206" customWidth="1"/>
    <col min="4890" max="4890" width="2.7109375" style="206"/>
    <col min="4891" max="4891" width="4.5703125" style="206" customWidth="1"/>
    <col min="4892" max="4893" width="2.7109375" style="206"/>
    <col min="4894" max="4894" width="3.140625" style="206" customWidth="1"/>
    <col min="4895" max="4895" width="6" style="206" customWidth="1"/>
    <col min="4896" max="4896" width="3.42578125" style="206" customWidth="1"/>
    <col min="4897" max="4897" width="8.140625" style="206" customWidth="1"/>
    <col min="4898" max="4898" width="5.5703125" style="206" customWidth="1"/>
    <col min="4899" max="4899" width="21.140625" style="206" customWidth="1"/>
    <col min="4900" max="4900" width="11.42578125" style="206" customWidth="1"/>
    <col min="4901" max="4901" width="8" style="206" customWidth="1"/>
    <col min="4902" max="4903" width="10.140625" style="206" customWidth="1"/>
    <col min="4904" max="5122" width="2.7109375" style="206"/>
    <col min="5123" max="5123" width="4.42578125" style="206" customWidth="1"/>
    <col min="5124" max="5129" width="2.7109375" style="206"/>
    <col min="5130" max="5130" width="4.140625" style="206" customWidth="1"/>
    <col min="5131" max="5131" width="2.7109375" style="206"/>
    <col min="5132" max="5132" width="4.7109375" style="206" customWidth="1"/>
    <col min="5133" max="5133" width="2.7109375" style="206"/>
    <col min="5134" max="5134" width="3.5703125" style="206" customWidth="1"/>
    <col min="5135" max="5136" width="2.7109375" style="206"/>
    <col min="5137" max="5137" width="4.7109375" style="206" customWidth="1"/>
    <col min="5138" max="5142" width="2.7109375" style="206"/>
    <col min="5143" max="5144" width="3.42578125" style="206" customWidth="1"/>
    <col min="5145" max="5145" width="4.85546875" style="206" customWidth="1"/>
    <col min="5146" max="5146" width="2.7109375" style="206"/>
    <col min="5147" max="5147" width="4.5703125" style="206" customWidth="1"/>
    <col min="5148" max="5149" width="2.7109375" style="206"/>
    <col min="5150" max="5150" width="3.140625" style="206" customWidth="1"/>
    <col min="5151" max="5151" width="6" style="206" customWidth="1"/>
    <col min="5152" max="5152" width="3.42578125" style="206" customWidth="1"/>
    <col min="5153" max="5153" width="8.140625" style="206" customWidth="1"/>
    <col min="5154" max="5154" width="5.5703125" style="206" customWidth="1"/>
    <col min="5155" max="5155" width="21.140625" style="206" customWidth="1"/>
    <col min="5156" max="5156" width="11.42578125" style="206" customWidth="1"/>
    <col min="5157" max="5157" width="8" style="206" customWidth="1"/>
    <col min="5158" max="5159" width="10.140625" style="206" customWidth="1"/>
    <col min="5160" max="5378" width="2.7109375" style="206"/>
    <col min="5379" max="5379" width="4.42578125" style="206" customWidth="1"/>
    <col min="5380" max="5385" width="2.7109375" style="206"/>
    <col min="5386" max="5386" width="4.140625" style="206" customWidth="1"/>
    <col min="5387" max="5387" width="2.7109375" style="206"/>
    <col min="5388" max="5388" width="4.7109375" style="206" customWidth="1"/>
    <col min="5389" max="5389" width="2.7109375" style="206"/>
    <col min="5390" max="5390" width="3.5703125" style="206" customWidth="1"/>
    <col min="5391" max="5392" width="2.7109375" style="206"/>
    <col min="5393" max="5393" width="4.7109375" style="206" customWidth="1"/>
    <col min="5394" max="5398" width="2.7109375" style="206"/>
    <col min="5399" max="5400" width="3.42578125" style="206" customWidth="1"/>
    <col min="5401" max="5401" width="4.85546875" style="206" customWidth="1"/>
    <col min="5402" max="5402" width="2.7109375" style="206"/>
    <col min="5403" max="5403" width="4.5703125" style="206" customWidth="1"/>
    <col min="5404" max="5405" width="2.7109375" style="206"/>
    <col min="5406" max="5406" width="3.140625" style="206" customWidth="1"/>
    <col min="5407" max="5407" width="6" style="206" customWidth="1"/>
    <col min="5408" max="5408" width="3.42578125" style="206" customWidth="1"/>
    <col min="5409" max="5409" width="8.140625" style="206" customWidth="1"/>
    <col min="5410" max="5410" width="5.5703125" style="206" customWidth="1"/>
    <col min="5411" max="5411" width="21.140625" style="206" customWidth="1"/>
    <col min="5412" max="5412" width="11.42578125" style="206" customWidth="1"/>
    <col min="5413" max="5413" width="8" style="206" customWidth="1"/>
    <col min="5414" max="5415" width="10.140625" style="206" customWidth="1"/>
    <col min="5416" max="5634" width="2.7109375" style="206"/>
    <col min="5635" max="5635" width="4.42578125" style="206" customWidth="1"/>
    <col min="5636" max="5641" width="2.7109375" style="206"/>
    <col min="5642" max="5642" width="4.140625" style="206" customWidth="1"/>
    <col min="5643" max="5643" width="2.7109375" style="206"/>
    <col min="5644" max="5644" width="4.7109375" style="206" customWidth="1"/>
    <col min="5645" max="5645" width="2.7109375" style="206"/>
    <col min="5646" max="5646" width="3.5703125" style="206" customWidth="1"/>
    <col min="5647" max="5648" width="2.7109375" style="206"/>
    <col min="5649" max="5649" width="4.7109375" style="206" customWidth="1"/>
    <col min="5650" max="5654" width="2.7109375" style="206"/>
    <col min="5655" max="5656" width="3.42578125" style="206" customWidth="1"/>
    <col min="5657" max="5657" width="4.85546875" style="206" customWidth="1"/>
    <col min="5658" max="5658" width="2.7109375" style="206"/>
    <col min="5659" max="5659" width="4.5703125" style="206" customWidth="1"/>
    <col min="5660" max="5661" width="2.7109375" style="206"/>
    <col min="5662" max="5662" width="3.140625" style="206" customWidth="1"/>
    <col min="5663" max="5663" width="6" style="206" customWidth="1"/>
    <col min="5664" max="5664" width="3.42578125" style="206" customWidth="1"/>
    <col min="5665" max="5665" width="8.140625" style="206" customWidth="1"/>
    <col min="5666" max="5666" width="5.5703125" style="206" customWidth="1"/>
    <col min="5667" max="5667" width="21.140625" style="206" customWidth="1"/>
    <col min="5668" max="5668" width="11.42578125" style="206" customWidth="1"/>
    <col min="5669" max="5669" width="8" style="206" customWidth="1"/>
    <col min="5670" max="5671" width="10.140625" style="206" customWidth="1"/>
    <col min="5672" max="5890" width="2.7109375" style="206"/>
    <col min="5891" max="5891" width="4.42578125" style="206" customWidth="1"/>
    <col min="5892" max="5897" width="2.7109375" style="206"/>
    <col min="5898" max="5898" width="4.140625" style="206" customWidth="1"/>
    <col min="5899" max="5899" width="2.7109375" style="206"/>
    <col min="5900" max="5900" width="4.7109375" style="206" customWidth="1"/>
    <col min="5901" max="5901" width="2.7109375" style="206"/>
    <col min="5902" max="5902" width="3.5703125" style="206" customWidth="1"/>
    <col min="5903" max="5904" width="2.7109375" style="206"/>
    <col min="5905" max="5905" width="4.7109375" style="206" customWidth="1"/>
    <col min="5906" max="5910" width="2.7109375" style="206"/>
    <col min="5911" max="5912" width="3.42578125" style="206" customWidth="1"/>
    <col min="5913" max="5913" width="4.85546875" style="206" customWidth="1"/>
    <col min="5914" max="5914" width="2.7109375" style="206"/>
    <col min="5915" max="5915" width="4.5703125" style="206" customWidth="1"/>
    <col min="5916" max="5917" width="2.7109375" style="206"/>
    <col min="5918" max="5918" width="3.140625" style="206" customWidth="1"/>
    <col min="5919" max="5919" width="6" style="206" customWidth="1"/>
    <col min="5920" max="5920" width="3.42578125" style="206" customWidth="1"/>
    <col min="5921" max="5921" width="8.140625" style="206" customWidth="1"/>
    <col min="5922" max="5922" width="5.5703125" style="206" customWidth="1"/>
    <col min="5923" max="5923" width="21.140625" style="206" customWidth="1"/>
    <col min="5924" max="5924" width="11.42578125" style="206" customWidth="1"/>
    <col min="5925" max="5925" width="8" style="206" customWidth="1"/>
    <col min="5926" max="5927" width="10.140625" style="206" customWidth="1"/>
    <col min="5928" max="6146" width="2.7109375" style="206"/>
    <col min="6147" max="6147" width="4.42578125" style="206" customWidth="1"/>
    <col min="6148" max="6153" width="2.7109375" style="206"/>
    <col min="6154" max="6154" width="4.140625" style="206" customWidth="1"/>
    <col min="6155" max="6155" width="2.7109375" style="206"/>
    <col min="6156" max="6156" width="4.7109375" style="206" customWidth="1"/>
    <col min="6157" max="6157" width="2.7109375" style="206"/>
    <col min="6158" max="6158" width="3.5703125" style="206" customWidth="1"/>
    <col min="6159" max="6160" width="2.7109375" style="206"/>
    <col min="6161" max="6161" width="4.7109375" style="206" customWidth="1"/>
    <col min="6162" max="6166" width="2.7109375" style="206"/>
    <col min="6167" max="6168" width="3.42578125" style="206" customWidth="1"/>
    <col min="6169" max="6169" width="4.85546875" style="206" customWidth="1"/>
    <col min="6170" max="6170" width="2.7109375" style="206"/>
    <col min="6171" max="6171" width="4.5703125" style="206" customWidth="1"/>
    <col min="6172" max="6173" width="2.7109375" style="206"/>
    <col min="6174" max="6174" width="3.140625" style="206" customWidth="1"/>
    <col min="6175" max="6175" width="6" style="206" customWidth="1"/>
    <col min="6176" max="6176" width="3.42578125" style="206" customWidth="1"/>
    <col min="6177" max="6177" width="8.140625" style="206" customWidth="1"/>
    <col min="6178" max="6178" width="5.5703125" style="206" customWidth="1"/>
    <col min="6179" max="6179" width="21.140625" style="206" customWidth="1"/>
    <col min="6180" max="6180" width="11.42578125" style="206" customWidth="1"/>
    <col min="6181" max="6181" width="8" style="206" customWidth="1"/>
    <col min="6182" max="6183" width="10.140625" style="206" customWidth="1"/>
    <col min="6184" max="6402" width="2.7109375" style="206"/>
    <col min="6403" max="6403" width="4.42578125" style="206" customWidth="1"/>
    <col min="6404" max="6409" width="2.7109375" style="206"/>
    <col min="6410" max="6410" width="4.140625" style="206" customWidth="1"/>
    <col min="6411" max="6411" width="2.7109375" style="206"/>
    <col min="6412" max="6412" width="4.7109375" style="206" customWidth="1"/>
    <col min="6413" max="6413" width="2.7109375" style="206"/>
    <col min="6414" max="6414" width="3.5703125" style="206" customWidth="1"/>
    <col min="6415" max="6416" width="2.7109375" style="206"/>
    <col min="6417" max="6417" width="4.7109375" style="206" customWidth="1"/>
    <col min="6418" max="6422" width="2.7109375" style="206"/>
    <col min="6423" max="6424" width="3.42578125" style="206" customWidth="1"/>
    <col min="6425" max="6425" width="4.85546875" style="206" customWidth="1"/>
    <col min="6426" max="6426" width="2.7109375" style="206"/>
    <col min="6427" max="6427" width="4.5703125" style="206" customWidth="1"/>
    <col min="6428" max="6429" width="2.7109375" style="206"/>
    <col min="6430" max="6430" width="3.140625" style="206" customWidth="1"/>
    <col min="6431" max="6431" width="6" style="206" customWidth="1"/>
    <col min="6432" max="6432" width="3.42578125" style="206" customWidth="1"/>
    <col min="6433" max="6433" width="8.140625" style="206" customWidth="1"/>
    <col min="6434" max="6434" width="5.5703125" style="206" customWidth="1"/>
    <col min="6435" max="6435" width="21.140625" style="206" customWidth="1"/>
    <col min="6436" max="6436" width="11.42578125" style="206" customWidth="1"/>
    <col min="6437" max="6437" width="8" style="206" customWidth="1"/>
    <col min="6438" max="6439" width="10.140625" style="206" customWidth="1"/>
    <col min="6440" max="6658" width="2.7109375" style="206"/>
    <col min="6659" max="6659" width="4.42578125" style="206" customWidth="1"/>
    <col min="6660" max="6665" width="2.7109375" style="206"/>
    <col min="6666" max="6666" width="4.140625" style="206" customWidth="1"/>
    <col min="6667" max="6667" width="2.7109375" style="206"/>
    <col min="6668" max="6668" width="4.7109375" style="206" customWidth="1"/>
    <col min="6669" max="6669" width="2.7109375" style="206"/>
    <col min="6670" max="6670" width="3.5703125" style="206" customWidth="1"/>
    <col min="6671" max="6672" width="2.7109375" style="206"/>
    <col min="6673" max="6673" width="4.7109375" style="206" customWidth="1"/>
    <col min="6674" max="6678" width="2.7109375" style="206"/>
    <col min="6679" max="6680" width="3.42578125" style="206" customWidth="1"/>
    <col min="6681" max="6681" width="4.85546875" style="206" customWidth="1"/>
    <col min="6682" max="6682" width="2.7109375" style="206"/>
    <col min="6683" max="6683" width="4.5703125" style="206" customWidth="1"/>
    <col min="6684" max="6685" width="2.7109375" style="206"/>
    <col min="6686" max="6686" width="3.140625" style="206" customWidth="1"/>
    <col min="6687" max="6687" width="6" style="206" customWidth="1"/>
    <col min="6688" max="6688" width="3.42578125" style="206" customWidth="1"/>
    <col min="6689" max="6689" width="8.140625" style="206" customWidth="1"/>
    <col min="6690" max="6690" width="5.5703125" style="206" customWidth="1"/>
    <col min="6691" max="6691" width="21.140625" style="206" customWidth="1"/>
    <col min="6692" max="6692" width="11.42578125" style="206" customWidth="1"/>
    <col min="6693" max="6693" width="8" style="206" customWidth="1"/>
    <col min="6694" max="6695" width="10.140625" style="206" customWidth="1"/>
    <col min="6696" max="6914" width="2.7109375" style="206"/>
    <col min="6915" max="6915" width="4.42578125" style="206" customWidth="1"/>
    <col min="6916" max="6921" width="2.7109375" style="206"/>
    <col min="6922" max="6922" width="4.140625" style="206" customWidth="1"/>
    <col min="6923" max="6923" width="2.7109375" style="206"/>
    <col min="6924" max="6924" width="4.7109375" style="206" customWidth="1"/>
    <col min="6925" max="6925" width="2.7109375" style="206"/>
    <col min="6926" max="6926" width="3.5703125" style="206" customWidth="1"/>
    <col min="6927" max="6928" width="2.7109375" style="206"/>
    <col min="6929" max="6929" width="4.7109375" style="206" customWidth="1"/>
    <col min="6930" max="6934" width="2.7109375" style="206"/>
    <col min="6935" max="6936" width="3.42578125" style="206" customWidth="1"/>
    <col min="6937" max="6937" width="4.85546875" style="206" customWidth="1"/>
    <col min="6938" max="6938" width="2.7109375" style="206"/>
    <col min="6939" max="6939" width="4.5703125" style="206" customWidth="1"/>
    <col min="6940" max="6941" width="2.7109375" style="206"/>
    <col min="6942" max="6942" width="3.140625" style="206" customWidth="1"/>
    <col min="6943" max="6943" width="6" style="206" customWidth="1"/>
    <col min="6944" max="6944" width="3.42578125" style="206" customWidth="1"/>
    <col min="6945" max="6945" width="8.140625" style="206" customWidth="1"/>
    <col min="6946" max="6946" width="5.5703125" style="206" customWidth="1"/>
    <col min="6947" max="6947" width="21.140625" style="206" customWidth="1"/>
    <col min="6948" max="6948" width="11.42578125" style="206" customWidth="1"/>
    <col min="6949" max="6949" width="8" style="206" customWidth="1"/>
    <col min="6950" max="6951" width="10.140625" style="206" customWidth="1"/>
    <col min="6952" max="7170" width="2.7109375" style="206"/>
    <col min="7171" max="7171" width="4.42578125" style="206" customWidth="1"/>
    <col min="7172" max="7177" width="2.7109375" style="206"/>
    <col min="7178" max="7178" width="4.140625" style="206" customWidth="1"/>
    <col min="7179" max="7179" width="2.7109375" style="206"/>
    <col min="7180" max="7180" width="4.7109375" style="206" customWidth="1"/>
    <col min="7181" max="7181" width="2.7109375" style="206"/>
    <col min="7182" max="7182" width="3.5703125" style="206" customWidth="1"/>
    <col min="7183" max="7184" width="2.7109375" style="206"/>
    <col min="7185" max="7185" width="4.7109375" style="206" customWidth="1"/>
    <col min="7186" max="7190" width="2.7109375" style="206"/>
    <col min="7191" max="7192" width="3.42578125" style="206" customWidth="1"/>
    <col min="7193" max="7193" width="4.85546875" style="206" customWidth="1"/>
    <col min="7194" max="7194" width="2.7109375" style="206"/>
    <col min="7195" max="7195" width="4.5703125" style="206" customWidth="1"/>
    <col min="7196" max="7197" width="2.7109375" style="206"/>
    <col min="7198" max="7198" width="3.140625" style="206" customWidth="1"/>
    <col min="7199" max="7199" width="6" style="206" customWidth="1"/>
    <col min="7200" max="7200" width="3.42578125" style="206" customWidth="1"/>
    <col min="7201" max="7201" width="8.140625" style="206" customWidth="1"/>
    <col min="7202" max="7202" width="5.5703125" style="206" customWidth="1"/>
    <col min="7203" max="7203" width="21.140625" style="206" customWidth="1"/>
    <col min="7204" max="7204" width="11.42578125" style="206" customWidth="1"/>
    <col min="7205" max="7205" width="8" style="206" customWidth="1"/>
    <col min="7206" max="7207" width="10.140625" style="206" customWidth="1"/>
    <col min="7208" max="7426" width="2.7109375" style="206"/>
    <col min="7427" max="7427" width="4.42578125" style="206" customWidth="1"/>
    <col min="7428" max="7433" width="2.7109375" style="206"/>
    <col min="7434" max="7434" width="4.140625" style="206" customWidth="1"/>
    <col min="7435" max="7435" width="2.7109375" style="206"/>
    <col min="7436" max="7436" width="4.7109375" style="206" customWidth="1"/>
    <col min="7437" max="7437" width="2.7109375" style="206"/>
    <col min="7438" max="7438" width="3.5703125" style="206" customWidth="1"/>
    <col min="7439" max="7440" width="2.7109375" style="206"/>
    <col min="7441" max="7441" width="4.7109375" style="206" customWidth="1"/>
    <col min="7442" max="7446" width="2.7109375" style="206"/>
    <col min="7447" max="7448" width="3.42578125" style="206" customWidth="1"/>
    <col min="7449" max="7449" width="4.85546875" style="206" customWidth="1"/>
    <col min="7450" max="7450" width="2.7109375" style="206"/>
    <col min="7451" max="7451" width="4.5703125" style="206" customWidth="1"/>
    <col min="7452" max="7453" width="2.7109375" style="206"/>
    <col min="7454" max="7454" width="3.140625" style="206" customWidth="1"/>
    <col min="7455" max="7455" width="6" style="206" customWidth="1"/>
    <col min="7456" max="7456" width="3.42578125" style="206" customWidth="1"/>
    <col min="7457" max="7457" width="8.140625" style="206" customWidth="1"/>
    <col min="7458" max="7458" width="5.5703125" style="206" customWidth="1"/>
    <col min="7459" max="7459" width="21.140625" style="206" customWidth="1"/>
    <col min="7460" max="7460" width="11.42578125" style="206" customWidth="1"/>
    <col min="7461" max="7461" width="8" style="206" customWidth="1"/>
    <col min="7462" max="7463" width="10.140625" style="206" customWidth="1"/>
    <col min="7464" max="7682" width="2.7109375" style="206"/>
    <col min="7683" max="7683" width="4.42578125" style="206" customWidth="1"/>
    <col min="7684" max="7689" width="2.7109375" style="206"/>
    <col min="7690" max="7690" width="4.140625" style="206" customWidth="1"/>
    <col min="7691" max="7691" width="2.7109375" style="206"/>
    <col min="7692" max="7692" width="4.7109375" style="206" customWidth="1"/>
    <col min="7693" max="7693" width="2.7109375" style="206"/>
    <col min="7694" max="7694" width="3.5703125" style="206" customWidth="1"/>
    <col min="7695" max="7696" width="2.7109375" style="206"/>
    <col min="7697" max="7697" width="4.7109375" style="206" customWidth="1"/>
    <col min="7698" max="7702" width="2.7109375" style="206"/>
    <col min="7703" max="7704" width="3.42578125" style="206" customWidth="1"/>
    <col min="7705" max="7705" width="4.85546875" style="206" customWidth="1"/>
    <col min="7706" max="7706" width="2.7109375" style="206"/>
    <col min="7707" max="7707" width="4.5703125" style="206" customWidth="1"/>
    <col min="7708" max="7709" width="2.7109375" style="206"/>
    <col min="7710" max="7710" width="3.140625" style="206" customWidth="1"/>
    <col min="7711" max="7711" width="6" style="206" customWidth="1"/>
    <col min="7712" max="7712" width="3.42578125" style="206" customWidth="1"/>
    <col min="7713" max="7713" width="8.140625" style="206" customWidth="1"/>
    <col min="7714" max="7714" width="5.5703125" style="206" customWidth="1"/>
    <col min="7715" max="7715" width="21.140625" style="206" customWidth="1"/>
    <col min="7716" max="7716" width="11.42578125" style="206" customWidth="1"/>
    <col min="7717" max="7717" width="8" style="206" customWidth="1"/>
    <col min="7718" max="7719" width="10.140625" style="206" customWidth="1"/>
    <col min="7720" max="7938" width="2.7109375" style="206"/>
    <col min="7939" max="7939" width="4.42578125" style="206" customWidth="1"/>
    <col min="7940" max="7945" width="2.7109375" style="206"/>
    <col min="7946" max="7946" width="4.140625" style="206" customWidth="1"/>
    <col min="7947" max="7947" width="2.7109375" style="206"/>
    <col min="7948" max="7948" width="4.7109375" style="206" customWidth="1"/>
    <col min="7949" max="7949" width="2.7109375" style="206"/>
    <col min="7950" max="7950" width="3.5703125" style="206" customWidth="1"/>
    <col min="7951" max="7952" width="2.7109375" style="206"/>
    <col min="7953" max="7953" width="4.7109375" style="206" customWidth="1"/>
    <col min="7954" max="7958" width="2.7109375" style="206"/>
    <col min="7959" max="7960" width="3.42578125" style="206" customWidth="1"/>
    <col min="7961" max="7961" width="4.85546875" style="206" customWidth="1"/>
    <col min="7962" max="7962" width="2.7109375" style="206"/>
    <col min="7963" max="7963" width="4.5703125" style="206" customWidth="1"/>
    <col min="7964" max="7965" width="2.7109375" style="206"/>
    <col min="7966" max="7966" width="3.140625" style="206" customWidth="1"/>
    <col min="7967" max="7967" width="6" style="206" customWidth="1"/>
    <col min="7968" max="7968" width="3.42578125" style="206" customWidth="1"/>
    <col min="7969" max="7969" width="8.140625" style="206" customWidth="1"/>
    <col min="7970" max="7970" width="5.5703125" style="206" customWidth="1"/>
    <col min="7971" max="7971" width="21.140625" style="206" customWidth="1"/>
    <col min="7972" max="7972" width="11.42578125" style="206" customWidth="1"/>
    <col min="7973" max="7973" width="8" style="206" customWidth="1"/>
    <col min="7974" max="7975" width="10.140625" style="206" customWidth="1"/>
    <col min="7976" max="8194" width="2.7109375" style="206"/>
    <col min="8195" max="8195" width="4.42578125" style="206" customWidth="1"/>
    <col min="8196" max="8201" width="2.7109375" style="206"/>
    <col min="8202" max="8202" width="4.140625" style="206" customWidth="1"/>
    <col min="8203" max="8203" width="2.7109375" style="206"/>
    <col min="8204" max="8204" width="4.7109375" style="206" customWidth="1"/>
    <col min="8205" max="8205" width="2.7109375" style="206"/>
    <col min="8206" max="8206" width="3.5703125" style="206" customWidth="1"/>
    <col min="8207" max="8208" width="2.7109375" style="206"/>
    <col min="8209" max="8209" width="4.7109375" style="206" customWidth="1"/>
    <col min="8210" max="8214" width="2.7109375" style="206"/>
    <col min="8215" max="8216" width="3.42578125" style="206" customWidth="1"/>
    <col min="8217" max="8217" width="4.85546875" style="206" customWidth="1"/>
    <col min="8218" max="8218" width="2.7109375" style="206"/>
    <col min="8219" max="8219" width="4.5703125" style="206" customWidth="1"/>
    <col min="8220" max="8221" width="2.7109375" style="206"/>
    <col min="8222" max="8222" width="3.140625" style="206" customWidth="1"/>
    <col min="8223" max="8223" width="6" style="206" customWidth="1"/>
    <col min="8224" max="8224" width="3.42578125" style="206" customWidth="1"/>
    <col min="8225" max="8225" width="8.140625" style="206" customWidth="1"/>
    <col min="8226" max="8226" width="5.5703125" style="206" customWidth="1"/>
    <col min="8227" max="8227" width="21.140625" style="206" customWidth="1"/>
    <col min="8228" max="8228" width="11.42578125" style="206" customWidth="1"/>
    <col min="8229" max="8229" width="8" style="206" customWidth="1"/>
    <col min="8230" max="8231" width="10.140625" style="206" customWidth="1"/>
    <col min="8232" max="8450" width="2.7109375" style="206"/>
    <col min="8451" max="8451" width="4.42578125" style="206" customWidth="1"/>
    <col min="8452" max="8457" width="2.7109375" style="206"/>
    <col min="8458" max="8458" width="4.140625" style="206" customWidth="1"/>
    <col min="8459" max="8459" width="2.7109375" style="206"/>
    <col min="8460" max="8460" width="4.7109375" style="206" customWidth="1"/>
    <col min="8461" max="8461" width="2.7109375" style="206"/>
    <col min="8462" max="8462" width="3.5703125" style="206" customWidth="1"/>
    <col min="8463" max="8464" width="2.7109375" style="206"/>
    <col min="8465" max="8465" width="4.7109375" style="206" customWidth="1"/>
    <col min="8466" max="8470" width="2.7109375" style="206"/>
    <col min="8471" max="8472" width="3.42578125" style="206" customWidth="1"/>
    <col min="8473" max="8473" width="4.85546875" style="206" customWidth="1"/>
    <col min="8474" max="8474" width="2.7109375" style="206"/>
    <col min="8475" max="8475" width="4.5703125" style="206" customWidth="1"/>
    <col min="8476" max="8477" width="2.7109375" style="206"/>
    <col min="8478" max="8478" width="3.140625" style="206" customWidth="1"/>
    <col min="8479" max="8479" width="6" style="206" customWidth="1"/>
    <col min="8480" max="8480" width="3.42578125" style="206" customWidth="1"/>
    <col min="8481" max="8481" width="8.140625" style="206" customWidth="1"/>
    <col min="8482" max="8482" width="5.5703125" style="206" customWidth="1"/>
    <col min="8483" max="8483" width="21.140625" style="206" customWidth="1"/>
    <col min="8484" max="8484" width="11.42578125" style="206" customWidth="1"/>
    <col min="8485" max="8485" width="8" style="206" customWidth="1"/>
    <col min="8486" max="8487" width="10.140625" style="206" customWidth="1"/>
    <col min="8488" max="8706" width="2.7109375" style="206"/>
    <col min="8707" max="8707" width="4.42578125" style="206" customWidth="1"/>
    <col min="8708" max="8713" width="2.7109375" style="206"/>
    <col min="8714" max="8714" width="4.140625" style="206" customWidth="1"/>
    <col min="8715" max="8715" width="2.7109375" style="206"/>
    <col min="8716" max="8716" width="4.7109375" style="206" customWidth="1"/>
    <col min="8717" max="8717" width="2.7109375" style="206"/>
    <col min="8718" max="8718" width="3.5703125" style="206" customWidth="1"/>
    <col min="8719" max="8720" width="2.7109375" style="206"/>
    <col min="8721" max="8721" width="4.7109375" style="206" customWidth="1"/>
    <col min="8722" max="8726" width="2.7109375" style="206"/>
    <col min="8727" max="8728" width="3.42578125" style="206" customWidth="1"/>
    <col min="8729" max="8729" width="4.85546875" style="206" customWidth="1"/>
    <col min="8730" max="8730" width="2.7109375" style="206"/>
    <col min="8731" max="8731" width="4.5703125" style="206" customWidth="1"/>
    <col min="8732" max="8733" width="2.7109375" style="206"/>
    <col min="8734" max="8734" width="3.140625" style="206" customWidth="1"/>
    <col min="8735" max="8735" width="6" style="206" customWidth="1"/>
    <col min="8736" max="8736" width="3.42578125" style="206" customWidth="1"/>
    <col min="8737" max="8737" width="8.140625" style="206" customWidth="1"/>
    <col min="8738" max="8738" width="5.5703125" style="206" customWidth="1"/>
    <col min="8739" max="8739" width="21.140625" style="206" customWidth="1"/>
    <col min="8740" max="8740" width="11.42578125" style="206" customWidth="1"/>
    <col min="8741" max="8741" width="8" style="206" customWidth="1"/>
    <col min="8742" max="8743" width="10.140625" style="206" customWidth="1"/>
    <col min="8744" max="8962" width="2.7109375" style="206"/>
    <col min="8963" max="8963" width="4.42578125" style="206" customWidth="1"/>
    <col min="8964" max="8969" width="2.7109375" style="206"/>
    <col min="8970" max="8970" width="4.140625" style="206" customWidth="1"/>
    <col min="8971" max="8971" width="2.7109375" style="206"/>
    <col min="8972" max="8972" width="4.7109375" style="206" customWidth="1"/>
    <col min="8973" max="8973" width="2.7109375" style="206"/>
    <col min="8974" max="8974" width="3.5703125" style="206" customWidth="1"/>
    <col min="8975" max="8976" width="2.7109375" style="206"/>
    <col min="8977" max="8977" width="4.7109375" style="206" customWidth="1"/>
    <col min="8978" max="8982" width="2.7109375" style="206"/>
    <col min="8983" max="8984" width="3.42578125" style="206" customWidth="1"/>
    <col min="8985" max="8985" width="4.85546875" style="206" customWidth="1"/>
    <col min="8986" max="8986" width="2.7109375" style="206"/>
    <col min="8987" max="8987" width="4.5703125" style="206" customWidth="1"/>
    <col min="8988" max="8989" width="2.7109375" style="206"/>
    <col min="8990" max="8990" width="3.140625" style="206" customWidth="1"/>
    <col min="8991" max="8991" width="6" style="206" customWidth="1"/>
    <col min="8992" max="8992" width="3.42578125" style="206" customWidth="1"/>
    <col min="8993" max="8993" width="8.140625" style="206" customWidth="1"/>
    <col min="8994" max="8994" width="5.5703125" style="206" customWidth="1"/>
    <col min="8995" max="8995" width="21.140625" style="206" customWidth="1"/>
    <col min="8996" max="8996" width="11.42578125" style="206" customWidth="1"/>
    <col min="8997" max="8997" width="8" style="206" customWidth="1"/>
    <col min="8998" max="8999" width="10.140625" style="206" customWidth="1"/>
    <col min="9000" max="9218" width="2.7109375" style="206"/>
    <col min="9219" max="9219" width="4.42578125" style="206" customWidth="1"/>
    <col min="9220" max="9225" width="2.7109375" style="206"/>
    <col min="9226" max="9226" width="4.140625" style="206" customWidth="1"/>
    <col min="9227" max="9227" width="2.7109375" style="206"/>
    <col min="9228" max="9228" width="4.7109375" style="206" customWidth="1"/>
    <col min="9229" max="9229" width="2.7109375" style="206"/>
    <col min="9230" max="9230" width="3.5703125" style="206" customWidth="1"/>
    <col min="9231" max="9232" width="2.7109375" style="206"/>
    <col min="9233" max="9233" width="4.7109375" style="206" customWidth="1"/>
    <col min="9234" max="9238" width="2.7109375" style="206"/>
    <col min="9239" max="9240" width="3.42578125" style="206" customWidth="1"/>
    <col min="9241" max="9241" width="4.85546875" style="206" customWidth="1"/>
    <col min="9242" max="9242" width="2.7109375" style="206"/>
    <col min="9243" max="9243" width="4.5703125" style="206" customWidth="1"/>
    <col min="9244" max="9245" width="2.7109375" style="206"/>
    <col min="9246" max="9246" width="3.140625" style="206" customWidth="1"/>
    <col min="9247" max="9247" width="6" style="206" customWidth="1"/>
    <col min="9248" max="9248" width="3.42578125" style="206" customWidth="1"/>
    <col min="9249" max="9249" width="8.140625" style="206" customWidth="1"/>
    <col min="9250" max="9250" width="5.5703125" style="206" customWidth="1"/>
    <col min="9251" max="9251" width="21.140625" style="206" customWidth="1"/>
    <col min="9252" max="9252" width="11.42578125" style="206" customWidth="1"/>
    <col min="9253" max="9253" width="8" style="206" customWidth="1"/>
    <col min="9254" max="9255" width="10.140625" style="206" customWidth="1"/>
    <col min="9256" max="9474" width="2.7109375" style="206"/>
    <col min="9475" max="9475" width="4.42578125" style="206" customWidth="1"/>
    <col min="9476" max="9481" width="2.7109375" style="206"/>
    <col min="9482" max="9482" width="4.140625" style="206" customWidth="1"/>
    <col min="9483" max="9483" width="2.7109375" style="206"/>
    <col min="9484" max="9484" width="4.7109375" style="206" customWidth="1"/>
    <col min="9485" max="9485" width="2.7109375" style="206"/>
    <col min="9486" max="9486" width="3.5703125" style="206" customWidth="1"/>
    <col min="9487" max="9488" width="2.7109375" style="206"/>
    <col min="9489" max="9489" width="4.7109375" style="206" customWidth="1"/>
    <col min="9490" max="9494" width="2.7109375" style="206"/>
    <col min="9495" max="9496" width="3.42578125" style="206" customWidth="1"/>
    <col min="9497" max="9497" width="4.85546875" style="206" customWidth="1"/>
    <col min="9498" max="9498" width="2.7109375" style="206"/>
    <col min="9499" max="9499" width="4.5703125" style="206" customWidth="1"/>
    <col min="9500" max="9501" width="2.7109375" style="206"/>
    <col min="9502" max="9502" width="3.140625" style="206" customWidth="1"/>
    <col min="9503" max="9503" width="6" style="206" customWidth="1"/>
    <col min="9504" max="9504" width="3.42578125" style="206" customWidth="1"/>
    <col min="9505" max="9505" width="8.140625" style="206" customWidth="1"/>
    <col min="9506" max="9506" width="5.5703125" style="206" customWidth="1"/>
    <col min="9507" max="9507" width="21.140625" style="206" customWidth="1"/>
    <col min="9508" max="9508" width="11.42578125" style="206" customWidth="1"/>
    <col min="9509" max="9509" width="8" style="206" customWidth="1"/>
    <col min="9510" max="9511" width="10.140625" style="206" customWidth="1"/>
    <col min="9512" max="9730" width="2.7109375" style="206"/>
    <col min="9731" max="9731" width="4.42578125" style="206" customWidth="1"/>
    <col min="9732" max="9737" width="2.7109375" style="206"/>
    <col min="9738" max="9738" width="4.140625" style="206" customWidth="1"/>
    <col min="9739" max="9739" width="2.7109375" style="206"/>
    <col min="9740" max="9740" width="4.7109375" style="206" customWidth="1"/>
    <col min="9741" max="9741" width="2.7109375" style="206"/>
    <col min="9742" max="9742" width="3.5703125" style="206" customWidth="1"/>
    <col min="9743" max="9744" width="2.7109375" style="206"/>
    <col min="9745" max="9745" width="4.7109375" style="206" customWidth="1"/>
    <col min="9746" max="9750" width="2.7109375" style="206"/>
    <col min="9751" max="9752" width="3.42578125" style="206" customWidth="1"/>
    <col min="9753" max="9753" width="4.85546875" style="206" customWidth="1"/>
    <col min="9754" max="9754" width="2.7109375" style="206"/>
    <col min="9755" max="9755" width="4.5703125" style="206" customWidth="1"/>
    <col min="9756" max="9757" width="2.7109375" style="206"/>
    <col min="9758" max="9758" width="3.140625" style="206" customWidth="1"/>
    <col min="9759" max="9759" width="6" style="206" customWidth="1"/>
    <col min="9760" max="9760" width="3.42578125" style="206" customWidth="1"/>
    <col min="9761" max="9761" width="8.140625" style="206" customWidth="1"/>
    <col min="9762" max="9762" width="5.5703125" style="206" customWidth="1"/>
    <col min="9763" max="9763" width="21.140625" style="206" customWidth="1"/>
    <col min="9764" max="9764" width="11.42578125" style="206" customWidth="1"/>
    <col min="9765" max="9765" width="8" style="206" customWidth="1"/>
    <col min="9766" max="9767" width="10.140625" style="206" customWidth="1"/>
    <col min="9768" max="9986" width="2.7109375" style="206"/>
    <col min="9987" max="9987" width="4.42578125" style="206" customWidth="1"/>
    <col min="9988" max="9993" width="2.7109375" style="206"/>
    <col min="9994" max="9994" width="4.140625" style="206" customWidth="1"/>
    <col min="9995" max="9995" width="2.7109375" style="206"/>
    <col min="9996" max="9996" width="4.7109375" style="206" customWidth="1"/>
    <col min="9997" max="9997" width="2.7109375" style="206"/>
    <col min="9998" max="9998" width="3.5703125" style="206" customWidth="1"/>
    <col min="9999" max="10000" width="2.7109375" style="206"/>
    <col min="10001" max="10001" width="4.7109375" style="206" customWidth="1"/>
    <col min="10002" max="10006" width="2.7109375" style="206"/>
    <col min="10007" max="10008" width="3.42578125" style="206" customWidth="1"/>
    <col min="10009" max="10009" width="4.85546875" style="206" customWidth="1"/>
    <col min="10010" max="10010" width="2.7109375" style="206"/>
    <col min="10011" max="10011" width="4.5703125" style="206" customWidth="1"/>
    <col min="10012" max="10013" width="2.7109375" style="206"/>
    <col min="10014" max="10014" width="3.140625" style="206" customWidth="1"/>
    <col min="10015" max="10015" width="6" style="206" customWidth="1"/>
    <col min="10016" max="10016" width="3.42578125" style="206" customWidth="1"/>
    <col min="10017" max="10017" width="8.140625" style="206" customWidth="1"/>
    <col min="10018" max="10018" width="5.5703125" style="206" customWidth="1"/>
    <col min="10019" max="10019" width="21.140625" style="206" customWidth="1"/>
    <col min="10020" max="10020" width="11.42578125" style="206" customWidth="1"/>
    <col min="10021" max="10021" width="8" style="206" customWidth="1"/>
    <col min="10022" max="10023" width="10.140625" style="206" customWidth="1"/>
    <col min="10024" max="10242" width="2.7109375" style="206"/>
    <col min="10243" max="10243" width="4.42578125" style="206" customWidth="1"/>
    <col min="10244" max="10249" width="2.7109375" style="206"/>
    <col min="10250" max="10250" width="4.140625" style="206" customWidth="1"/>
    <col min="10251" max="10251" width="2.7109375" style="206"/>
    <col min="10252" max="10252" width="4.7109375" style="206" customWidth="1"/>
    <col min="10253" max="10253" width="2.7109375" style="206"/>
    <col min="10254" max="10254" width="3.5703125" style="206" customWidth="1"/>
    <col min="10255" max="10256" width="2.7109375" style="206"/>
    <col min="10257" max="10257" width="4.7109375" style="206" customWidth="1"/>
    <col min="10258" max="10262" width="2.7109375" style="206"/>
    <col min="10263" max="10264" width="3.42578125" style="206" customWidth="1"/>
    <col min="10265" max="10265" width="4.85546875" style="206" customWidth="1"/>
    <col min="10266" max="10266" width="2.7109375" style="206"/>
    <col min="10267" max="10267" width="4.5703125" style="206" customWidth="1"/>
    <col min="10268" max="10269" width="2.7109375" style="206"/>
    <col min="10270" max="10270" width="3.140625" style="206" customWidth="1"/>
    <col min="10271" max="10271" width="6" style="206" customWidth="1"/>
    <col min="10272" max="10272" width="3.42578125" style="206" customWidth="1"/>
    <col min="10273" max="10273" width="8.140625" style="206" customWidth="1"/>
    <col min="10274" max="10274" width="5.5703125" style="206" customWidth="1"/>
    <col min="10275" max="10275" width="21.140625" style="206" customWidth="1"/>
    <col min="10276" max="10276" width="11.42578125" style="206" customWidth="1"/>
    <col min="10277" max="10277" width="8" style="206" customWidth="1"/>
    <col min="10278" max="10279" width="10.140625" style="206" customWidth="1"/>
    <col min="10280" max="10498" width="2.7109375" style="206"/>
    <col min="10499" max="10499" width="4.42578125" style="206" customWidth="1"/>
    <col min="10500" max="10505" width="2.7109375" style="206"/>
    <col min="10506" max="10506" width="4.140625" style="206" customWidth="1"/>
    <col min="10507" max="10507" width="2.7109375" style="206"/>
    <col min="10508" max="10508" width="4.7109375" style="206" customWidth="1"/>
    <col min="10509" max="10509" width="2.7109375" style="206"/>
    <col min="10510" max="10510" width="3.5703125" style="206" customWidth="1"/>
    <col min="10511" max="10512" width="2.7109375" style="206"/>
    <col min="10513" max="10513" width="4.7109375" style="206" customWidth="1"/>
    <col min="10514" max="10518" width="2.7109375" style="206"/>
    <col min="10519" max="10520" width="3.42578125" style="206" customWidth="1"/>
    <col min="10521" max="10521" width="4.85546875" style="206" customWidth="1"/>
    <col min="10522" max="10522" width="2.7109375" style="206"/>
    <col min="10523" max="10523" width="4.5703125" style="206" customWidth="1"/>
    <col min="10524" max="10525" width="2.7109375" style="206"/>
    <col min="10526" max="10526" width="3.140625" style="206" customWidth="1"/>
    <col min="10527" max="10527" width="6" style="206" customWidth="1"/>
    <col min="10528" max="10528" width="3.42578125" style="206" customWidth="1"/>
    <col min="10529" max="10529" width="8.140625" style="206" customWidth="1"/>
    <col min="10530" max="10530" width="5.5703125" style="206" customWidth="1"/>
    <col min="10531" max="10531" width="21.140625" style="206" customWidth="1"/>
    <col min="10532" max="10532" width="11.42578125" style="206" customWidth="1"/>
    <col min="10533" max="10533" width="8" style="206" customWidth="1"/>
    <col min="10534" max="10535" width="10.140625" style="206" customWidth="1"/>
    <col min="10536" max="10754" width="2.7109375" style="206"/>
    <col min="10755" max="10755" width="4.42578125" style="206" customWidth="1"/>
    <col min="10756" max="10761" width="2.7109375" style="206"/>
    <col min="10762" max="10762" width="4.140625" style="206" customWidth="1"/>
    <col min="10763" max="10763" width="2.7109375" style="206"/>
    <col min="10764" max="10764" width="4.7109375" style="206" customWidth="1"/>
    <col min="10765" max="10765" width="2.7109375" style="206"/>
    <col min="10766" max="10766" width="3.5703125" style="206" customWidth="1"/>
    <col min="10767" max="10768" width="2.7109375" style="206"/>
    <col min="10769" max="10769" width="4.7109375" style="206" customWidth="1"/>
    <col min="10770" max="10774" width="2.7109375" style="206"/>
    <col min="10775" max="10776" width="3.42578125" style="206" customWidth="1"/>
    <col min="10777" max="10777" width="4.85546875" style="206" customWidth="1"/>
    <col min="10778" max="10778" width="2.7109375" style="206"/>
    <col min="10779" max="10779" width="4.5703125" style="206" customWidth="1"/>
    <col min="10780" max="10781" width="2.7109375" style="206"/>
    <col min="10782" max="10782" width="3.140625" style="206" customWidth="1"/>
    <col min="10783" max="10783" width="6" style="206" customWidth="1"/>
    <col min="10784" max="10784" width="3.42578125" style="206" customWidth="1"/>
    <col min="10785" max="10785" width="8.140625" style="206" customWidth="1"/>
    <col min="10786" max="10786" width="5.5703125" style="206" customWidth="1"/>
    <col min="10787" max="10787" width="21.140625" style="206" customWidth="1"/>
    <col min="10788" max="10788" width="11.42578125" style="206" customWidth="1"/>
    <col min="10789" max="10789" width="8" style="206" customWidth="1"/>
    <col min="10790" max="10791" width="10.140625" style="206" customWidth="1"/>
    <col min="10792" max="11010" width="2.7109375" style="206"/>
    <col min="11011" max="11011" width="4.42578125" style="206" customWidth="1"/>
    <col min="11012" max="11017" width="2.7109375" style="206"/>
    <col min="11018" max="11018" width="4.140625" style="206" customWidth="1"/>
    <col min="11019" max="11019" width="2.7109375" style="206"/>
    <col min="11020" max="11020" width="4.7109375" style="206" customWidth="1"/>
    <col min="11021" max="11021" width="2.7109375" style="206"/>
    <col min="11022" max="11022" width="3.5703125" style="206" customWidth="1"/>
    <col min="11023" max="11024" width="2.7109375" style="206"/>
    <col min="11025" max="11025" width="4.7109375" style="206" customWidth="1"/>
    <col min="11026" max="11030" width="2.7109375" style="206"/>
    <col min="11031" max="11032" width="3.42578125" style="206" customWidth="1"/>
    <col min="11033" max="11033" width="4.85546875" style="206" customWidth="1"/>
    <col min="11034" max="11034" width="2.7109375" style="206"/>
    <col min="11035" max="11035" width="4.5703125" style="206" customWidth="1"/>
    <col min="11036" max="11037" width="2.7109375" style="206"/>
    <col min="11038" max="11038" width="3.140625" style="206" customWidth="1"/>
    <col min="11039" max="11039" width="6" style="206" customWidth="1"/>
    <col min="11040" max="11040" width="3.42578125" style="206" customWidth="1"/>
    <col min="11041" max="11041" width="8.140625" style="206" customWidth="1"/>
    <col min="11042" max="11042" width="5.5703125" style="206" customWidth="1"/>
    <col min="11043" max="11043" width="21.140625" style="206" customWidth="1"/>
    <col min="11044" max="11044" width="11.42578125" style="206" customWidth="1"/>
    <col min="11045" max="11045" width="8" style="206" customWidth="1"/>
    <col min="11046" max="11047" width="10.140625" style="206" customWidth="1"/>
    <col min="11048" max="11266" width="2.7109375" style="206"/>
    <col min="11267" max="11267" width="4.42578125" style="206" customWidth="1"/>
    <col min="11268" max="11273" width="2.7109375" style="206"/>
    <col min="11274" max="11274" width="4.140625" style="206" customWidth="1"/>
    <col min="11275" max="11275" width="2.7109375" style="206"/>
    <col min="11276" max="11276" width="4.7109375" style="206" customWidth="1"/>
    <col min="11277" max="11277" width="2.7109375" style="206"/>
    <col min="11278" max="11278" width="3.5703125" style="206" customWidth="1"/>
    <col min="11279" max="11280" width="2.7109375" style="206"/>
    <col min="11281" max="11281" width="4.7109375" style="206" customWidth="1"/>
    <col min="11282" max="11286" width="2.7109375" style="206"/>
    <col min="11287" max="11288" width="3.42578125" style="206" customWidth="1"/>
    <col min="11289" max="11289" width="4.85546875" style="206" customWidth="1"/>
    <col min="11290" max="11290" width="2.7109375" style="206"/>
    <col min="11291" max="11291" width="4.5703125" style="206" customWidth="1"/>
    <col min="11292" max="11293" width="2.7109375" style="206"/>
    <col min="11294" max="11294" width="3.140625" style="206" customWidth="1"/>
    <col min="11295" max="11295" width="6" style="206" customWidth="1"/>
    <col min="11296" max="11296" width="3.42578125" style="206" customWidth="1"/>
    <col min="11297" max="11297" width="8.140625" style="206" customWidth="1"/>
    <col min="11298" max="11298" width="5.5703125" style="206" customWidth="1"/>
    <col min="11299" max="11299" width="21.140625" style="206" customWidth="1"/>
    <col min="11300" max="11300" width="11.42578125" style="206" customWidth="1"/>
    <col min="11301" max="11301" width="8" style="206" customWidth="1"/>
    <col min="11302" max="11303" width="10.140625" style="206" customWidth="1"/>
    <col min="11304" max="11522" width="2.7109375" style="206"/>
    <col min="11523" max="11523" width="4.42578125" style="206" customWidth="1"/>
    <col min="11524" max="11529" width="2.7109375" style="206"/>
    <col min="11530" max="11530" width="4.140625" style="206" customWidth="1"/>
    <col min="11531" max="11531" width="2.7109375" style="206"/>
    <col min="11532" max="11532" width="4.7109375" style="206" customWidth="1"/>
    <col min="11533" max="11533" width="2.7109375" style="206"/>
    <col min="11534" max="11534" width="3.5703125" style="206" customWidth="1"/>
    <col min="11535" max="11536" width="2.7109375" style="206"/>
    <col min="11537" max="11537" width="4.7109375" style="206" customWidth="1"/>
    <col min="11538" max="11542" width="2.7109375" style="206"/>
    <col min="11543" max="11544" width="3.42578125" style="206" customWidth="1"/>
    <col min="11545" max="11545" width="4.85546875" style="206" customWidth="1"/>
    <col min="11546" max="11546" width="2.7109375" style="206"/>
    <col min="11547" max="11547" width="4.5703125" style="206" customWidth="1"/>
    <col min="11548" max="11549" width="2.7109375" style="206"/>
    <col min="11550" max="11550" width="3.140625" style="206" customWidth="1"/>
    <col min="11551" max="11551" width="6" style="206" customWidth="1"/>
    <col min="11552" max="11552" width="3.42578125" style="206" customWidth="1"/>
    <col min="11553" max="11553" width="8.140625" style="206" customWidth="1"/>
    <col min="11554" max="11554" width="5.5703125" style="206" customWidth="1"/>
    <col min="11555" max="11555" width="21.140625" style="206" customWidth="1"/>
    <col min="11556" max="11556" width="11.42578125" style="206" customWidth="1"/>
    <col min="11557" max="11557" width="8" style="206" customWidth="1"/>
    <col min="11558" max="11559" width="10.140625" style="206" customWidth="1"/>
    <col min="11560" max="11778" width="2.7109375" style="206"/>
    <col min="11779" max="11779" width="4.42578125" style="206" customWidth="1"/>
    <col min="11780" max="11785" width="2.7109375" style="206"/>
    <col min="11786" max="11786" width="4.140625" style="206" customWidth="1"/>
    <col min="11787" max="11787" width="2.7109375" style="206"/>
    <col min="11788" max="11788" width="4.7109375" style="206" customWidth="1"/>
    <col min="11789" max="11789" width="2.7109375" style="206"/>
    <col min="11790" max="11790" width="3.5703125" style="206" customWidth="1"/>
    <col min="11791" max="11792" width="2.7109375" style="206"/>
    <col min="11793" max="11793" width="4.7109375" style="206" customWidth="1"/>
    <col min="11794" max="11798" width="2.7109375" style="206"/>
    <col min="11799" max="11800" width="3.42578125" style="206" customWidth="1"/>
    <col min="11801" max="11801" width="4.85546875" style="206" customWidth="1"/>
    <col min="11802" max="11802" width="2.7109375" style="206"/>
    <col min="11803" max="11803" width="4.5703125" style="206" customWidth="1"/>
    <col min="11804" max="11805" width="2.7109375" style="206"/>
    <col min="11806" max="11806" width="3.140625" style="206" customWidth="1"/>
    <col min="11807" max="11807" width="6" style="206" customWidth="1"/>
    <col min="11808" max="11808" width="3.42578125" style="206" customWidth="1"/>
    <col min="11809" max="11809" width="8.140625" style="206" customWidth="1"/>
    <col min="11810" max="11810" width="5.5703125" style="206" customWidth="1"/>
    <col min="11811" max="11811" width="21.140625" style="206" customWidth="1"/>
    <col min="11812" max="11812" width="11.42578125" style="206" customWidth="1"/>
    <col min="11813" max="11813" width="8" style="206" customWidth="1"/>
    <col min="11814" max="11815" width="10.140625" style="206" customWidth="1"/>
    <col min="11816" max="12034" width="2.7109375" style="206"/>
    <col min="12035" max="12035" width="4.42578125" style="206" customWidth="1"/>
    <col min="12036" max="12041" width="2.7109375" style="206"/>
    <col min="12042" max="12042" width="4.140625" style="206" customWidth="1"/>
    <col min="12043" max="12043" width="2.7109375" style="206"/>
    <col min="12044" max="12044" width="4.7109375" style="206" customWidth="1"/>
    <col min="12045" max="12045" width="2.7109375" style="206"/>
    <col min="12046" max="12046" width="3.5703125" style="206" customWidth="1"/>
    <col min="12047" max="12048" width="2.7109375" style="206"/>
    <col min="12049" max="12049" width="4.7109375" style="206" customWidth="1"/>
    <col min="12050" max="12054" width="2.7109375" style="206"/>
    <col min="12055" max="12056" width="3.42578125" style="206" customWidth="1"/>
    <col min="12057" max="12057" width="4.85546875" style="206" customWidth="1"/>
    <col min="12058" max="12058" width="2.7109375" style="206"/>
    <col min="12059" max="12059" width="4.5703125" style="206" customWidth="1"/>
    <col min="12060" max="12061" width="2.7109375" style="206"/>
    <col min="12062" max="12062" width="3.140625" style="206" customWidth="1"/>
    <col min="12063" max="12063" width="6" style="206" customWidth="1"/>
    <col min="12064" max="12064" width="3.42578125" style="206" customWidth="1"/>
    <col min="12065" max="12065" width="8.140625" style="206" customWidth="1"/>
    <col min="12066" max="12066" width="5.5703125" style="206" customWidth="1"/>
    <col min="12067" max="12067" width="21.140625" style="206" customWidth="1"/>
    <col min="12068" max="12068" width="11.42578125" style="206" customWidth="1"/>
    <col min="12069" max="12069" width="8" style="206" customWidth="1"/>
    <col min="12070" max="12071" width="10.140625" style="206" customWidth="1"/>
    <col min="12072" max="12290" width="2.7109375" style="206"/>
    <col min="12291" max="12291" width="4.42578125" style="206" customWidth="1"/>
    <col min="12292" max="12297" width="2.7109375" style="206"/>
    <col min="12298" max="12298" width="4.140625" style="206" customWidth="1"/>
    <col min="12299" max="12299" width="2.7109375" style="206"/>
    <col min="12300" max="12300" width="4.7109375" style="206" customWidth="1"/>
    <col min="12301" max="12301" width="2.7109375" style="206"/>
    <col min="12302" max="12302" width="3.5703125" style="206" customWidth="1"/>
    <col min="12303" max="12304" width="2.7109375" style="206"/>
    <col min="12305" max="12305" width="4.7109375" style="206" customWidth="1"/>
    <col min="12306" max="12310" width="2.7109375" style="206"/>
    <col min="12311" max="12312" width="3.42578125" style="206" customWidth="1"/>
    <col min="12313" max="12313" width="4.85546875" style="206" customWidth="1"/>
    <col min="12314" max="12314" width="2.7109375" style="206"/>
    <col min="12315" max="12315" width="4.5703125" style="206" customWidth="1"/>
    <col min="12316" max="12317" width="2.7109375" style="206"/>
    <col min="12318" max="12318" width="3.140625" style="206" customWidth="1"/>
    <col min="12319" max="12319" width="6" style="206" customWidth="1"/>
    <col min="12320" max="12320" width="3.42578125" style="206" customWidth="1"/>
    <col min="12321" max="12321" width="8.140625" style="206" customWidth="1"/>
    <col min="12322" max="12322" width="5.5703125" style="206" customWidth="1"/>
    <col min="12323" max="12323" width="21.140625" style="206" customWidth="1"/>
    <col min="12324" max="12324" width="11.42578125" style="206" customWidth="1"/>
    <col min="12325" max="12325" width="8" style="206" customWidth="1"/>
    <col min="12326" max="12327" width="10.140625" style="206" customWidth="1"/>
    <col min="12328" max="12546" width="2.7109375" style="206"/>
    <col min="12547" max="12547" width="4.42578125" style="206" customWidth="1"/>
    <col min="12548" max="12553" width="2.7109375" style="206"/>
    <col min="12554" max="12554" width="4.140625" style="206" customWidth="1"/>
    <col min="12555" max="12555" width="2.7109375" style="206"/>
    <col min="12556" max="12556" width="4.7109375" style="206" customWidth="1"/>
    <col min="12557" max="12557" width="2.7109375" style="206"/>
    <col min="12558" max="12558" width="3.5703125" style="206" customWidth="1"/>
    <col min="12559" max="12560" width="2.7109375" style="206"/>
    <col min="12561" max="12561" width="4.7109375" style="206" customWidth="1"/>
    <col min="12562" max="12566" width="2.7109375" style="206"/>
    <col min="12567" max="12568" width="3.42578125" style="206" customWidth="1"/>
    <col min="12569" max="12569" width="4.85546875" style="206" customWidth="1"/>
    <col min="12570" max="12570" width="2.7109375" style="206"/>
    <col min="12571" max="12571" width="4.5703125" style="206" customWidth="1"/>
    <col min="12572" max="12573" width="2.7109375" style="206"/>
    <col min="12574" max="12574" width="3.140625" style="206" customWidth="1"/>
    <col min="12575" max="12575" width="6" style="206" customWidth="1"/>
    <col min="12576" max="12576" width="3.42578125" style="206" customWidth="1"/>
    <col min="12577" max="12577" width="8.140625" style="206" customWidth="1"/>
    <col min="12578" max="12578" width="5.5703125" style="206" customWidth="1"/>
    <col min="12579" max="12579" width="21.140625" style="206" customWidth="1"/>
    <col min="12580" max="12580" width="11.42578125" style="206" customWidth="1"/>
    <col min="12581" max="12581" width="8" style="206" customWidth="1"/>
    <col min="12582" max="12583" width="10.140625" style="206" customWidth="1"/>
    <col min="12584" max="12802" width="2.7109375" style="206"/>
    <col min="12803" max="12803" width="4.42578125" style="206" customWidth="1"/>
    <col min="12804" max="12809" width="2.7109375" style="206"/>
    <col min="12810" max="12810" width="4.140625" style="206" customWidth="1"/>
    <col min="12811" max="12811" width="2.7109375" style="206"/>
    <col min="12812" max="12812" width="4.7109375" style="206" customWidth="1"/>
    <col min="12813" max="12813" width="2.7109375" style="206"/>
    <col min="12814" max="12814" width="3.5703125" style="206" customWidth="1"/>
    <col min="12815" max="12816" width="2.7109375" style="206"/>
    <col min="12817" max="12817" width="4.7109375" style="206" customWidth="1"/>
    <col min="12818" max="12822" width="2.7109375" style="206"/>
    <col min="12823" max="12824" width="3.42578125" style="206" customWidth="1"/>
    <col min="12825" max="12825" width="4.85546875" style="206" customWidth="1"/>
    <col min="12826" max="12826" width="2.7109375" style="206"/>
    <col min="12827" max="12827" width="4.5703125" style="206" customWidth="1"/>
    <col min="12828" max="12829" width="2.7109375" style="206"/>
    <col min="12830" max="12830" width="3.140625" style="206" customWidth="1"/>
    <col min="12831" max="12831" width="6" style="206" customWidth="1"/>
    <col min="12832" max="12832" width="3.42578125" style="206" customWidth="1"/>
    <col min="12833" max="12833" width="8.140625" style="206" customWidth="1"/>
    <col min="12834" max="12834" width="5.5703125" style="206" customWidth="1"/>
    <col min="12835" max="12835" width="21.140625" style="206" customWidth="1"/>
    <col min="12836" max="12836" width="11.42578125" style="206" customWidth="1"/>
    <col min="12837" max="12837" width="8" style="206" customWidth="1"/>
    <col min="12838" max="12839" width="10.140625" style="206" customWidth="1"/>
    <col min="12840" max="13058" width="2.7109375" style="206"/>
    <col min="13059" max="13059" width="4.42578125" style="206" customWidth="1"/>
    <col min="13060" max="13065" width="2.7109375" style="206"/>
    <col min="13066" max="13066" width="4.140625" style="206" customWidth="1"/>
    <col min="13067" max="13067" width="2.7109375" style="206"/>
    <col min="13068" max="13068" width="4.7109375" style="206" customWidth="1"/>
    <col min="13069" max="13069" width="2.7109375" style="206"/>
    <col min="13070" max="13070" width="3.5703125" style="206" customWidth="1"/>
    <col min="13071" max="13072" width="2.7109375" style="206"/>
    <col min="13073" max="13073" width="4.7109375" style="206" customWidth="1"/>
    <col min="13074" max="13078" width="2.7109375" style="206"/>
    <col min="13079" max="13080" width="3.42578125" style="206" customWidth="1"/>
    <col min="13081" max="13081" width="4.85546875" style="206" customWidth="1"/>
    <col min="13082" max="13082" width="2.7109375" style="206"/>
    <col min="13083" max="13083" width="4.5703125" style="206" customWidth="1"/>
    <col min="13084" max="13085" width="2.7109375" style="206"/>
    <col min="13086" max="13086" width="3.140625" style="206" customWidth="1"/>
    <col min="13087" max="13087" width="6" style="206" customWidth="1"/>
    <col min="13088" max="13088" width="3.42578125" style="206" customWidth="1"/>
    <col min="13089" max="13089" width="8.140625" style="206" customWidth="1"/>
    <col min="13090" max="13090" width="5.5703125" style="206" customWidth="1"/>
    <col min="13091" max="13091" width="21.140625" style="206" customWidth="1"/>
    <col min="13092" max="13092" width="11.42578125" style="206" customWidth="1"/>
    <col min="13093" max="13093" width="8" style="206" customWidth="1"/>
    <col min="13094" max="13095" width="10.140625" style="206" customWidth="1"/>
    <col min="13096" max="13314" width="2.7109375" style="206"/>
    <col min="13315" max="13315" width="4.42578125" style="206" customWidth="1"/>
    <col min="13316" max="13321" width="2.7109375" style="206"/>
    <col min="13322" max="13322" width="4.140625" style="206" customWidth="1"/>
    <col min="13323" max="13323" width="2.7109375" style="206"/>
    <col min="13324" max="13324" width="4.7109375" style="206" customWidth="1"/>
    <col min="13325" max="13325" width="2.7109375" style="206"/>
    <col min="13326" max="13326" width="3.5703125" style="206" customWidth="1"/>
    <col min="13327" max="13328" width="2.7109375" style="206"/>
    <col min="13329" max="13329" width="4.7109375" style="206" customWidth="1"/>
    <col min="13330" max="13334" width="2.7109375" style="206"/>
    <col min="13335" max="13336" width="3.42578125" style="206" customWidth="1"/>
    <col min="13337" max="13337" width="4.85546875" style="206" customWidth="1"/>
    <col min="13338" max="13338" width="2.7109375" style="206"/>
    <col min="13339" max="13339" width="4.5703125" style="206" customWidth="1"/>
    <col min="13340" max="13341" width="2.7109375" style="206"/>
    <col min="13342" max="13342" width="3.140625" style="206" customWidth="1"/>
    <col min="13343" max="13343" width="6" style="206" customWidth="1"/>
    <col min="13344" max="13344" width="3.42578125" style="206" customWidth="1"/>
    <col min="13345" max="13345" width="8.140625" style="206" customWidth="1"/>
    <col min="13346" max="13346" width="5.5703125" style="206" customWidth="1"/>
    <col min="13347" max="13347" width="21.140625" style="206" customWidth="1"/>
    <col min="13348" max="13348" width="11.42578125" style="206" customWidth="1"/>
    <col min="13349" max="13349" width="8" style="206" customWidth="1"/>
    <col min="13350" max="13351" width="10.140625" style="206" customWidth="1"/>
    <col min="13352" max="13570" width="2.7109375" style="206"/>
    <col min="13571" max="13571" width="4.42578125" style="206" customWidth="1"/>
    <col min="13572" max="13577" width="2.7109375" style="206"/>
    <col min="13578" max="13578" width="4.140625" style="206" customWidth="1"/>
    <col min="13579" max="13579" width="2.7109375" style="206"/>
    <col min="13580" max="13580" width="4.7109375" style="206" customWidth="1"/>
    <col min="13581" max="13581" width="2.7109375" style="206"/>
    <col min="13582" max="13582" width="3.5703125" style="206" customWidth="1"/>
    <col min="13583" max="13584" width="2.7109375" style="206"/>
    <col min="13585" max="13585" width="4.7109375" style="206" customWidth="1"/>
    <col min="13586" max="13590" width="2.7109375" style="206"/>
    <col min="13591" max="13592" width="3.42578125" style="206" customWidth="1"/>
    <col min="13593" max="13593" width="4.85546875" style="206" customWidth="1"/>
    <col min="13594" max="13594" width="2.7109375" style="206"/>
    <col min="13595" max="13595" width="4.5703125" style="206" customWidth="1"/>
    <col min="13596" max="13597" width="2.7109375" style="206"/>
    <col min="13598" max="13598" width="3.140625" style="206" customWidth="1"/>
    <col min="13599" max="13599" width="6" style="206" customWidth="1"/>
    <col min="13600" max="13600" width="3.42578125" style="206" customWidth="1"/>
    <col min="13601" max="13601" width="8.140625" style="206" customWidth="1"/>
    <col min="13602" max="13602" width="5.5703125" style="206" customWidth="1"/>
    <col min="13603" max="13603" width="21.140625" style="206" customWidth="1"/>
    <col min="13604" max="13604" width="11.42578125" style="206" customWidth="1"/>
    <col min="13605" max="13605" width="8" style="206" customWidth="1"/>
    <col min="13606" max="13607" width="10.140625" style="206" customWidth="1"/>
    <col min="13608" max="13826" width="2.7109375" style="206"/>
    <col min="13827" max="13827" width="4.42578125" style="206" customWidth="1"/>
    <col min="13828" max="13833" width="2.7109375" style="206"/>
    <col min="13834" max="13834" width="4.140625" style="206" customWidth="1"/>
    <col min="13835" max="13835" width="2.7109375" style="206"/>
    <col min="13836" max="13836" width="4.7109375" style="206" customWidth="1"/>
    <col min="13837" max="13837" width="2.7109375" style="206"/>
    <col min="13838" max="13838" width="3.5703125" style="206" customWidth="1"/>
    <col min="13839" max="13840" width="2.7109375" style="206"/>
    <col min="13841" max="13841" width="4.7109375" style="206" customWidth="1"/>
    <col min="13842" max="13846" width="2.7109375" style="206"/>
    <col min="13847" max="13848" width="3.42578125" style="206" customWidth="1"/>
    <col min="13849" max="13849" width="4.85546875" style="206" customWidth="1"/>
    <col min="13850" max="13850" width="2.7109375" style="206"/>
    <col min="13851" max="13851" width="4.5703125" style="206" customWidth="1"/>
    <col min="13852" max="13853" width="2.7109375" style="206"/>
    <col min="13854" max="13854" width="3.140625" style="206" customWidth="1"/>
    <col min="13855" max="13855" width="6" style="206" customWidth="1"/>
    <col min="13856" max="13856" width="3.42578125" style="206" customWidth="1"/>
    <col min="13857" max="13857" width="8.140625" style="206" customWidth="1"/>
    <col min="13858" max="13858" width="5.5703125" style="206" customWidth="1"/>
    <col min="13859" max="13859" width="21.140625" style="206" customWidth="1"/>
    <col min="13860" max="13860" width="11.42578125" style="206" customWidth="1"/>
    <col min="13861" max="13861" width="8" style="206" customWidth="1"/>
    <col min="13862" max="13863" width="10.140625" style="206" customWidth="1"/>
    <col min="13864" max="14082" width="2.7109375" style="206"/>
    <col min="14083" max="14083" width="4.42578125" style="206" customWidth="1"/>
    <col min="14084" max="14089" width="2.7109375" style="206"/>
    <col min="14090" max="14090" width="4.140625" style="206" customWidth="1"/>
    <col min="14091" max="14091" width="2.7109375" style="206"/>
    <col min="14092" max="14092" width="4.7109375" style="206" customWidth="1"/>
    <col min="14093" max="14093" width="2.7109375" style="206"/>
    <col min="14094" max="14094" width="3.5703125" style="206" customWidth="1"/>
    <col min="14095" max="14096" width="2.7109375" style="206"/>
    <col min="14097" max="14097" width="4.7109375" style="206" customWidth="1"/>
    <col min="14098" max="14102" width="2.7109375" style="206"/>
    <col min="14103" max="14104" width="3.42578125" style="206" customWidth="1"/>
    <col min="14105" max="14105" width="4.85546875" style="206" customWidth="1"/>
    <col min="14106" max="14106" width="2.7109375" style="206"/>
    <col min="14107" max="14107" width="4.5703125" style="206" customWidth="1"/>
    <col min="14108" max="14109" width="2.7109375" style="206"/>
    <col min="14110" max="14110" width="3.140625" style="206" customWidth="1"/>
    <col min="14111" max="14111" width="6" style="206" customWidth="1"/>
    <col min="14112" max="14112" width="3.42578125" style="206" customWidth="1"/>
    <col min="14113" max="14113" width="8.140625" style="206" customWidth="1"/>
    <col min="14114" max="14114" width="5.5703125" style="206" customWidth="1"/>
    <col min="14115" max="14115" width="21.140625" style="206" customWidth="1"/>
    <col min="14116" max="14116" width="11.42578125" style="206" customWidth="1"/>
    <col min="14117" max="14117" width="8" style="206" customWidth="1"/>
    <col min="14118" max="14119" width="10.140625" style="206" customWidth="1"/>
    <col min="14120" max="14338" width="2.7109375" style="206"/>
    <col min="14339" max="14339" width="4.42578125" style="206" customWidth="1"/>
    <col min="14340" max="14345" width="2.7109375" style="206"/>
    <col min="14346" max="14346" width="4.140625" style="206" customWidth="1"/>
    <col min="14347" max="14347" width="2.7109375" style="206"/>
    <col min="14348" max="14348" width="4.7109375" style="206" customWidth="1"/>
    <col min="14349" max="14349" width="2.7109375" style="206"/>
    <col min="14350" max="14350" width="3.5703125" style="206" customWidth="1"/>
    <col min="14351" max="14352" width="2.7109375" style="206"/>
    <col min="14353" max="14353" width="4.7109375" style="206" customWidth="1"/>
    <col min="14354" max="14358" width="2.7109375" style="206"/>
    <col min="14359" max="14360" width="3.42578125" style="206" customWidth="1"/>
    <col min="14361" max="14361" width="4.85546875" style="206" customWidth="1"/>
    <col min="14362" max="14362" width="2.7109375" style="206"/>
    <col min="14363" max="14363" width="4.5703125" style="206" customWidth="1"/>
    <col min="14364" max="14365" width="2.7109375" style="206"/>
    <col min="14366" max="14366" width="3.140625" style="206" customWidth="1"/>
    <col min="14367" max="14367" width="6" style="206" customWidth="1"/>
    <col min="14368" max="14368" width="3.42578125" style="206" customWidth="1"/>
    <col min="14369" max="14369" width="8.140625" style="206" customWidth="1"/>
    <col min="14370" max="14370" width="5.5703125" style="206" customWidth="1"/>
    <col min="14371" max="14371" width="21.140625" style="206" customWidth="1"/>
    <col min="14372" max="14372" width="11.42578125" style="206" customWidth="1"/>
    <col min="14373" max="14373" width="8" style="206" customWidth="1"/>
    <col min="14374" max="14375" width="10.140625" style="206" customWidth="1"/>
    <col min="14376" max="14594" width="2.7109375" style="206"/>
    <col min="14595" max="14595" width="4.42578125" style="206" customWidth="1"/>
    <col min="14596" max="14601" width="2.7109375" style="206"/>
    <col min="14602" max="14602" width="4.140625" style="206" customWidth="1"/>
    <col min="14603" max="14603" width="2.7109375" style="206"/>
    <col min="14604" max="14604" width="4.7109375" style="206" customWidth="1"/>
    <col min="14605" max="14605" width="2.7109375" style="206"/>
    <col min="14606" max="14606" width="3.5703125" style="206" customWidth="1"/>
    <col min="14607" max="14608" width="2.7109375" style="206"/>
    <col min="14609" max="14609" width="4.7109375" style="206" customWidth="1"/>
    <col min="14610" max="14614" width="2.7109375" style="206"/>
    <col min="14615" max="14616" width="3.42578125" style="206" customWidth="1"/>
    <col min="14617" max="14617" width="4.85546875" style="206" customWidth="1"/>
    <col min="14618" max="14618" width="2.7109375" style="206"/>
    <col min="14619" max="14619" width="4.5703125" style="206" customWidth="1"/>
    <col min="14620" max="14621" width="2.7109375" style="206"/>
    <col min="14622" max="14622" width="3.140625" style="206" customWidth="1"/>
    <col min="14623" max="14623" width="6" style="206" customWidth="1"/>
    <col min="14624" max="14624" width="3.42578125" style="206" customWidth="1"/>
    <col min="14625" max="14625" width="8.140625" style="206" customWidth="1"/>
    <col min="14626" max="14626" width="5.5703125" style="206" customWidth="1"/>
    <col min="14627" max="14627" width="21.140625" style="206" customWidth="1"/>
    <col min="14628" max="14628" width="11.42578125" style="206" customWidth="1"/>
    <col min="14629" max="14629" width="8" style="206" customWidth="1"/>
    <col min="14630" max="14631" width="10.140625" style="206" customWidth="1"/>
    <col min="14632" max="14850" width="2.7109375" style="206"/>
    <col min="14851" max="14851" width="4.42578125" style="206" customWidth="1"/>
    <col min="14852" max="14857" width="2.7109375" style="206"/>
    <col min="14858" max="14858" width="4.140625" style="206" customWidth="1"/>
    <col min="14859" max="14859" width="2.7109375" style="206"/>
    <col min="14860" max="14860" width="4.7109375" style="206" customWidth="1"/>
    <col min="14861" max="14861" width="2.7109375" style="206"/>
    <col min="14862" max="14862" width="3.5703125" style="206" customWidth="1"/>
    <col min="14863" max="14864" width="2.7109375" style="206"/>
    <col min="14865" max="14865" width="4.7109375" style="206" customWidth="1"/>
    <col min="14866" max="14870" width="2.7109375" style="206"/>
    <col min="14871" max="14872" width="3.42578125" style="206" customWidth="1"/>
    <col min="14873" max="14873" width="4.85546875" style="206" customWidth="1"/>
    <col min="14874" max="14874" width="2.7109375" style="206"/>
    <col min="14875" max="14875" width="4.5703125" style="206" customWidth="1"/>
    <col min="14876" max="14877" width="2.7109375" style="206"/>
    <col min="14878" max="14878" width="3.140625" style="206" customWidth="1"/>
    <col min="14879" max="14879" width="6" style="206" customWidth="1"/>
    <col min="14880" max="14880" width="3.42578125" style="206" customWidth="1"/>
    <col min="14881" max="14881" width="8.140625" style="206" customWidth="1"/>
    <col min="14882" max="14882" width="5.5703125" style="206" customWidth="1"/>
    <col min="14883" max="14883" width="21.140625" style="206" customWidth="1"/>
    <col min="14884" max="14884" width="11.42578125" style="206" customWidth="1"/>
    <col min="14885" max="14885" width="8" style="206" customWidth="1"/>
    <col min="14886" max="14887" width="10.140625" style="206" customWidth="1"/>
    <col min="14888" max="15106" width="2.7109375" style="206"/>
    <col min="15107" max="15107" width="4.42578125" style="206" customWidth="1"/>
    <col min="15108" max="15113" width="2.7109375" style="206"/>
    <col min="15114" max="15114" width="4.140625" style="206" customWidth="1"/>
    <col min="15115" max="15115" width="2.7109375" style="206"/>
    <col min="15116" max="15116" width="4.7109375" style="206" customWidth="1"/>
    <col min="15117" max="15117" width="2.7109375" style="206"/>
    <col min="15118" max="15118" width="3.5703125" style="206" customWidth="1"/>
    <col min="15119" max="15120" width="2.7109375" style="206"/>
    <col min="15121" max="15121" width="4.7109375" style="206" customWidth="1"/>
    <col min="15122" max="15126" width="2.7109375" style="206"/>
    <col min="15127" max="15128" width="3.42578125" style="206" customWidth="1"/>
    <col min="15129" max="15129" width="4.85546875" style="206" customWidth="1"/>
    <col min="15130" max="15130" width="2.7109375" style="206"/>
    <col min="15131" max="15131" width="4.5703125" style="206" customWidth="1"/>
    <col min="15132" max="15133" width="2.7109375" style="206"/>
    <col min="15134" max="15134" width="3.140625" style="206" customWidth="1"/>
    <col min="15135" max="15135" width="6" style="206" customWidth="1"/>
    <col min="15136" max="15136" width="3.42578125" style="206" customWidth="1"/>
    <col min="15137" max="15137" width="8.140625" style="206" customWidth="1"/>
    <col min="15138" max="15138" width="5.5703125" style="206" customWidth="1"/>
    <col min="15139" max="15139" width="21.140625" style="206" customWidth="1"/>
    <col min="15140" max="15140" width="11.42578125" style="206" customWidth="1"/>
    <col min="15141" max="15141" width="8" style="206" customWidth="1"/>
    <col min="15142" max="15143" width="10.140625" style="206" customWidth="1"/>
    <col min="15144" max="15362" width="2.7109375" style="206"/>
    <col min="15363" max="15363" width="4.42578125" style="206" customWidth="1"/>
    <col min="15364" max="15369" width="2.7109375" style="206"/>
    <col min="15370" max="15370" width="4.140625" style="206" customWidth="1"/>
    <col min="15371" max="15371" width="2.7109375" style="206"/>
    <col min="15372" max="15372" width="4.7109375" style="206" customWidth="1"/>
    <col min="15373" max="15373" width="2.7109375" style="206"/>
    <col min="15374" max="15374" width="3.5703125" style="206" customWidth="1"/>
    <col min="15375" max="15376" width="2.7109375" style="206"/>
    <col min="15377" max="15377" width="4.7109375" style="206" customWidth="1"/>
    <col min="15378" max="15382" width="2.7109375" style="206"/>
    <col min="15383" max="15384" width="3.42578125" style="206" customWidth="1"/>
    <col min="15385" max="15385" width="4.85546875" style="206" customWidth="1"/>
    <col min="15386" max="15386" width="2.7109375" style="206"/>
    <col min="15387" max="15387" width="4.5703125" style="206" customWidth="1"/>
    <col min="15388" max="15389" width="2.7109375" style="206"/>
    <col min="15390" max="15390" width="3.140625" style="206" customWidth="1"/>
    <col min="15391" max="15391" width="6" style="206" customWidth="1"/>
    <col min="15392" max="15392" width="3.42578125" style="206" customWidth="1"/>
    <col min="15393" max="15393" width="8.140625" style="206" customWidth="1"/>
    <col min="15394" max="15394" width="5.5703125" style="206" customWidth="1"/>
    <col min="15395" max="15395" width="21.140625" style="206" customWidth="1"/>
    <col min="15396" max="15396" width="11.42578125" style="206" customWidth="1"/>
    <col min="15397" max="15397" width="8" style="206" customWidth="1"/>
    <col min="15398" max="15399" width="10.140625" style="206" customWidth="1"/>
    <col min="15400" max="15618" width="2.7109375" style="206"/>
    <col min="15619" max="15619" width="4.42578125" style="206" customWidth="1"/>
    <col min="15620" max="15625" width="2.7109375" style="206"/>
    <col min="15626" max="15626" width="4.140625" style="206" customWidth="1"/>
    <col min="15627" max="15627" width="2.7109375" style="206"/>
    <col min="15628" max="15628" width="4.7109375" style="206" customWidth="1"/>
    <col min="15629" max="15629" width="2.7109375" style="206"/>
    <col min="15630" max="15630" width="3.5703125" style="206" customWidth="1"/>
    <col min="15631" max="15632" width="2.7109375" style="206"/>
    <col min="15633" max="15633" width="4.7109375" style="206" customWidth="1"/>
    <col min="15634" max="15638" width="2.7109375" style="206"/>
    <col min="15639" max="15640" width="3.42578125" style="206" customWidth="1"/>
    <col min="15641" max="15641" width="4.85546875" style="206" customWidth="1"/>
    <col min="15642" max="15642" width="2.7109375" style="206"/>
    <col min="15643" max="15643" width="4.5703125" style="206" customWidth="1"/>
    <col min="15644" max="15645" width="2.7109375" style="206"/>
    <col min="15646" max="15646" width="3.140625" style="206" customWidth="1"/>
    <col min="15647" max="15647" width="6" style="206" customWidth="1"/>
    <col min="15648" max="15648" width="3.42578125" style="206" customWidth="1"/>
    <col min="15649" max="15649" width="8.140625" style="206" customWidth="1"/>
    <col min="15650" max="15650" width="5.5703125" style="206" customWidth="1"/>
    <col min="15651" max="15651" width="21.140625" style="206" customWidth="1"/>
    <col min="15652" max="15652" width="11.42578125" style="206" customWidth="1"/>
    <col min="15653" max="15653" width="8" style="206" customWidth="1"/>
    <col min="15654" max="15655" width="10.140625" style="206" customWidth="1"/>
    <col min="15656" max="15874" width="2.7109375" style="206"/>
    <col min="15875" max="15875" width="4.42578125" style="206" customWidth="1"/>
    <col min="15876" max="15881" width="2.7109375" style="206"/>
    <col min="15882" max="15882" width="4.140625" style="206" customWidth="1"/>
    <col min="15883" max="15883" width="2.7109375" style="206"/>
    <col min="15884" max="15884" width="4.7109375" style="206" customWidth="1"/>
    <col min="15885" max="15885" width="2.7109375" style="206"/>
    <col min="15886" max="15886" width="3.5703125" style="206" customWidth="1"/>
    <col min="15887" max="15888" width="2.7109375" style="206"/>
    <col min="15889" max="15889" width="4.7109375" style="206" customWidth="1"/>
    <col min="15890" max="15894" width="2.7109375" style="206"/>
    <col min="15895" max="15896" width="3.42578125" style="206" customWidth="1"/>
    <col min="15897" max="15897" width="4.85546875" style="206" customWidth="1"/>
    <col min="15898" max="15898" width="2.7109375" style="206"/>
    <col min="15899" max="15899" width="4.5703125" style="206" customWidth="1"/>
    <col min="15900" max="15901" width="2.7109375" style="206"/>
    <col min="15902" max="15902" width="3.140625" style="206" customWidth="1"/>
    <col min="15903" max="15903" width="6" style="206" customWidth="1"/>
    <col min="15904" max="15904" width="3.42578125" style="206" customWidth="1"/>
    <col min="15905" max="15905" width="8.140625" style="206" customWidth="1"/>
    <col min="15906" max="15906" width="5.5703125" style="206" customWidth="1"/>
    <col min="15907" max="15907" width="21.140625" style="206" customWidth="1"/>
    <col min="15908" max="15908" width="11.42578125" style="206" customWidth="1"/>
    <col min="15909" max="15909" width="8" style="206" customWidth="1"/>
    <col min="15910" max="15911" width="10.140625" style="206" customWidth="1"/>
    <col min="15912" max="16130" width="2.7109375" style="206"/>
    <col min="16131" max="16131" width="4.42578125" style="206" customWidth="1"/>
    <col min="16132" max="16137" width="2.7109375" style="206"/>
    <col min="16138" max="16138" width="4.140625" style="206" customWidth="1"/>
    <col min="16139" max="16139" width="2.7109375" style="206"/>
    <col min="16140" max="16140" width="4.7109375" style="206" customWidth="1"/>
    <col min="16141" max="16141" width="2.7109375" style="206"/>
    <col min="16142" max="16142" width="3.5703125" style="206" customWidth="1"/>
    <col min="16143" max="16144" width="2.7109375" style="206"/>
    <col min="16145" max="16145" width="4.7109375" style="206" customWidth="1"/>
    <col min="16146" max="16150" width="2.7109375" style="206"/>
    <col min="16151" max="16152" width="3.42578125" style="206" customWidth="1"/>
    <col min="16153" max="16153" width="4.85546875" style="206" customWidth="1"/>
    <col min="16154" max="16154" width="2.7109375" style="206"/>
    <col min="16155" max="16155" width="4.5703125" style="206" customWidth="1"/>
    <col min="16156" max="16157" width="2.7109375" style="206"/>
    <col min="16158" max="16158" width="3.140625" style="206" customWidth="1"/>
    <col min="16159" max="16159" width="6" style="206" customWidth="1"/>
    <col min="16160" max="16160" width="3.42578125" style="206" customWidth="1"/>
    <col min="16161" max="16161" width="8.140625" style="206" customWidth="1"/>
    <col min="16162" max="16162" width="5.5703125" style="206" customWidth="1"/>
    <col min="16163" max="16163" width="21.140625" style="206" customWidth="1"/>
    <col min="16164" max="16164" width="11.42578125" style="206" customWidth="1"/>
    <col min="16165" max="16165" width="8" style="206" customWidth="1"/>
    <col min="16166" max="16167" width="10.140625" style="206" customWidth="1"/>
    <col min="16168" max="16384" width="2.7109375" style="206"/>
  </cols>
  <sheetData>
    <row r="1" spans="1:56" ht="14.25" customHeight="1" thickBot="1" x14ac:dyDescent="0.3"/>
    <row r="2" spans="1:56" ht="48" customHeight="1" thickBot="1" x14ac:dyDescent="0.3">
      <c r="A2" s="1062"/>
      <c r="B2" s="1063"/>
      <c r="C2" s="1063"/>
      <c r="D2" s="1063"/>
      <c r="E2" s="1063"/>
      <c r="F2" s="1063"/>
      <c r="G2" s="1063"/>
      <c r="H2" s="1063"/>
      <c r="I2" s="1064"/>
      <c r="J2" s="1028" t="str">
        <f>[6]Clasificación!$I$2</f>
        <v>LABORATORIO DE SUELOS Y MATERIALES "UNIVO"</v>
      </c>
      <c r="K2" s="1029"/>
      <c r="L2" s="1029"/>
      <c r="M2" s="1029"/>
      <c r="N2" s="1029"/>
      <c r="O2" s="1029"/>
      <c r="P2" s="1029"/>
      <c r="Q2" s="1029"/>
      <c r="R2" s="1029"/>
      <c r="S2" s="1029"/>
      <c r="T2" s="1029"/>
      <c r="U2" s="1029"/>
      <c r="V2" s="1029"/>
      <c r="W2" s="1029"/>
      <c r="X2" s="1029"/>
      <c r="Y2" s="1029"/>
      <c r="Z2" s="1029"/>
      <c r="AA2" s="1029"/>
      <c r="AB2" s="1029"/>
      <c r="AC2" s="1029"/>
      <c r="AD2" s="1029"/>
      <c r="AE2" s="1030"/>
    </row>
    <row r="3" spans="1:56" s="210" customFormat="1" ht="42" customHeight="1" thickBot="1" x14ac:dyDescent="0.3">
      <c r="A3" s="1065"/>
      <c r="B3" s="1066"/>
      <c r="C3" s="1066"/>
      <c r="D3" s="1066"/>
      <c r="E3" s="1066"/>
      <c r="F3" s="1066"/>
      <c r="G3" s="1066"/>
      <c r="H3" s="1066"/>
      <c r="I3" s="1067"/>
      <c r="J3" s="1031" t="s">
        <v>263</v>
      </c>
      <c r="K3" s="1032"/>
      <c r="L3" s="1032"/>
      <c r="M3" s="1032"/>
      <c r="N3" s="1032"/>
      <c r="O3" s="1032"/>
      <c r="P3" s="1032"/>
      <c r="Q3" s="1032"/>
      <c r="R3" s="1032"/>
      <c r="S3" s="1032"/>
      <c r="T3" s="1032"/>
      <c r="U3" s="1032"/>
      <c r="V3" s="1032"/>
      <c r="W3" s="1032"/>
      <c r="X3" s="1032"/>
      <c r="Y3" s="1032"/>
      <c r="Z3" s="1032"/>
      <c r="AA3" s="1032"/>
      <c r="AB3" s="1032"/>
      <c r="AC3" s="1032"/>
      <c r="AD3" s="1032"/>
      <c r="AE3" s="1033"/>
      <c r="AF3" s="208"/>
      <c r="AG3" s="209" t="s">
        <v>174</v>
      </c>
      <c r="AH3" s="207" t="s">
        <v>175</v>
      </c>
      <c r="AI3" s="207"/>
      <c r="AJ3" s="62"/>
      <c r="AK3" s="62"/>
      <c r="AL3" s="62"/>
    </row>
    <row r="4" spans="1:56" s="213" customFormat="1" ht="60" customHeight="1" x14ac:dyDescent="0.2">
      <c r="A4" s="1034" t="s">
        <v>0</v>
      </c>
      <c r="B4" s="1035"/>
      <c r="C4" s="1035"/>
      <c r="D4" s="211"/>
      <c r="E4" s="1036">
        <f>Granulometría!E4</f>
        <v>0</v>
      </c>
      <c r="F4" s="1036"/>
      <c r="G4" s="1036"/>
      <c r="H4" s="1036"/>
      <c r="I4" s="1036"/>
      <c r="J4" s="1036"/>
      <c r="K4" s="1036"/>
      <c r="L4" s="1036"/>
      <c r="M4" s="1036"/>
      <c r="N4" s="1036"/>
      <c r="O4" s="1036"/>
      <c r="P4" s="1036"/>
      <c r="Q4" s="1036"/>
      <c r="R4" s="1036"/>
      <c r="S4" s="1036"/>
      <c r="T4" s="1036"/>
      <c r="U4" s="1036"/>
      <c r="V4" s="1036"/>
      <c r="W4" s="1036"/>
      <c r="X4" s="1036"/>
      <c r="Y4" s="1036"/>
      <c r="Z4" s="1036"/>
      <c r="AA4" s="1036"/>
      <c r="AB4" s="1036"/>
      <c r="AC4" s="1036"/>
      <c r="AD4" s="1036"/>
      <c r="AE4" s="1037"/>
      <c r="AF4" s="212"/>
      <c r="AH4" s="214"/>
      <c r="AI4" s="58"/>
    </row>
    <row r="5" spans="1:56" s="213" customFormat="1" ht="18.600000000000001" customHeight="1" x14ac:dyDescent="0.2">
      <c r="A5" s="1452" t="s">
        <v>7</v>
      </c>
      <c r="B5" s="1453"/>
      <c r="C5" s="1453"/>
      <c r="D5" s="1453"/>
      <c r="E5" s="1048">
        <f>Granulometría!E5</f>
        <v>0</v>
      </c>
      <c r="F5" s="1048"/>
      <c r="G5" s="1048"/>
      <c r="H5" s="1048"/>
      <c r="I5" s="1048"/>
      <c r="J5" s="1048"/>
      <c r="K5" s="1048"/>
      <c r="L5" s="1048"/>
      <c r="M5" s="1048"/>
      <c r="N5" s="1048"/>
      <c r="O5" s="1048"/>
      <c r="P5" s="1048"/>
      <c r="Q5" s="1048"/>
      <c r="R5" s="1048"/>
      <c r="S5" s="1048"/>
      <c r="T5" s="1048"/>
      <c r="U5" s="1048"/>
      <c r="V5" s="1048"/>
      <c r="W5" s="1048"/>
      <c r="X5" s="1048"/>
      <c r="Y5" s="1048"/>
      <c r="Z5" s="1048"/>
      <c r="AA5" s="1048"/>
      <c r="AB5" s="1048"/>
      <c r="AC5" s="1048"/>
      <c r="AD5" s="1048"/>
      <c r="AE5" s="1049"/>
      <c r="AF5" s="212"/>
      <c r="AI5" s="58"/>
    </row>
    <row r="6" spans="1:56" s="213" customFormat="1" ht="20.45" customHeight="1" x14ac:dyDescent="0.2">
      <c r="A6" s="661" t="s">
        <v>82</v>
      </c>
      <c r="B6" s="662"/>
      <c r="C6" s="662"/>
      <c r="D6" s="663"/>
      <c r="E6" s="1050" t="s">
        <v>8</v>
      </c>
      <c r="F6" s="1051"/>
      <c r="G6" s="1051"/>
      <c r="H6" s="1051"/>
      <c r="I6" s="1051"/>
      <c r="J6" s="1051"/>
      <c r="K6" s="1051"/>
      <c r="L6" s="1371" t="str">
        <f>CONCATENATE("MEZCLA DE 3.50% DE CEMENTO ASTM C 1157 TIPO GU NOVACEM CON MATERIAL DE ",Granulometría!M6)</f>
        <v xml:space="preserve">MEZCLA DE 3.50% DE CEMENTO ASTM C 1157 TIPO GU NOVACEM CON MATERIAL DE </v>
      </c>
      <c r="M6" s="1371"/>
      <c r="N6" s="1371"/>
      <c r="O6" s="1371"/>
      <c r="P6" s="1371"/>
      <c r="Q6" s="1371"/>
      <c r="R6" s="1371"/>
      <c r="S6" s="1371"/>
      <c r="T6" s="1371"/>
      <c r="U6" s="1371"/>
      <c r="V6" s="1371"/>
      <c r="W6" s="1371"/>
      <c r="X6" s="1371"/>
      <c r="Y6" s="1055" t="s">
        <v>83</v>
      </c>
      <c r="Z6" s="1055"/>
      <c r="AA6" s="1055"/>
      <c r="AB6" s="1056"/>
      <c r="AC6" s="1057"/>
      <c r="AD6" s="1057"/>
      <c r="AE6" s="1058"/>
      <c r="AF6" s="215"/>
      <c r="AH6" s="61"/>
      <c r="AI6" s="61"/>
    </row>
    <row r="7" spans="1:56" s="213" customFormat="1" ht="13.7" customHeight="1" x14ac:dyDescent="0.2">
      <c r="A7" s="1059"/>
      <c r="B7" s="1060"/>
      <c r="C7" s="1060"/>
      <c r="D7" s="1061"/>
      <c r="E7" s="1052"/>
      <c r="F7" s="1053"/>
      <c r="G7" s="1053"/>
      <c r="H7" s="1053"/>
      <c r="I7" s="1053"/>
      <c r="J7" s="1053"/>
      <c r="K7" s="1053"/>
      <c r="L7" s="1372"/>
      <c r="M7" s="1372"/>
      <c r="N7" s="1372"/>
      <c r="O7" s="1372"/>
      <c r="P7" s="1372"/>
      <c r="Q7" s="1372"/>
      <c r="R7" s="1372"/>
      <c r="S7" s="1372"/>
      <c r="T7" s="1372"/>
      <c r="U7" s="1372"/>
      <c r="V7" s="1372"/>
      <c r="W7" s="1372"/>
      <c r="X7" s="1372"/>
      <c r="Y7" s="1055" t="s">
        <v>84</v>
      </c>
      <c r="Z7" s="1055"/>
      <c r="AA7" s="1055"/>
      <c r="AB7" s="1056"/>
      <c r="AC7" s="1057"/>
      <c r="AD7" s="1057"/>
      <c r="AE7" s="1058"/>
      <c r="AF7" s="216"/>
      <c r="AH7" s="62"/>
      <c r="AI7" s="62"/>
    </row>
    <row r="8" spans="1:56" s="213" customFormat="1" ht="24.75" customHeight="1" x14ac:dyDescent="0.2">
      <c r="A8" s="1038" t="s">
        <v>9</v>
      </c>
      <c r="B8" s="1039"/>
      <c r="C8" s="1039"/>
      <c r="D8" s="1039"/>
      <c r="E8" s="1040"/>
      <c r="F8" s="1040"/>
      <c r="G8" s="1040"/>
      <c r="H8" s="1041"/>
      <c r="I8" s="1042" t="s">
        <v>10</v>
      </c>
      <c r="J8" s="1043"/>
      <c r="K8" s="1043"/>
      <c r="L8" s="1043"/>
      <c r="M8" s="1043"/>
      <c r="N8" s="1043"/>
      <c r="O8" s="1043"/>
      <c r="P8" s="1043"/>
      <c r="Q8" s="1043"/>
      <c r="R8" s="1044"/>
      <c r="S8" s="1045" t="s">
        <v>11</v>
      </c>
      <c r="T8" s="1046"/>
      <c r="U8" s="1046"/>
      <c r="V8" s="1043" t="str">
        <f>Granulometría!V8</f>
        <v>ING MICHELLE ZELAYA</v>
      </c>
      <c r="W8" s="1043"/>
      <c r="X8" s="1043"/>
      <c r="Y8" s="1043"/>
      <c r="Z8" s="1043"/>
      <c r="AA8" s="1043"/>
      <c r="AB8" s="1043"/>
      <c r="AC8" s="1043"/>
      <c r="AD8" s="1043"/>
      <c r="AE8" s="1047"/>
      <c r="AF8" s="217"/>
      <c r="AH8" s="62"/>
      <c r="AI8" s="62"/>
    </row>
    <row r="9" spans="1:56" ht="7.5" customHeight="1" x14ac:dyDescent="0.25">
      <c r="A9" s="218"/>
      <c r="B9" s="410"/>
      <c r="C9" s="410"/>
      <c r="D9" s="410"/>
      <c r="E9" s="410"/>
      <c r="F9" s="410"/>
      <c r="G9" s="410"/>
      <c r="H9" s="411"/>
      <c r="I9" s="411"/>
      <c r="J9" s="411"/>
      <c r="K9" s="411"/>
      <c r="L9" s="411"/>
      <c r="M9" s="411"/>
      <c r="N9" s="411"/>
      <c r="O9" s="412"/>
      <c r="P9" s="412"/>
      <c r="Q9" s="412"/>
      <c r="R9" s="412"/>
      <c r="S9" s="412"/>
      <c r="T9" s="412"/>
      <c r="U9" s="412"/>
      <c r="V9" s="412"/>
      <c r="W9" s="412"/>
      <c r="X9" s="412"/>
      <c r="Y9" s="412"/>
      <c r="Z9" s="412"/>
      <c r="AA9" s="412"/>
      <c r="AB9" s="412"/>
      <c r="AC9" s="412"/>
      <c r="AD9" s="412"/>
      <c r="AE9" s="219"/>
    </row>
    <row r="10" spans="1:56" s="223" customFormat="1" ht="16.5" customHeight="1" x14ac:dyDescent="0.25">
      <c r="A10" s="1023" t="s">
        <v>176</v>
      </c>
      <c r="B10" s="1024"/>
      <c r="C10" s="1025" t="s">
        <v>177</v>
      </c>
      <c r="D10" s="1025"/>
      <c r="E10" s="1025"/>
      <c r="F10" s="1024" t="s">
        <v>178</v>
      </c>
      <c r="G10" s="1024"/>
      <c r="H10" s="1024"/>
      <c r="I10" s="220" t="s">
        <v>17</v>
      </c>
      <c r="J10" s="1026" t="s">
        <v>179</v>
      </c>
      <c r="K10" s="1026"/>
      <c r="L10" s="1026"/>
      <c r="M10" s="1019" t="s">
        <v>180</v>
      </c>
      <c r="N10" s="1019"/>
      <c r="O10" s="1027" t="s">
        <v>181</v>
      </c>
      <c r="P10" s="1027"/>
      <c r="Q10" s="1027"/>
      <c r="R10" s="1019" t="s">
        <v>182</v>
      </c>
      <c r="S10" s="1019"/>
      <c r="T10" s="1019"/>
      <c r="U10" s="1020" t="s">
        <v>183</v>
      </c>
      <c r="V10" s="1020"/>
      <c r="W10" s="1020"/>
      <c r="X10" s="221">
        <v>5</v>
      </c>
      <c r="Y10" s="1021" t="s">
        <v>184</v>
      </c>
      <c r="Z10" s="1021"/>
      <c r="AA10" s="1021"/>
      <c r="AB10" s="1021"/>
      <c r="AC10" s="1021"/>
      <c r="AD10" s="1021"/>
      <c r="AE10" s="222">
        <v>25</v>
      </c>
      <c r="AH10" s="207"/>
      <c r="AI10" s="207"/>
      <c r="AJ10" s="62"/>
      <c r="AK10" s="62"/>
      <c r="AL10" s="62"/>
    </row>
    <row r="11" spans="1:56" ht="5.25" customHeight="1" x14ac:dyDescent="0.25">
      <c r="A11" s="218"/>
      <c r="B11" s="410"/>
      <c r="C11" s="410"/>
      <c r="D11" s="410"/>
      <c r="E11" s="410"/>
      <c r="F11" s="410"/>
      <c r="G11" s="410"/>
      <c r="H11" s="411"/>
      <c r="I11" s="411"/>
      <c r="J11" s="411"/>
      <c r="K11" s="411"/>
      <c r="L11" s="411"/>
      <c r="M11" s="411"/>
      <c r="N11" s="411"/>
      <c r="O11" s="412"/>
      <c r="P11" s="412"/>
      <c r="Q11" s="412"/>
      <c r="R11" s="412"/>
      <c r="S11" s="412"/>
      <c r="T11" s="412"/>
      <c r="U11" s="412"/>
      <c r="V11" s="412"/>
      <c r="W11" s="412"/>
      <c r="X11" s="412"/>
      <c r="Y11" s="412"/>
      <c r="Z11" s="412"/>
      <c r="AA11" s="412"/>
      <c r="AB11" s="412"/>
      <c r="AC11" s="412"/>
      <c r="AD11" s="412"/>
      <c r="AE11" s="219"/>
    </row>
    <row r="12" spans="1:56" ht="16.5" customHeight="1" x14ac:dyDescent="0.25">
      <c r="A12" s="224"/>
      <c r="B12" s="225" t="s">
        <v>185</v>
      </c>
      <c r="C12" s="226"/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7"/>
      <c r="O12" s="1022"/>
      <c r="P12" s="1022"/>
      <c r="Q12" s="1022"/>
      <c r="R12" s="1022"/>
      <c r="S12" s="1022"/>
      <c r="T12" s="1022"/>
      <c r="U12" s="1022"/>
      <c r="V12" s="1022"/>
      <c r="W12" s="1022"/>
      <c r="X12" s="1022"/>
      <c r="Y12" s="1022"/>
      <c r="Z12" s="1022"/>
      <c r="AA12" s="1022"/>
      <c r="AB12" s="1022"/>
      <c r="AC12" s="1022"/>
      <c r="AD12" s="1022"/>
      <c r="AE12" s="228"/>
      <c r="AF12" s="229"/>
      <c r="AG12" s="229"/>
      <c r="AH12" s="230"/>
      <c r="AJ12" s="231"/>
      <c r="AK12" s="231"/>
      <c r="AL12" s="1014"/>
      <c r="AM12" s="1014"/>
      <c r="AN12" s="1014"/>
      <c r="AO12" s="1014"/>
      <c r="AP12" s="1014"/>
      <c r="AQ12" s="1014"/>
      <c r="AR12" s="1014"/>
      <c r="AS12" s="1014"/>
      <c r="AT12" s="1014"/>
    </row>
    <row r="13" spans="1:56" ht="16.5" customHeight="1" x14ac:dyDescent="0.25">
      <c r="A13" s="224"/>
      <c r="B13" s="937" t="s">
        <v>186</v>
      </c>
      <c r="C13" s="1015"/>
      <c r="D13" s="1015"/>
      <c r="E13" s="1015"/>
      <c r="F13" s="1015"/>
      <c r="G13" s="1015"/>
      <c r="H13" s="1015"/>
      <c r="I13" s="1015"/>
      <c r="J13" s="1015"/>
      <c r="K13" s="1015"/>
      <c r="L13" s="1015"/>
      <c r="M13" s="232"/>
      <c r="N13" s="233" t="s">
        <v>187</v>
      </c>
      <c r="O13" s="1016"/>
      <c r="P13" s="1017"/>
      <c r="Q13" s="1017"/>
      <c r="R13" s="1018"/>
      <c r="S13" s="1016"/>
      <c r="T13" s="1017"/>
      <c r="U13" s="1017"/>
      <c r="V13" s="1018"/>
      <c r="W13" s="1016"/>
      <c r="X13" s="1017"/>
      <c r="Y13" s="1017"/>
      <c r="Z13" s="1018"/>
      <c r="AA13" s="1016"/>
      <c r="AB13" s="1017"/>
      <c r="AC13" s="1017"/>
      <c r="AD13" s="1018"/>
      <c r="AE13" s="413"/>
      <c r="AF13" s="408">
        <v>5857.56</v>
      </c>
      <c r="AG13" s="408">
        <v>5830.47</v>
      </c>
      <c r="AH13" s="409">
        <v>5803.38</v>
      </c>
      <c r="AJ13" s="231"/>
      <c r="AK13" s="231"/>
      <c r="AL13" s="1012"/>
      <c r="AM13" s="1013"/>
      <c r="AN13" s="1013"/>
      <c r="AO13" s="1012"/>
      <c r="AP13" s="1013"/>
      <c r="AQ13" s="1013"/>
      <c r="AR13" s="1012"/>
      <c r="AS13" s="1013"/>
      <c r="AT13" s="1013"/>
    </row>
    <row r="14" spans="1:56" ht="16.5" customHeight="1" x14ac:dyDescent="0.25">
      <c r="A14" s="224"/>
      <c r="B14" s="978" t="s">
        <v>188</v>
      </c>
      <c r="C14" s="979"/>
      <c r="D14" s="979"/>
      <c r="E14" s="979"/>
      <c r="F14" s="979"/>
      <c r="G14" s="979"/>
      <c r="H14" s="979"/>
      <c r="I14" s="979"/>
      <c r="J14" s="979"/>
      <c r="K14" s="979"/>
      <c r="L14" s="979"/>
      <c r="M14" s="234"/>
      <c r="N14" s="235" t="s">
        <v>187</v>
      </c>
      <c r="O14" s="1011"/>
      <c r="P14" s="1011"/>
      <c r="Q14" s="1011"/>
      <c r="R14" s="1011"/>
      <c r="S14" s="1011"/>
      <c r="T14" s="1011"/>
      <c r="U14" s="1011"/>
      <c r="V14" s="1011"/>
      <c r="W14" s="1011"/>
      <c r="X14" s="1011"/>
      <c r="Y14" s="1011"/>
      <c r="Z14" s="1011"/>
      <c r="AA14" s="1011"/>
      <c r="AB14" s="1011"/>
      <c r="AC14" s="1011"/>
      <c r="AD14" s="1011"/>
      <c r="AE14" s="236"/>
      <c r="AF14" s="237"/>
      <c r="AG14" s="237"/>
      <c r="AJ14" s="231"/>
      <c r="AK14" s="231"/>
      <c r="AL14" s="1013"/>
      <c r="AM14" s="1013"/>
      <c r="AN14" s="1013"/>
      <c r="AO14" s="1013"/>
      <c r="AP14" s="1013"/>
      <c r="AQ14" s="1013"/>
      <c r="AR14" s="1013"/>
      <c r="AS14" s="1013"/>
      <c r="AT14" s="1013"/>
    </row>
    <row r="15" spans="1:56" ht="16.5" customHeight="1" x14ac:dyDescent="0.25">
      <c r="A15" s="224"/>
      <c r="B15" s="978" t="s">
        <v>189</v>
      </c>
      <c r="C15" s="979"/>
      <c r="D15" s="979"/>
      <c r="E15" s="979"/>
      <c r="F15" s="979"/>
      <c r="G15" s="979"/>
      <c r="H15" s="979"/>
      <c r="I15" s="979"/>
      <c r="J15" s="979"/>
      <c r="K15" s="979"/>
      <c r="L15" s="979"/>
      <c r="M15" s="234"/>
      <c r="N15" s="235" t="s">
        <v>187</v>
      </c>
      <c r="O15" s="1010">
        <f t="shared" ref="O15:AD15" si="0">(O13-O14)</f>
        <v>0</v>
      </c>
      <c r="P15" s="1010">
        <f t="shared" si="0"/>
        <v>0</v>
      </c>
      <c r="Q15" s="1010">
        <f t="shared" si="0"/>
        <v>0</v>
      </c>
      <c r="R15" s="1010">
        <f t="shared" si="0"/>
        <v>0</v>
      </c>
      <c r="S15" s="1010">
        <f t="shared" si="0"/>
        <v>0</v>
      </c>
      <c r="T15" s="1010">
        <f t="shared" si="0"/>
        <v>0</v>
      </c>
      <c r="U15" s="1010">
        <f t="shared" si="0"/>
        <v>0</v>
      </c>
      <c r="V15" s="1010">
        <f t="shared" si="0"/>
        <v>0</v>
      </c>
      <c r="W15" s="1010">
        <f t="shared" si="0"/>
        <v>0</v>
      </c>
      <c r="X15" s="1010">
        <f t="shared" si="0"/>
        <v>0</v>
      </c>
      <c r="Y15" s="1010">
        <f t="shared" si="0"/>
        <v>0</v>
      </c>
      <c r="Z15" s="1010">
        <f t="shared" si="0"/>
        <v>0</v>
      </c>
      <c r="AA15" s="1010">
        <f t="shared" si="0"/>
        <v>0</v>
      </c>
      <c r="AB15" s="1010">
        <f t="shared" si="0"/>
        <v>0</v>
      </c>
      <c r="AC15" s="1010">
        <f t="shared" si="0"/>
        <v>0</v>
      </c>
      <c r="AD15" s="1010">
        <f t="shared" si="0"/>
        <v>0</v>
      </c>
      <c r="AE15" s="238"/>
      <c r="AF15" s="239"/>
      <c r="AG15" s="239"/>
      <c r="AJ15" s="240"/>
      <c r="AK15" s="240"/>
      <c r="AL15" s="241"/>
      <c r="AM15" s="241"/>
      <c r="AN15" s="241"/>
      <c r="AO15" s="241"/>
      <c r="AP15" s="241"/>
      <c r="AQ15" s="242"/>
      <c r="AR15" s="239"/>
      <c r="AS15" s="239"/>
      <c r="AT15" s="239"/>
    </row>
    <row r="16" spans="1:56" ht="16.5" customHeight="1" x14ac:dyDescent="0.25">
      <c r="A16" s="224"/>
      <c r="B16" s="978" t="s">
        <v>190</v>
      </c>
      <c r="C16" s="979"/>
      <c r="D16" s="979"/>
      <c r="E16" s="979"/>
      <c r="F16" s="979"/>
      <c r="G16" s="979"/>
      <c r="H16" s="979"/>
      <c r="I16" s="979"/>
      <c r="J16" s="979"/>
      <c r="K16" s="979"/>
      <c r="L16" s="979"/>
      <c r="M16" s="234"/>
      <c r="N16" s="235" t="s">
        <v>191</v>
      </c>
      <c r="O16" s="1011"/>
      <c r="P16" s="1011"/>
      <c r="Q16" s="1011"/>
      <c r="R16" s="1011"/>
      <c r="S16" s="1011"/>
      <c r="T16" s="1011"/>
      <c r="U16" s="1011"/>
      <c r="V16" s="1011"/>
      <c r="W16" s="1011"/>
      <c r="X16" s="1011"/>
      <c r="Y16" s="1011"/>
      <c r="Z16" s="1011"/>
      <c r="AA16" s="1011"/>
      <c r="AB16" s="1011"/>
      <c r="AC16" s="1011"/>
      <c r="AD16" s="1011"/>
      <c r="AE16" s="238"/>
      <c r="AF16" s="239"/>
      <c r="AG16" s="239"/>
      <c r="AJ16" s="240"/>
      <c r="AK16" s="240"/>
      <c r="AL16" s="1007" t="s">
        <v>192</v>
      </c>
      <c r="AM16" s="1007"/>
      <c r="AN16" s="1007"/>
      <c r="AO16" s="1007"/>
      <c r="AP16" s="1007"/>
      <c r="AQ16" s="1007"/>
      <c r="AR16" s="1007"/>
      <c r="AS16" s="1007"/>
      <c r="AT16" s="1007"/>
      <c r="AU16" s="1007"/>
      <c r="AV16" s="1007"/>
      <c r="AW16" s="1007"/>
      <c r="AX16" s="1007"/>
      <c r="AY16" s="1007"/>
      <c r="AZ16" s="1007"/>
      <c r="BA16" s="1007"/>
      <c r="BB16" s="1007"/>
      <c r="BC16" s="1007"/>
      <c r="BD16" s="1007"/>
    </row>
    <row r="17" spans="1:68" ht="16.5" customHeight="1" x14ac:dyDescent="0.25">
      <c r="A17" s="224"/>
      <c r="B17" s="978" t="s">
        <v>193</v>
      </c>
      <c r="C17" s="979"/>
      <c r="D17" s="979"/>
      <c r="E17" s="979"/>
      <c r="F17" s="979"/>
      <c r="G17" s="979"/>
      <c r="H17" s="979"/>
      <c r="I17" s="979"/>
      <c r="J17" s="979"/>
      <c r="K17" s="979"/>
      <c r="L17" s="234"/>
      <c r="M17" s="234"/>
      <c r="N17" s="235" t="s">
        <v>194</v>
      </c>
      <c r="O17" s="1008" t="e">
        <f t="shared" ref="O17:AD17" si="1">O15/O16</f>
        <v>#DIV/0!</v>
      </c>
      <c r="P17" s="1008" t="e">
        <f t="shared" si="1"/>
        <v>#DIV/0!</v>
      </c>
      <c r="Q17" s="1008" t="e">
        <f t="shared" si="1"/>
        <v>#DIV/0!</v>
      </c>
      <c r="R17" s="1008" t="e">
        <f t="shared" si="1"/>
        <v>#DIV/0!</v>
      </c>
      <c r="S17" s="1008" t="e">
        <f t="shared" si="1"/>
        <v>#DIV/0!</v>
      </c>
      <c r="T17" s="1008" t="e">
        <f t="shared" si="1"/>
        <v>#DIV/0!</v>
      </c>
      <c r="U17" s="1008" t="e">
        <f t="shared" si="1"/>
        <v>#DIV/0!</v>
      </c>
      <c r="V17" s="1008" t="e">
        <f t="shared" si="1"/>
        <v>#DIV/0!</v>
      </c>
      <c r="W17" s="1008" t="e">
        <f t="shared" si="1"/>
        <v>#DIV/0!</v>
      </c>
      <c r="X17" s="1008" t="e">
        <f t="shared" si="1"/>
        <v>#DIV/0!</v>
      </c>
      <c r="Y17" s="1008" t="e">
        <f t="shared" si="1"/>
        <v>#DIV/0!</v>
      </c>
      <c r="Z17" s="1008" t="e">
        <f t="shared" si="1"/>
        <v>#DIV/0!</v>
      </c>
      <c r="AA17" s="1008" t="e">
        <f t="shared" si="1"/>
        <v>#DIV/0!</v>
      </c>
      <c r="AB17" s="1008" t="e">
        <f t="shared" si="1"/>
        <v>#DIV/0!</v>
      </c>
      <c r="AC17" s="1008" t="e">
        <f t="shared" si="1"/>
        <v>#DIV/0!</v>
      </c>
      <c r="AD17" s="1008" t="e">
        <f t="shared" si="1"/>
        <v>#DIV/0!</v>
      </c>
      <c r="AE17" s="238"/>
      <c r="AF17" s="239"/>
      <c r="AG17" s="239"/>
      <c r="AJ17" s="240"/>
      <c r="AK17" s="240"/>
      <c r="AL17" s="1009">
        <v>0.13200000000000001</v>
      </c>
      <c r="AM17" s="1009"/>
      <c r="AN17" s="1009"/>
      <c r="AO17" s="1009"/>
      <c r="AP17" s="1009"/>
      <c r="AQ17" s="1009"/>
      <c r="AR17" s="1009"/>
      <c r="AS17" s="1009"/>
      <c r="AT17" s="1009"/>
      <c r="AU17" s="1009"/>
      <c r="AV17" s="1009"/>
      <c r="AW17" s="1009"/>
      <c r="AX17" s="1009"/>
      <c r="AY17" s="1009"/>
      <c r="AZ17" s="1009"/>
      <c r="BA17" s="1009"/>
      <c r="BB17" s="1009"/>
      <c r="BC17" s="1009"/>
      <c r="BD17" s="1009"/>
    </row>
    <row r="18" spans="1:68" ht="16.5" customHeight="1" x14ac:dyDescent="0.25">
      <c r="A18" s="224"/>
      <c r="B18" s="975" t="s">
        <v>195</v>
      </c>
      <c r="C18" s="976"/>
      <c r="D18" s="976"/>
      <c r="E18" s="976"/>
      <c r="F18" s="976"/>
      <c r="G18" s="976"/>
      <c r="H18" s="976"/>
      <c r="I18" s="976"/>
      <c r="J18" s="976"/>
      <c r="K18" s="976"/>
      <c r="L18" s="243"/>
      <c r="M18" s="243"/>
      <c r="N18" s="244" t="s">
        <v>194</v>
      </c>
      <c r="O18" s="1005" t="e">
        <f>O17/(1+O26)*1000</f>
        <v>#DIV/0!</v>
      </c>
      <c r="P18" s="1005" t="e">
        <f>P17/(1+P25)</f>
        <v>#DIV/0!</v>
      </c>
      <c r="Q18" s="1005" t="e">
        <f>Q17/(1+Q25)</f>
        <v>#DIV/0!</v>
      </c>
      <c r="R18" s="1005" t="e">
        <f>R17/(1+R25)</f>
        <v>#DIV/0!</v>
      </c>
      <c r="S18" s="1005" t="e">
        <f>S17/(1+S26)*1000</f>
        <v>#DIV/0!</v>
      </c>
      <c r="T18" s="1005" t="e">
        <f>T17/(1+T25)</f>
        <v>#DIV/0!</v>
      </c>
      <c r="U18" s="1005" t="e">
        <f>U17/(1+U25)</f>
        <v>#DIV/0!</v>
      </c>
      <c r="V18" s="1005" t="e">
        <f>V17/(1+V25)</f>
        <v>#DIV/0!</v>
      </c>
      <c r="W18" s="1005" t="e">
        <f>W17/(1+W26)*1000</f>
        <v>#DIV/0!</v>
      </c>
      <c r="X18" s="1005" t="e">
        <f>X17/(1+X25)</f>
        <v>#DIV/0!</v>
      </c>
      <c r="Y18" s="1005" t="e">
        <f>Y17/(1+Y25)</f>
        <v>#DIV/0!</v>
      </c>
      <c r="Z18" s="1005" t="e">
        <f>Z17/(1+Z25)</f>
        <v>#DIV/0!</v>
      </c>
      <c r="AA18" s="1005" t="e">
        <f>AA17/(1+AA26)*1000</f>
        <v>#DIV/0!</v>
      </c>
      <c r="AB18" s="1005" t="e">
        <f>AB17/(1+AB25)</f>
        <v>#DIV/0!</v>
      </c>
      <c r="AC18" s="1005" t="e">
        <f>AC17/(1+AC25)</f>
        <v>#DIV/0!</v>
      </c>
      <c r="AD18" s="1005" t="e">
        <f>AD17/(1+AD25)</f>
        <v>#DIV/0!</v>
      </c>
      <c r="AE18" s="238"/>
      <c r="AF18" s="239"/>
      <c r="AG18" s="239"/>
      <c r="AJ18" s="240"/>
      <c r="AK18" s="240"/>
      <c r="AL18" s="1006" t="s">
        <v>196</v>
      </c>
      <c r="AM18" s="1006"/>
      <c r="AN18" s="1006"/>
      <c r="AO18" s="1006"/>
      <c r="AP18" s="1006"/>
      <c r="AQ18" s="1006"/>
      <c r="AR18" s="1006"/>
      <c r="AS18" s="1006"/>
      <c r="AT18" s="1006"/>
      <c r="AU18" s="1006"/>
      <c r="AV18" s="1006"/>
      <c r="AW18" s="1006"/>
      <c r="AX18" s="1006"/>
      <c r="AY18" s="1006"/>
      <c r="AZ18" s="1006"/>
      <c r="BA18" s="1006"/>
      <c r="BB18" s="1006"/>
      <c r="BC18" s="1006"/>
      <c r="BD18" s="1006"/>
    </row>
    <row r="19" spans="1:68" ht="5.25" customHeight="1" x14ac:dyDescent="0.25">
      <c r="A19" s="224"/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5"/>
      <c r="O19" s="416"/>
      <c r="P19" s="416"/>
      <c r="Q19" s="416"/>
      <c r="R19" s="417"/>
      <c r="S19" s="417"/>
      <c r="T19" s="417"/>
      <c r="U19" s="417"/>
      <c r="V19" s="418"/>
      <c r="W19" s="418"/>
      <c r="X19" s="418"/>
      <c r="Y19" s="419"/>
      <c r="Z19" s="419"/>
      <c r="AA19" s="419"/>
      <c r="AB19" s="419"/>
      <c r="AC19" s="419"/>
      <c r="AD19" s="420"/>
      <c r="AE19" s="238"/>
      <c r="AF19" s="239"/>
      <c r="AG19" s="239"/>
      <c r="AJ19" s="240"/>
      <c r="AK19" s="240"/>
      <c r="AL19" s="990">
        <v>1874</v>
      </c>
      <c r="AM19" s="991"/>
      <c r="AN19" s="991"/>
      <c r="AO19" s="991"/>
      <c r="AP19" s="991"/>
      <c r="AQ19" s="991"/>
      <c r="AR19" s="991"/>
      <c r="AS19" s="991"/>
      <c r="AT19" s="991"/>
      <c r="AU19" s="991"/>
      <c r="AV19" s="991"/>
      <c r="AW19" s="991"/>
      <c r="AX19" s="991"/>
      <c r="AY19" s="991"/>
      <c r="AZ19" s="994" t="s">
        <v>55</v>
      </c>
      <c r="BA19" s="994"/>
      <c r="BB19" s="994"/>
      <c r="BC19" s="994"/>
      <c r="BD19" s="995"/>
    </row>
    <row r="20" spans="1:68" ht="16.5" customHeight="1" x14ac:dyDescent="0.25">
      <c r="A20" s="224"/>
      <c r="B20" s="998" t="s">
        <v>197</v>
      </c>
      <c r="C20" s="999"/>
      <c r="D20" s="999"/>
      <c r="E20" s="999"/>
      <c r="F20" s="999"/>
      <c r="G20" s="999"/>
      <c r="H20" s="999"/>
      <c r="I20" s="999"/>
      <c r="J20" s="999"/>
      <c r="K20" s="999"/>
      <c r="L20" s="999"/>
      <c r="M20" s="245"/>
      <c r="N20" s="245"/>
      <c r="O20" s="1000"/>
      <c r="P20" s="1000"/>
      <c r="Q20" s="1000"/>
      <c r="R20" s="1000"/>
      <c r="S20" s="1001"/>
      <c r="T20" s="1002"/>
      <c r="U20" s="1002"/>
      <c r="V20" s="1003"/>
      <c r="W20" s="1001"/>
      <c r="X20" s="1002"/>
      <c r="Y20" s="1002"/>
      <c r="Z20" s="1003"/>
      <c r="AA20" s="1001"/>
      <c r="AB20" s="1002"/>
      <c r="AC20" s="1002"/>
      <c r="AD20" s="1004"/>
      <c r="AE20" s="238"/>
      <c r="AF20" s="239"/>
      <c r="AG20" s="239"/>
      <c r="AJ20" s="246"/>
      <c r="AK20" s="246"/>
      <c r="AL20" s="992"/>
      <c r="AM20" s="993"/>
      <c r="AN20" s="993"/>
      <c r="AO20" s="993"/>
      <c r="AP20" s="993"/>
      <c r="AQ20" s="993"/>
      <c r="AR20" s="993"/>
      <c r="AS20" s="993"/>
      <c r="AT20" s="993"/>
      <c r="AU20" s="993"/>
      <c r="AV20" s="993"/>
      <c r="AW20" s="993"/>
      <c r="AX20" s="993"/>
      <c r="AY20" s="993"/>
      <c r="AZ20" s="996"/>
      <c r="BA20" s="996"/>
      <c r="BB20" s="996"/>
      <c r="BC20" s="996"/>
      <c r="BD20" s="997"/>
    </row>
    <row r="21" spans="1:68" ht="16.5" customHeight="1" x14ac:dyDescent="0.25">
      <c r="A21" s="224"/>
      <c r="B21" s="937" t="s">
        <v>198</v>
      </c>
      <c r="C21" s="938"/>
      <c r="D21" s="938"/>
      <c r="E21" s="938"/>
      <c r="F21" s="938"/>
      <c r="G21" s="938"/>
      <c r="H21" s="938"/>
      <c r="I21" s="938"/>
      <c r="J21" s="938"/>
      <c r="K21" s="938"/>
      <c r="L21" s="938"/>
      <c r="M21" s="232"/>
      <c r="N21" s="233" t="s">
        <v>187</v>
      </c>
      <c r="O21" s="939"/>
      <c r="P21" s="939"/>
      <c r="Q21" s="939"/>
      <c r="R21" s="939"/>
      <c r="S21" s="939"/>
      <c r="T21" s="939"/>
      <c r="U21" s="939"/>
      <c r="V21" s="939"/>
      <c r="W21" s="940"/>
      <c r="X21" s="941"/>
      <c r="Y21" s="941"/>
      <c r="Z21" s="942"/>
      <c r="AA21" s="940"/>
      <c r="AB21" s="941"/>
      <c r="AC21" s="941"/>
      <c r="AD21" s="942"/>
      <c r="AE21" s="228"/>
      <c r="AF21" s="229"/>
      <c r="AG21" s="229"/>
      <c r="AJ21" s="231"/>
      <c r="AK21" s="231"/>
      <c r="AL21" s="989" t="s">
        <v>199</v>
      </c>
      <c r="AM21" s="989"/>
      <c r="AN21" s="989"/>
      <c r="AO21" s="989"/>
      <c r="AP21" s="989"/>
      <c r="AQ21" s="989"/>
      <c r="AR21" s="989"/>
      <c r="AS21" s="989"/>
      <c r="AT21" s="989"/>
      <c r="AU21" s="989"/>
      <c r="AV21" s="989"/>
      <c r="AW21" s="989"/>
      <c r="AX21" s="989"/>
      <c r="AY21" s="989"/>
      <c r="AZ21" s="989"/>
      <c r="BA21" s="989"/>
      <c r="BB21" s="989"/>
      <c r="BC21" s="989"/>
      <c r="BD21" s="989"/>
    </row>
    <row r="22" spans="1:68" ht="16.5" customHeight="1" x14ac:dyDescent="0.25">
      <c r="A22" s="224"/>
      <c r="B22" s="978" t="s">
        <v>200</v>
      </c>
      <c r="C22" s="979"/>
      <c r="D22" s="979"/>
      <c r="E22" s="979"/>
      <c r="F22" s="979"/>
      <c r="G22" s="979"/>
      <c r="H22" s="979"/>
      <c r="I22" s="979"/>
      <c r="J22" s="979"/>
      <c r="K22" s="979"/>
      <c r="L22" s="979"/>
      <c r="M22" s="234"/>
      <c r="N22" s="235" t="s">
        <v>187</v>
      </c>
      <c r="O22" s="980"/>
      <c r="P22" s="980"/>
      <c r="Q22" s="980"/>
      <c r="R22" s="980"/>
      <c r="S22" s="980"/>
      <c r="T22" s="980"/>
      <c r="U22" s="980"/>
      <c r="V22" s="980"/>
      <c r="W22" s="984"/>
      <c r="X22" s="985"/>
      <c r="Y22" s="985"/>
      <c r="Z22" s="986"/>
      <c r="AA22" s="984"/>
      <c r="AB22" s="985"/>
      <c r="AC22" s="985"/>
      <c r="AD22" s="986"/>
      <c r="AE22" s="228"/>
      <c r="AF22" s="229"/>
      <c r="AG22" s="229"/>
      <c r="AJ22" s="231"/>
      <c r="AK22" s="231"/>
      <c r="AL22" s="987">
        <v>2121</v>
      </c>
      <c r="AM22" s="988"/>
      <c r="AN22" s="988"/>
      <c r="AO22" s="988"/>
      <c r="AP22" s="988"/>
      <c r="AQ22" s="988"/>
      <c r="AR22" s="988"/>
      <c r="AS22" s="988"/>
      <c r="AT22" s="988"/>
      <c r="AU22" s="988"/>
      <c r="AV22" s="988"/>
      <c r="AW22" s="988"/>
      <c r="AX22" s="988"/>
      <c r="AY22" s="988"/>
      <c r="AZ22" s="982" t="s">
        <v>55</v>
      </c>
      <c r="BA22" s="982"/>
      <c r="BB22" s="982"/>
      <c r="BC22" s="982"/>
      <c r="BD22" s="983"/>
    </row>
    <row r="23" spans="1:68" ht="16.5" customHeight="1" x14ac:dyDescent="0.25">
      <c r="A23" s="224"/>
      <c r="B23" s="978" t="s">
        <v>201</v>
      </c>
      <c r="C23" s="979"/>
      <c r="D23" s="979"/>
      <c r="E23" s="979"/>
      <c r="F23" s="979"/>
      <c r="G23" s="979"/>
      <c r="H23" s="979"/>
      <c r="I23" s="979"/>
      <c r="J23" s="979"/>
      <c r="K23" s="979"/>
      <c r="L23" s="979"/>
      <c r="M23" s="234"/>
      <c r="N23" s="235" t="s">
        <v>187</v>
      </c>
      <c r="O23" s="981">
        <f>O21-O22</f>
        <v>0</v>
      </c>
      <c r="P23" s="981"/>
      <c r="Q23" s="981"/>
      <c r="R23" s="981"/>
      <c r="S23" s="981">
        <f>S21-S22</f>
        <v>0</v>
      </c>
      <c r="T23" s="981"/>
      <c r="U23" s="981"/>
      <c r="V23" s="981"/>
      <c r="W23" s="981">
        <f>W21-W22</f>
        <v>0</v>
      </c>
      <c r="X23" s="981"/>
      <c r="Y23" s="981"/>
      <c r="Z23" s="981"/>
      <c r="AA23" s="981">
        <f>AA21-AA22</f>
        <v>0</v>
      </c>
      <c r="AB23" s="981"/>
      <c r="AC23" s="981"/>
      <c r="AD23" s="981"/>
      <c r="AE23" s="247"/>
      <c r="AF23" s="248"/>
      <c r="AG23" s="248"/>
      <c r="AJ23" s="231"/>
      <c r="AK23" s="231"/>
      <c r="AL23" s="249"/>
      <c r="AM23" s="248"/>
      <c r="AN23" s="248"/>
      <c r="AO23" s="249"/>
      <c r="AP23" s="248"/>
      <c r="AQ23" s="248"/>
      <c r="AR23" s="249"/>
      <c r="AS23" s="248"/>
      <c r="AT23" s="248"/>
      <c r="AZ23" s="250"/>
      <c r="BA23" s="250"/>
      <c r="BB23" s="250"/>
      <c r="BC23" s="250"/>
      <c r="BD23" s="250"/>
    </row>
    <row r="24" spans="1:68" ht="16.5" customHeight="1" x14ac:dyDescent="0.25">
      <c r="A24" s="224"/>
      <c r="B24" s="978" t="s">
        <v>202</v>
      </c>
      <c r="C24" s="979"/>
      <c r="D24" s="979"/>
      <c r="E24" s="979"/>
      <c r="F24" s="979"/>
      <c r="G24" s="979"/>
      <c r="H24" s="979"/>
      <c r="I24" s="979"/>
      <c r="J24" s="979"/>
      <c r="K24" s="979"/>
      <c r="L24" s="979"/>
      <c r="M24" s="234"/>
      <c r="N24" s="235" t="s">
        <v>187</v>
      </c>
      <c r="O24" s="980"/>
      <c r="P24" s="980"/>
      <c r="Q24" s="980"/>
      <c r="R24" s="980"/>
      <c r="S24" s="980"/>
      <c r="T24" s="980"/>
      <c r="U24" s="980"/>
      <c r="V24" s="980"/>
      <c r="W24" s="980"/>
      <c r="X24" s="980"/>
      <c r="Y24" s="980"/>
      <c r="Z24" s="980"/>
      <c r="AA24" s="980"/>
      <c r="AB24" s="980"/>
      <c r="AC24" s="980"/>
      <c r="AD24" s="980"/>
      <c r="AE24" s="247"/>
      <c r="AF24" s="248"/>
      <c r="AG24" s="248"/>
      <c r="AH24" s="251"/>
      <c r="AJ24" s="231"/>
      <c r="AK24" s="231"/>
      <c r="AL24" s="248"/>
      <c r="AM24" s="248"/>
      <c r="AN24" s="248"/>
      <c r="AO24" s="248"/>
      <c r="AP24" s="248"/>
      <c r="AQ24" s="248"/>
      <c r="AR24" s="248"/>
      <c r="AS24" s="248"/>
      <c r="AT24" s="248"/>
    </row>
    <row r="25" spans="1:68" ht="16.5" customHeight="1" x14ac:dyDescent="0.25">
      <c r="A25" s="224"/>
      <c r="B25" s="978" t="s">
        <v>203</v>
      </c>
      <c r="C25" s="979"/>
      <c r="D25" s="979"/>
      <c r="E25" s="979"/>
      <c r="F25" s="979"/>
      <c r="G25" s="979"/>
      <c r="H25" s="979"/>
      <c r="I25" s="979"/>
      <c r="J25" s="979"/>
      <c r="K25" s="979"/>
      <c r="L25" s="979"/>
      <c r="M25" s="234"/>
      <c r="N25" s="235" t="s">
        <v>187</v>
      </c>
      <c r="O25" s="981">
        <f>O22-O24</f>
        <v>0</v>
      </c>
      <c r="P25" s="981"/>
      <c r="Q25" s="981"/>
      <c r="R25" s="981"/>
      <c r="S25" s="981">
        <f>S22-S24</f>
        <v>0</v>
      </c>
      <c r="T25" s="981"/>
      <c r="U25" s="981"/>
      <c r="V25" s="981"/>
      <c r="W25" s="981">
        <f>W22-W24</f>
        <v>0</v>
      </c>
      <c r="X25" s="981"/>
      <c r="Y25" s="981"/>
      <c r="Z25" s="981"/>
      <c r="AA25" s="981">
        <f>AA22-AA24</f>
        <v>0</v>
      </c>
      <c r="AB25" s="981"/>
      <c r="AC25" s="981"/>
      <c r="AD25" s="981"/>
      <c r="AE25" s="252"/>
      <c r="AF25" s="253"/>
      <c r="AG25" s="253"/>
      <c r="AJ25" s="231"/>
      <c r="AK25" s="231"/>
      <c r="AL25" s="974"/>
      <c r="AM25" s="974"/>
      <c r="AN25" s="974"/>
      <c r="AO25" s="974"/>
      <c r="AP25" s="974"/>
      <c r="AQ25" s="974"/>
      <c r="AR25" s="974"/>
      <c r="AS25" s="974"/>
      <c r="AT25" s="974"/>
    </row>
    <row r="26" spans="1:68" ht="16.5" customHeight="1" x14ac:dyDescent="0.25">
      <c r="A26" s="224"/>
      <c r="B26" s="975" t="s">
        <v>204</v>
      </c>
      <c r="C26" s="976"/>
      <c r="D26" s="976"/>
      <c r="E26" s="976"/>
      <c r="F26" s="976"/>
      <c r="G26" s="976"/>
      <c r="H26" s="976"/>
      <c r="I26" s="976"/>
      <c r="J26" s="976"/>
      <c r="K26" s="976"/>
      <c r="L26" s="976"/>
      <c r="M26" s="243"/>
      <c r="N26" s="243"/>
      <c r="O26" s="977" t="e">
        <f>O23/O25</f>
        <v>#DIV/0!</v>
      </c>
      <c r="P26" s="977"/>
      <c r="Q26" s="977"/>
      <c r="R26" s="977"/>
      <c r="S26" s="977" t="e">
        <f>S23/S25</f>
        <v>#DIV/0!</v>
      </c>
      <c r="T26" s="977"/>
      <c r="U26" s="977"/>
      <c r="V26" s="977"/>
      <c r="W26" s="977" t="e">
        <f>W23/W25</f>
        <v>#DIV/0!</v>
      </c>
      <c r="X26" s="977"/>
      <c r="Y26" s="977"/>
      <c r="Z26" s="977"/>
      <c r="AA26" s="977" t="e">
        <f>AA23/AA25</f>
        <v>#DIV/0!</v>
      </c>
      <c r="AB26" s="977"/>
      <c r="AC26" s="977"/>
      <c r="AD26" s="977"/>
      <c r="AE26" s="252"/>
      <c r="AF26" s="253"/>
      <c r="AG26" s="253"/>
      <c r="AJ26" s="254"/>
      <c r="AK26" s="254"/>
      <c r="AL26" s="974"/>
      <c r="AM26" s="974"/>
      <c r="AN26" s="974"/>
      <c r="AO26" s="974"/>
      <c r="AP26" s="974"/>
      <c r="AQ26" s="974"/>
      <c r="AR26" s="974"/>
      <c r="AS26" s="974"/>
      <c r="AT26" s="974"/>
    </row>
    <row r="27" spans="1:68" ht="2.25" customHeight="1" x14ac:dyDescent="0.25">
      <c r="A27" s="255"/>
      <c r="B27" s="421"/>
      <c r="C27" s="421"/>
      <c r="D27" s="422"/>
      <c r="E27" s="422"/>
      <c r="F27" s="422"/>
      <c r="G27" s="422"/>
      <c r="H27" s="423"/>
      <c r="I27" s="423"/>
      <c r="J27" s="423"/>
      <c r="K27" s="423"/>
      <c r="L27" s="424"/>
      <c r="M27" s="424"/>
      <c r="N27" s="424"/>
      <c r="O27" s="424"/>
      <c r="P27" s="425"/>
      <c r="Q27" s="425"/>
      <c r="R27" s="425"/>
      <c r="S27" s="425"/>
      <c r="T27" s="426"/>
      <c r="U27" s="426"/>
      <c r="V27" s="426"/>
      <c r="W27" s="426"/>
      <c r="X27" s="427"/>
      <c r="Y27" s="427"/>
      <c r="Z27" s="427"/>
      <c r="AA27" s="427"/>
      <c r="AB27" s="427"/>
      <c r="AC27" s="427"/>
      <c r="AD27" s="427"/>
      <c r="AE27" s="256"/>
      <c r="AF27" s="257"/>
      <c r="AG27" s="257"/>
      <c r="AJ27" s="254"/>
      <c r="AK27" s="254"/>
      <c r="AL27" s="254"/>
      <c r="AM27" s="240"/>
    </row>
    <row r="28" spans="1:68" ht="11.25" customHeight="1" x14ac:dyDescent="0.25">
      <c r="A28" s="258"/>
      <c r="B28" s="428"/>
      <c r="C28" s="428"/>
      <c r="D28" s="428"/>
      <c r="E28" s="428"/>
      <c r="F28" s="428"/>
      <c r="G28" s="428"/>
      <c r="H28" s="428"/>
      <c r="I28" s="428"/>
      <c r="J28" s="428"/>
      <c r="K28" s="428"/>
      <c r="L28" s="428"/>
      <c r="M28" s="428"/>
      <c r="N28" s="428"/>
      <c r="O28" s="428"/>
      <c r="P28" s="428"/>
      <c r="Q28" s="428"/>
      <c r="R28" s="428"/>
      <c r="S28" s="428"/>
      <c r="T28" s="428"/>
      <c r="U28" s="428"/>
      <c r="V28" s="428"/>
      <c r="W28" s="428"/>
      <c r="X28" s="934" t="s">
        <v>192</v>
      </c>
      <c r="Y28" s="935"/>
      <c r="Z28" s="935"/>
      <c r="AA28" s="935"/>
      <c r="AB28" s="935"/>
      <c r="AC28" s="935"/>
      <c r="AD28" s="936"/>
      <c r="AE28" s="259"/>
      <c r="AF28" s="260"/>
      <c r="AG28" s="260"/>
      <c r="AJ28" s="260"/>
      <c r="AK28" s="260"/>
      <c r="AL28" s="260"/>
      <c r="AM28" s="260"/>
      <c r="AN28" s="260"/>
      <c r="AO28" s="260"/>
      <c r="AP28" s="260"/>
      <c r="AQ28" s="260"/>
      <c r="AR28" s="260"/>
      <c r="AS28" s="405"/>
      <c r="AT28" s="262"/>
      <c r="AU28" s="262"/>
      <c r="AV28" s="262"/>
      <c r="AW28" s="961"/>
      <c r="AX28" s="961"/>
      <c r="AY28" s="961"/>
      <c r="AZ28" s="961"/>
      <c r="BA28" s="961"/>
      <c r="BB28" s="961"/>
      <c r="BC28" s="961"/>
      <c r="BD28" s="961"/>
      <c r="BE28" s="262"/>
      <c r="BF28" s="262"/>
      <c r="BG28" s="262"/>
      <c r="BH28" s="961"/>
      <c r="BI28" s="961"/>
      <c r="BJ28" s="961"/>
      <c r="BK28" s="961"/>
      <c r="BL28" s="961"/>
      <c r="BM28" s="961"/>
      <c r="BN28" s="961"/>
      <c r="BO28" s="961"/>
    </row>
    <row r="29" spans="1:68" ht="11.25" customHeight="1" x14ac:dyDescent="0.25">
      <c r="A29" s="224"/>
      <c r="B29" s="429"/>
      <c r="C29" s="429"/>
      <c r="D29" s="429"/>
      <c r="E29" s="429"/>
      <c r="F29" s="429"/>
      <c r="G29" s="429"/>
      <c r="H29" s="429"/>
      <c r="I29" s="429"/>
      <c r="J29" s="429"/>
      <c r="K29" s="429"/>
      <c r="L29" s="429"/>
      <c r="M29" s="429"/>
      <c r="N29" s="429"/>
      <c r="O29" s="429"/>
      <c r="P29" s="429"/>
      <c r="Q29" s="429"/>
      <c r="R29" s="429"/>
      <c r="S29" s="429"/>
      <c r="T29" s="429"/>
      <c r="U29" s="429"/>
      <c r="V29" s="429"/>
      <c r="W29" s="429"/>
      <c r="X29" s="962">
        <f>AI30</f>
        <v>0.20899999999999999</v>
      </c>
      <c r="Y29" s="963"/>
      <c r="Z29" s="963"/>
      <c r="AA29" s="963"/>
      <c r="AB29" s="963"/>
      <c r="AC29" s="963"/>
      <c r="AD29" s="964"/>
      <c r="AE29" s="228"/>
      <c r="AF29" s="229"/>
      <c r="AG29" s="260"/>
      <c r="AH29" s="263" t="s">
        <v>132</v>
      </c>
      <c r="AI29" s="263" t="s">
        <v>135</v>
      </c>
      <c r="AJ29" s="260"/>
      <c r="AK29" s="260"/>
      <c r="AL29" s="260"/>
      <c r="AM29" s="260"/>
      <c r="AN29" s="260"/>
      <c r="AO29" s="260"/>
      <c r="AP29" s="260"/>
      <c r="AQ29" s="260"/>
      <c r="AR29" s="260"/>
      <c r="AS29" s="405"/>
      <c r="AT29" s="262"/>
      <c r="AU29" s="262"/>
      <c r="AV29" s="262"/>
      <c r="AW29" s="961"/>
      <c r="AX29" s="961"/>
      <c r="AY29" s="961"/>
      <c r="AZ29" s="961"/>
      <c r="BA29" s="961"/>
      <c r="BB29" s="961"/>
      <c r="BC29" s="961"/>
      <c r="BD29" s="961"/>
      <c r="BE29" s="262"/>
      <c r="BF29" s="262"/>
      <c r="BG29" s="262"/>
      <c r="BH29" s="961"/>
      <c r="BI29" s="961"/>
      <c r="BJ29" s="961"/>
      <c r="BK29" s="961"/>
      <c r="BL29" s="961"/>
      <c r="BM29" s="961"/>
      <c r="BN29" s="961"/>
      <c r="BO29" s="961"/>
    </row>
    <row r="30" spans="1:68" ht="11.25" customHeight="1" x14ac:dyDescent="0.25">
      <c r="A30" s="224"/>
      <c r="B30" s="429"/>
      <c r="C30" s="429"/>
      <c r="D30" s="429"/>
      <c r="E30" s="429"/>
      <c r="F30" s="429"/>
      <c r="G30" s="429"/>
      <c r="H30" s="429"/>
      <c r="I30" s="429"/>
      <c r="J30" s="429"/>
      <c r="K30" s="429"/>
      <c r="L30" s="429"/>
      <c r="M30" s="429"/>
      <c r="N30" s="429"/>
      <c r="O30" s="429"/>
      <c r="P30" s="429"/>
      <c r="Q30" s="429"/>
      <c r="R30" s="429"/>
      <c r="S30" s="429"/>
      <c r="T30" s="429"/>
      <c r="U30" s="429"/>
      <c r="V30" s="429"/>
      <c r="W30" s="429"/>
      <c r="X30" s="965" t="s">
        <v>205</v>
      </c>
      <c r="Y30" s="966"/>
      <c r="Z30" s="966"/>
      <c r="AA30" s="966"/>
      <c r="AB30" s="966"/>
      <c r="AC30" s="966"/>
      <c r="AD30" s="967"/>
      <c r="AE30" s="264"/>
      <c r="AF30" s="262"/>
      <c r="AG30" s="260"/>
      <c r="AH30" s="265">
        <v>0</v>
      </c>
      <c r="AI30" s="265">
        <v>0.20899999999999999</v>
      </c>
      <c r="AJ30" s="260"/>
      <c r="AK30" s="260"/>
      <c r="AL30" s="260"/>
      <c r="AM30" s="260"/>
      <c r="AN30" s="260"/>
      <c r="AO30" s="260"/>
      <c r="AP30" s="260"/>
      <c r="AQ30" s="260"/>
      <c r="AR30" s="260"/>
      <c r="AS30" s="406"/>
      <c r="AT30" s="262"/>
      <c r="AU30" s="262"/>
      <c r="AV30" s="262"/>
      <c r="AW30" s="968"/>
      <c r="AX30" s="968"/>
      <c r="AY30" s="968"/>
      <c r="AZ30" s="968"/>
      <c r="BA30" s="968"/>
      <c r="BB30" s="968"/>
      <c r="BC30" s="968"/>
      <c r="BD30" s="968"/>
      <c r="BE30" s="262"/>
      <c r="BF30" s="262"/>
      <c r="BG30" s="262"/>
      <c r="BH30" s="969"/>
      <c r="BI30" s="969"/>
      <c r="BJ30" s="969"/>
      <c r="BK30" s="969"/>
      <c r="BL30" s="969"/>
      <c r="BM30" s="969"/>
      <c r="BN30" s="969"/>
      <c r="BO30" s="969"/>
    </row>
    <row r="31" spans="1:68" ht="11.25" customHeight="1" x14ac:dyDescent="0.25">
      <c r="A31" s="224"/>
      <c r="B31" s="429"/>
      <c r="C31" s="429"/>
      <c r="D31" s="429"/>
      <c r="E31" s="429"/>
      <c r="F31" s="429"/>
      <c r="G31" s="429"/>
      <c r="H31" s="429"/>
      <c r="I31" s="429"/>
      <c r="J31" s="429"/>
      <c r="K31" s="429"/>
      <c r="L31" s="429"/>
      <c r="M31" s="429"/>
      <c r="N31" s="429"/>
      <c r="O31" s="429"/>
      <c r="P31" s="429"/>
      <c r="Q31" s="429"/>
      <c r="R31" s="429"/>
      <c r="S31" s="429"/>
      <c r="T31" s="429"/>
      <c r="U31" s="429"/>
      <c r="V31" s="429"/>
      <c r="W31" s="429"/>
      <c r="X31" s="970">
        <f>AH31</f>
        <v>1454.9</v>
      </c>
      <c r="Y31" s="971"/>
      <c r="Z31" s="971"/>
      <c r="AA31" s="971"/>
      <c r="AB31" s="972" t="s">
        <v>55</v>
      </c>
      <c r="AC31" s="972"/>
      <c r="AD31" s="973"/>
      <c r="AE31" s="264"/>
      <c r="AF31" s="262"/>
      <c r="AG31" s="260"/>
      <c r="AH31" s="265">
        <v>1454.9</v>
      </c>
      <c r="AI31" s="265">
        <f>AI30</f>
        <v>0.20899999999999999</v>
      </c>
      <c r="AJ31" s="260"/>
      <c r="AK31" s="260"/>
      <c r="AL31" s="260"/>
      <c r="AM31" s="260"/>
      <c r="AN31" s="260"/>
      <c r="AO31" s="260"/>
      <c r="AP31" s="260"/>
      <c r="AQ31" s="260"/>
      <c r="AR31" s="260"/>
      <c r="AS31" s="406"/>
      <c r="AT31" s="262"/>
      <c r="AU31" s="262"/>
      <c r="AV31" s="262"/>
      <c r="AW31" s="968"/>
      <c r="AX31" s="968"/>
      <c r="AY31" s="968"/>
      <c r="AZ31" s="968"/>
      <c r="BA31" s="968"/>
      <c r="BB31" s="968"/>
      <c r="BC31" s="968"/>
      <c r="BD31" s="968"/>
      <c r="BE31" s="262"/>
      <c r="BF31" s="262"/>
      <c r="BG31" s="262"/>
      <c r="BH31" s="969"/>
      <c r="BI31" s="969"/>
      <c r="BJ31" s="969"/>
      <c r="BK31" s="969"/>
      <c r="BL31" s="969"/>
      <c r="BM31" s="969"/>
      <c r="BN31" s="969"/>
      <c r="BO31" s="969"/>
    </row>
    <row r="32" spans="1:68" s="62" customFormat="1" ht="11.25" customHeight="1" x14ac:dyDescent="0.25">
      <c r="A32" s="267"/>
      <c r="B32" s="430"/>
      <c r="C32" s="430"/>
      <c r="D32" s="430"/>
      <c r="E32" s="430"/>
      <c r="F32" s="430"/>
      <c r="G32" s="430"/>
      <c r="H32" s="430"/>
      <c r="I32" s="430"/>
      <c r="J32" s="430"/>
      <c r="K32" s="430"/>
      <c r="L32" s="430"/>
      <c r="M32" s="430"/>
      <c r="N32" s="430"/>
      <c r="O32" s="430"/>
      <c r="P32" s="430"/>
      <c r="Q32" s="430"/>
      <c r="R32" s="430"/>
      <c r="S32" s="430"/>
      <c r="T32" s="430"/>
      <c r="U32" s="430"/>
      <c r="V32" s="430"/>
      <c r="W32" s="430"/>
      <c r="X32" s="944" t="s">
        <v>199</v>
      </c>
      <c r="Y32" s="924"/>
      <c r="Z32" s="924"/>
      <c r="AA32" s="924"/>
      <c r="AB32" s="924"/>
      <c r="AC32" s="924"/>
      <c r="AD32" s="945"/>
      <c r="AE32" s="268"/>
      <c r="AF32" s="262"/>
      <c r="AG32" s="260"/>
      <c r="AH32" s="265">
        <f>AH31</f>
        <v>1454.9</v>
      </c>
      <c r="AI32" s="207">
        <v>0</v>
      </c>
      <c r="AJ32" s="260"/>
      <c r="AK32" s="260"/>
      <c r="AL32" s="260"/>
      <c r="AM32" s="260"/>
      <c r="AN32" s="260"/>
      <c r="AO32" s="260"/>
      <c r="AP32" s="260"/>
      <c r="AQ32" s="260"/>
      <c r="AR32" s="260"/>
      <c r="AS32" s="406"/>
      <c r="AT32" s="262"/>
      <c r="AU32" s="262"/>
      <c r="AV32" s="262"/>
      <c r="AW32" s="968"/>
      <c r="AX32" s="968"/>
      <c r="AY32" s="968"/>
      <c r="AZ32" s="968"/>
      <c r="BA32" s="968"/>
      <c r="BB32" s="968"/>
      <c r="BC32" s="968"/>
      <c r="BD32" s="968"/>
      <c r="BE32" s="262"/>
      <c r="BF32" s="262"/>
      <c r="BG32" s="262"/>
      <c r="BH32" s="969"/>
      <c r="BI32" s="969"/>
      <c r="BJ32" s="969"/>
      <c r="BK32" s="969"/>
      <c r="BL32" s="969"/>
      <c r="BM32" s="969"/>
      <c r="BN32" s="969"/>
      <c r="BO32" s="969"/>
      <c r="BP32" s="206"/>
    </row>
    <row r="33" spans="1:68" s="62" customFormat="1" ht="11.25" customHeight="1" x14ac:dyDescent="0.25">
      <c r="A33" s="267"/>
      <c r="B33" s="430"/>
      <c r="C33" s="430"/>
      <c r="D33" s="430"/>
      <c r="E33" s="430"/>
      <c r="F33" s="430"/>
      <c r="G33" s="430"/>
      <c r="H33" s="430"/>
      <c r="I33" s="430"/>
      <c r="J33" s="430"/>
      <c r="K33" s="430"/>
      <c r="L33" s="430"/>
      <c r="M33" s="430"/>
      <c r="N33" s="430"/>
      <c r="O33" s="430"/>
      <c r="P33" s="430"/>
      <c r="Q33" s="430"/>
      <c r="R33" s="430"/>
      <c r="S33" s="430"/>
      <c r="T33" s="430"/>
      <c r="U33" s="430"/>
      <c r="V33" s="430"/>
      <c r="W33" s="430"/>
      <c r="X33" s="920">
        <f>X31*(1+X29)</f>
        <v>1758.9741000000001</v>
      </c>
      <c r="Y33" s="921"/>
      <c r="Z33" s="921"/>
      <c r="AA33" s="921"/>
      <c r="AB33" s="922" t="s">
        <v>55</v>
      </c>
      <c r="AC33" s="922"/>
      <c r="AD33" s="923"/>
      <c r="AE33" s="268"/>
      <c r="AF33" s="262"/>
      <c r="AG33" s="260"/>
      <c r="AH33" s="265">
        <f>AH32</f>
        <v>1454.9</v>
      </c>
      <c r="AI33" s="265">
        <f>AI30</f>
        <v>0.20899999999999999</v>
      </c>
      <c r="AJ33" s="260"/>
      <c r="AK33" s="260"/>
      <c r="AL33" s="260"/>
      <c r="AM33" s="260"/>
      <c r="AN33" s="260"/>
      <c r="AO33" s="260"/>
      <c r="AP33" s="260"/>
      <c r="AQ33" s="260"/>
      <c r="AR33" s="260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  <c r="BJ33" s="206"/>
      <c r="BK33" s="206"/>
      <c r="BL33" s="206"/>
      <c r="BM33" s="206"/>
      <c r="BN33" s="206"/>
      <c r="BO33" s="206"/>
      <c r="BP33" s="206"/>
    </row>
    <row r="34" spans="1:68" s="62" customFormat="1" ht="4.7" customHeight="1" x14ac:dyDescent="0.25">
      <c r="A34" s="267"/>
      <c r="B34" s="430"/>
      <c r="C34" s="430"/>
      <c r="D34" s="430"/>
      <c r="E34" s="430"/>
      <c r="F34" s="430"/>
      <c r="G34" s="430"/>
      <c r="H34" s="430"/>
      <c r="I34" s="430"/>
      <c r="J34" s="430"/>
      <c r="K34" s="430"/>
      <c r="L34" s="430"/>
      <c r="M34" s="430"/>
      <c r="N34" s="430"/>
      <c r="O34" s="430"/>
      <c r="P34" s="430"/>
      <c r="Q34" s="430"/>
      <c r="R34" s="430"/>
      <c r="S34" s="430"/>
      <c r="T34" s="430"/>
      <c r="U34" s="430"/>
      <c r="V34" s="430"/>
      <c r="W34" s="430"/>
      <c r="X34" s="924"/>
      <c r="Y34" s="924"/>
      <c r="Z34" s="924"/>
      <c r="AA34" s="924"/>
      <c r="AB34" s="924"/>
      <c r="AC34" s="924"/>
      <c r="AD34" s="924"/>
      <c r="AE34" s="268"/>
      <c r="AF34" s="262"/>
      <c r="AG34" s="260"/>
      <c r="AH34" s="207"/>
      <c r="AI34" s="207"/>
      <c r="AJ34" s="260"/>
      <c r="AK34" s="260"/>
      <c r="AL34" s="260"/>
      <c r="AM34" s="260"/>
      <c r="AN34" s="260"/>
      <c r="AO34" s="260"/>
      <c r="AP34" s="260"/>
      <c r="AQ34" s="260"/>
      <c r="AR34" s="260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  <c r="BJ34" s="206"/>
      <c r="BK34" s="206"/>
      <c r="BL34" s="206"/>
      <c r="BM34" s="206"/>
      <c r="BN34" s="206"/>
      <c r="BO34" s="206"/>
      <c r="BP34" s="206"/>
    </row>
    <row r="35" spans="1:68" s="62" customFormat="1" ht="11.25" customHeight="1" x14ac:dyDescent="0.25">
      <c r="A35" s="267"/>
      <c r="B35" s="430"/>
      <c r="C35" s="430"/>
      <c r="D35" s="430"/>
      <c r="E35" s="430"/>
      <c r="F35" s="430"/>
      <c r="G35" s="430"/>
      <c r="H35" s="430"/>
      <c r="I35" s="430"/>
      <c r="J35" s="430"/>
      <c r="K35" s="430"/>
      <c r="L35" s="430"/>
      <c r="M35" s="430"/>
      <c r="N35" s="430"/>
      <c r="O35" s="430"/>
      <c r="P35" s="430"/>
      <c r="Q35" s="430"/>
      <c r="R35" s="430"/>
      <c r="S35" s="430"/>
      <c r="T35" s="430"/>
      <c r="U35" s="430"/>
      <c r="V35" s="430"/>
      <c r="W35" s="430"/>
      <c r="X35" s="925" t="s">
        <v>206</v>
      </c>
      <c r="Y35" s="926"/>
      <c r="Z35" s="926"/>
      <c r="AA35" s="926"/>
      <c r="AB35" s="926"/>
      <c r="AC35" s="926"/>
      <c r="AD35" s="927"/>
      <c r="AE35" s="268"/>
      <c r="AF35" s="262"/>
      <c r="AG35" s="260"/>
      <c r="AH35" s="207"/>
      <c r="AI35" s="207"/>
      <c r="AJ35" s="260"/>
      <c r="AK35" s="260"/>
      <c r="AL35" s="260"/>
      <c r="AM35" s="260"/>
      <c r="AN35" s="260"/>
      <c r="AO35" s="260"/>
      <c r="AP35" s="260"/>
      <c r="AQ35" s="260"/>
      <c r="AR35" s="260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  <c r="BJ35" s="206"/>
      <c r="BK35" s="206"/>
      <c r="BL35" s="206"/>
      <c r="BM35" s="206"/>
      <c r="BN35" s="206"/>
      <c r="BO35" s="206"/>
      <c r="BP35" s="206"/>
    </row>
    <row r="36" spans="1:68" s="62" customFormat="1" ht="11.25" customHeight="1" x14ac:dyDescent="0.25">
      <c r="A36" s="267"/>
      <c r="B36" s="430"/>
      <c r="C36" s="430"/>
      <c r="D36" s="430"/>
      <c r="E36" s="430"/>
      <c r="F36" s="430"/>
      <c r="G36" s="430"/>
      <c r="H36" s="430"/>
      <c r="I36" s="430"/>
      <c r="J36" s="430"/>
      <c r="K36" s="430"/>
      <c r="L36" s="430"/>
      <c r="M36" s="430"/>
      <c r="N36" s="430"/>
      <c r="O36" s="430"/>
      <c r="P36" s="430"/>
      <c r="Q36" s="430"/>
      <c r="R36" s="430"/>
      <c r="S36" s="430"/>
      <c r="T36" s="430"/>
      <c r="U36" s="430"/>
      <c r="V36" s="430"/>
      <c r="W36" s="430"/>
      <c r="X36" s="928"/>
      <c r="Y36" s="929"/>
      <c r="Z36" s="929"/>
      <c r="AA36" s="929"/>
      <c r="AB36" s="929"/>
      <c r="AC36" s="929"/>
      <c r="AD36" s="930"/>
      <c r="AE36" s="268"/>
      <c r="AF36" s="262"/>
      <c r="AG36" s="260"/>
      <c r="AH36" s="207"/>
      <c r="AI36" s="207"/>
      <c r="AJ36" s="260"/>
      <c r="AK36" s="260"/>
      <c r="AL36" s="260"/>
      <c r="AM36" s="260"/>
      <c r="AN36" s="260"/>
      <c r="AO36" s="260"/>
      <c r="AP36" s="260"/>
      <c r="AQ36" s="260"/>
      <c r="AR36" s="260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  <c r="BJ36" s="206"/>
      <c r="BK36" s="206"/>
      <c r="BL36" s="206"/>
      <c r="BM36" s="206"/>
      <c r="BN36" s="206"/>
      <c r="BO36" s="206"/>
      <c r="BP36" s="206"/>
    </row>
    <row r="37" spans="1:68" s="62" customFormat="1" ht="11.25" customHeight="1" x14ac:dyDescent="0.25">
      <c r="A37" s="267"/>
      <c r="B37" s="430"/>
      <c r="C37" s="430"/>
      <c r="D37" s="430"/>
      <c r="E37" s="430"/>
      <c r="F37" s="430"/>
      <c r="G37" s="430"/>
      <c r="H37" s="430"/>
      <c r="I37" s="430"/>
      <c r="J37" s="430"/>
      <c r="K37" s="430"/>
      <c r="L37" s="430"/>
      <c r="M37" s="430"/>
      <c r="N37" s="430"/>
      <c r="O37" s="430"/>
      <c r="P37" s="430"/>
      <c r="Q37" s="430"/>
      <c r="R37" s="430"/>
      <c r="S37" s="430"/>
      <c r="T37" s="430"/>
      <c r="U37" s="430"/>
      <c r="V37" s="430"/>
      <c r="W37" s="430"/>
      <c r="X37" s="931" t="s">
        <v>207</v>
      </c>
      <c r="Y37" s="932"/>
      <c r="Z37" s="932"/>
      <c r="AA37" s="932"/>
      <c r="AB37" s="932"/>
      <c r="AC37" s="932"/>
      <c r="AD37" s="933"/>
      <c r="AE37" s="268"/>
      <c r="AF37" s="262"/>
      <c r="AG37" s="260"/>
      <c r="AH37" s="207"/>
      <c r="AI37" s="207"/>
      <c r="AJ37" s="260"/>
      <c r="AK37" s="260"/>
      <c r="AL37" s="260"/>
      <c r="AM37" s="260"/>
      <c r="AN37" s="260"/>
      <c r="AO37" s="260"/>
      <c r="AP37" s="260"/>
      <c r="AQ37" s="260"/>
      <c r="AR37" s="260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  <c r="BJ37" s="206"/>
      <c r="BK37" s="206"/>
      <c r="BL37" s="206"/>
      <c r="BM37" s="206"/>
      <c r="BN37" s="206"/>
      <c r="BO37" s="206"/>
      <c r="BP37" s="206"/>
    </row>
    <row r="38" spans="1:68" s="62" customFormat="1" ht="11.25" customHeight="1" x14ac:dyDescent="0.25">
      <c r="A38" s="267"/>
      <c r="B38" s="430"/>
      <c r="C38" s="430"/>
      <c r="D38" s="430"/>
      <c r="E38" s="430"/>
      <c r="F38" s="430"/>
      <c r="G38" s="430"/>
      <c r="H38" s="430"/>
      <c r="I38" s="430"/>
      <c r="J38" s="430"/>
      <c r="K38" s="430"/>
      <c r="L38" s="430"/>
      <c r="M38" s="430"/>
      <c r="N38" s="430"/>
      <c r="O38" s="430"/>
      <c r="P38" s="430"/>
      <c r="Q38" s="430"/>
      <c r="R38" s="430"/>
      <c r="S38" s="430"/>
      <c r="T38" s="430"/>
      <c r="U38" s="430"/>
      <c r="V38" s="430"/>
      <c r="W38" s="430"/>
      <c r="X38" s="951"/>
      <c r="Y38" s="952"/>
      <c r="Z38" s="952"/>
      <c r="AA38" s="952"/>
      <c r="AB38" s="952"/>
      <c r="AC38" s="952"/>
      <c r="AD38" s="953"/>
      <c r="AE38" s="268"/>
      <c r="AF38" s="262"/>
      <c r="AG38" s="260"/>
      <c r="AH38" s="207"/>
      <c r="AI38" s="207"/>
      <c r="AJ38" s="260"/>
      <c r="AK38" s="260"/>
      <c r="AL38" s="260"/>
      <c r="AM38" s="260"/>
      <c r="AN38" s="260"/>
      <c r="AO38" s="260"/>
      <c r="AP38" s="260"/>
      <c r="AQ38" s="260"/>
      <c r="AR38" s="260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  <c r="BJ38" s="206"/>
      <c r="BK38" s="206"/>
      <c r="BL38" s="206"/>
      <c r="BM38" s="206"/>
      <c r="BN38" s="206"/>
      <c r="BO38" s="206"/>
      <c r="BP38" s="206"/>
    </row>
    <row r="39" spans="1:68" ht="11.25" customHeight="1" x14ac:dyDescent="0.2">
      <c r="A39" s="224"/>
      <c r="B39" s="429"/>
      <c r="C39" s="429"/>
      <c r="D39" s="429"/>
      <c r="E39" s="429"/>
      <c r="F39" s="429"/>
      <c r="G39" s="429"/>
      <c r="H39" s="429"/>
      <c r="I39" s="429"/>
      <c r="J39" s="429"/>
      <c r="K39" s="429"/>
      <c r="L39" s="429"/>
      <c r="M39" s="429"/>
      <c r="N39" s="429"/>
      <c r="O39" s="429"/>
      <c r="P39" s="429"/>
      <c r="Q39" s="429"/>
      <c r="R39" s="429"/>
      <c r="S39" s="429"/>
      <c r="T39" s="429"/>
      <c r="U39" s="429"/>
      <c r="V39" s="429"/>
      <c r="W39" s="429"/>
      <c r="X39" s="931" t="s">
        <v>208</v>
      </c>
      <c r="Y39" s="932"/>
      <c r="Z39" s="932"/>
      <c r="AA39" s="932"/>
      <c r="AB39" s="932"/>
      <c r="AC39" s="932"/>
      <c r="AD39" s="933"/>
      <c r="AE39" s="259"/>
      <c r="AF39" s="260"/>
      <c r="AG39" s="260"/>
      <c r="AH39" s="954" t="s">
        <v>209</v>
      </c>
      <c r="AI39" s="955"/>
      <c r="AJ39" s="956"/>
      <c r="AK39" s="269"/>
      <c r="AL39" s="260"/>
      <c r="AM39" s="260"/>
      <c r="AN39" s="260"/>
      <c r="AO39" s="260"/>
      <c r="AP39" s="260"/>
      <c r="AQ39" s="260"/>
      <c r="AR39" s="260"/>
    </row>
    <row r="40" spans="1:68" s="262" customFormat="1" ht="11.25" customHeight="1" x14ac:dyDescent="0.3">
      <c r="A40" s="270"/>
      <c r="B40" s="427"/>
      <c r="C40" s="427"/>
      <c r="D40" s="427"/>
      <c r="E40" s="427"/>
      <c r="F40" s="427"/>
      <c r="G40" s="427"/>
      <c r="H40" s="427"/>
      <c r="I40" s="427"/>
      <c r="J40" s="427"/>
      <c r="K40" s="427"/>
      <c r="L40" s="427"/>
      <c r="M40" s="427"/>
      <c r="N40" s="427"/>
      <c r="O40" s="427"/>
      <c r="P40" s="427"/>
      <c r="Q40" s="427"/>
      <c r="R40" s="427"/>
      <c r="S40" s="427"/>
      <c r="T40" s="427"/>
      <c r="U40" s="427"/>
      <c r="V40" s="427"/>
      <c r="W40" s="427"/>
      <c r="X40" s="957"/>
      <c r="Y40" s="958"/>
      <c r="Z40" s="958"/>
      <c r="AA40" s="958"/>
      <c r="AB40" s="959" t="s">
        <v>55</v>
      </c>
      <c r="AC40" s="959"/>
      <c r="AD40" s="960"/>
      <c r="AE40" s="259"/>
      <c r="AF40" s="260"/>
      <c r="AG40" s="260"/>
      <c r="AH40" s="271"/>
      <c r="AI40" s="272"/>
      <c r="AJ40" s="273"/>
      <c r="AK40" s="274"/>
      <c r="AL40" s="260"/>
      <c r="AM40" s="260"/>
      <c r="AN40" s="260"/>
      <c r="AO40" s="260"/>
      <c r="AP40" s="260"/>
      <c r="AQ40" s="260"/>
      <c r="AR40" s="260"/>
    </row>
    <row r="41" spans="1:68" s="262" customFormat="1" ht="11.25" customHeight="1" x14ac:dyDescent="0.2">
      <c r="A41" s="270"/>
      <c r="B41" s="427"/>
      <c r="C41" s="427"/>
      <c r="D41" s="427"/>
      <c r="E41" s="427"/>
      <c r="F41" s="427"/>
      <c r="G41" s="427"/>
      <c r="H41" s="427"/>
      <c r="I41" s="427"/>
      <c r="J41" s="427"/>
      <c r="K41" s="427"/>
      <c r="L41" s="427"/>
      <c r="M41" s="427"/>
      <c r="N41" s="427"/>
      <c r="O41" s="427"/>
      <c r="P41" s="427"/>
      <c r="Q41" s="427"/>
      <c r="R41" s="427"/>
      <c r="S41" s="427"/>
      <c r="T41" s="427"/>
      <c r="U41" s="427"/>
      <c r="V41" s="427"/>
      <c r="W41" s="427"/>
      <c r="X41" s="931" t="s">
        <v>210</v>
      </c>
      <c r="Y41" s="932"/>
      <c r="Z41" s="932"/>
      <c r="AA41" s="932"/>
      <c r="AB41" s="932"/>
      <c r="AC41" s="932"/>
      <c r="AD41" s="933"/>
      <c r="AE41" s="259"/>
      <c r="AF41" s="260"/>
      <c r="AG41" s="260"/>
      <c r="AH41" s="275" t="s">
        <v>211</v>
      </c>
      <c r="AI41" s="276">
        <f>X31</f>
        <v>1454.9</v>
      </c>
      <c r="AJ41" s="277" t="s">
        <v>212</v>
      </c>
      <c r="AK41" s="278"/>
      <c r="AL41" s="260"/>
      <c r="AM41" s="260"/>
      <c r="AN41" s="260"/>
      <c r="AO41" s="260"/>
      <c r="AP41" s="260"/>
      <c r="AQ41" s="260"/>
      <c r="AR41" s="260"/>
    </row>
    <row r="42" spans="1:68" s="262" customFormat="1" ht="11.25" customHeight="1" x14ac:dyDescent="0.2">
      <c r="A42" s="270"/>
      <c r="B42" s="427"/>
      <c r="C42" s="427"/>
      <c r="D42" s="427"/>
      <c r="E42" s="427"/>
      <c r="F42" s="427"/>
      <c r="G42" s="427"/>
      <c r="H42" s="427"/>
      <c r="I42" s="427"/>
      <c r="J42" s="427"/>
      <c r="K42" s="427"/>
      <c r="L42" s="427"/>
      <c r="M42" s="427"/>
      <c r="N42" s="427"/>
      <c r="O42" s="427"/>
      <c r="P42" s="427"/>
      <c r="Q42" s="427"/>
      <c r="R42" s="427"/>
      <c r="S42" s="427"/>
      <c r="T42" s="427"/>
      <c r="U42" s="427"/>
      <c r="V42" s="427"/>
      <c r="W42" s="427"/>
      <c r="X42" s="951"/>
      <c r="Y42" s="952"/>
      <c r="Z42" s="952"/>
      <c r="AA42" s="952"/>
      <c r="AB42" s="959" t="s">
        <v>55</v>
      </c>
      <c r="AC42" s="959"/>
      <c r="AD42" s="960"/>
      <c r="AE42" s="279"/>
      <c r="AH42" s="275" t="s">
        <v>213</v>
      </c>
      <c r="AI42" s="280" t="e">
        <f>'GRAV ESP RET 3-4" (2)'!G31</f>
        <v>#DIV/0!</v>
      </c>
      <c r="AJ42" s="281"/>
      <c r="AK42" s="282"/>
      <c r="AL42" s="206"/>
      <c r="AM42" s="206"/>
      <c r="AN42" s="206"/>
      <c r="AO42" s="206"/>
      <c r="AP42" s="206"/>
      <c r="AQ42" s="283"/>
    </row>
    <row r="43" spans="1:68" s="262" customFormat="1" ht="11.25" customHeight="1" x14ac:dyDescent="0.35">
      <c r="A43" s="270"/>
      <c r="B43" s="427"/>
      <c r="C43" s="427"/>
      <c r="D43" s="427"/>
      <c r="E43" s="427"/>
      <c r="F43" s="427"/>
      <c r="G43" s="427"/>
      <c r="H43" s="427"/>
      <c r="I43" s="427"/>
      <c r="J43" s="427"/>
      <c r="K43" s="427"/>
      <c r="L43" s="427"/>
      <c r="M43" s="427"/>
      <c r="N43" s="427"/>
      <c r="O43" s="427"/>
      <c r="P43" s="427"/>
      <c r="Q43" s="427"/>
      <c r="R43" s="427"/>
      <c r="S43" s="427"/>
      <c r="T43" s="427"/>
      <c r="U43" s="427"/>
      <c r="V43" s="427"/>
      <c r="W43" s="427"/>
      <c r="X43" s="944" t="s">
        <v>214</v>
      </c>
      <c r="Y43" s="924"/>
      <c r="Z43" s="924"/>
      <c r="AA43" s="924"/>
      <c r="AB43" s="924"/>
      <c r="AC43" s="924"/>
      <c r="AD43" s="945"/>
      <c r="AE43" s="284"/>
      <c r="AF43" s="285"/>
      <c r="AG43" s="285"/>
      <c r="AH43" s="275" t="s">
        <v>215</v>
      </c>
      <c r="AI43" s="286" t="e">
        <f>'Proctor '!AI43</f>
        <v>#DIV/0!</v>
      </c>
      <c r="AJ43" s="281"/>
      <c r="AK43" s="282"/>
      <c r="AL43" s="947"/>
      <c r="AM43" s="947"/>
      <c r="AN43" s="206"/>
      <c r="AO43" s="287"/>
      <c r="AP43" s="206"/>
      <c r="AQ43" s="283"/>
    </row>
    <row r="44" spans="1:68" s="262" customFormat="1" ht="11.25" customHeight="1" x14ac:dyDescent="0.35">
      <c r="A44" s="270"/>
      <c r="B44" s="427"/>
      <c r="C44" s="427"/>
      <c r="D44" s="427"/>
      <c r="E44" s="427"/>
      <c r="F44" s="427"/>
      <c r="G44" s="427"/>
      <c r="H44" s="427"/>
      <c r="I44" s="427"/>
      <c r="J44" s="427"/>
      <c r="K44" s="427"/>
      <c r="L44" s="427"/>
      <c r="M44" s="427"/>
      <c r="N44" s="427"/>
      <c r="O44" s="427"/>
      <c r="P44" s="427"/>
      <c r="Q44" s="427"/>
      <c r="R44" s="427"/>
      <c r="S44" s="427"/>
      <c r="T44" s="427"/>
      <c r="U44" s="427"/>
      <c r="V44" s="427"/>
      <c r="W44" s="427"/>
      <c r="X44" s="948"/>
      <c r="Y44" s="949"/>
      <c r="Z44" s="949"/>
      <c r="AA44" s="949"/>
      <c r="AB44" s="949"/>
      <c r="AC44" s="949"/>
      <c r="AD44" s="950"/>
      <c r="AE44" s="284"/>
      <c r="AF44" s="285"/>
      <c r="AG44" s="285"/>
      <c r="AH44" s="275" t="s">
        <v>216</v>
      </c>
      <c r="AI44" s="286" t="e">
        <f>'Proctor '!AI44</f>
        <v>#DIV/0!</v>
      </c>
      <c r="AJ44" s="281"/>
      <c r="AK44" s="282"/>
      <c r="AL44" s="288"/>
      <c r="AM44" s="407"/>
      <c r="AN44" s="206"/>
      <c r="AO44" s="287"/>
      <c r="AP44" s="206"/>
      <c r="AQ44" s="283"/>
    </row>
    <row r="45" spans="1:68" s="262" customFormat="1" ht="14.25" customHeight="1" x14ac:dyDescent="0.2">
      <c r="A45" s="270"/>
      <c r="B45" s="427"/>
      <c r="C45" s="427"/>
      <c r="D45" s="427"/>
      <c r="E45" s="427"/>
      <c r="F45" s="427"/>
      <c r="G45" s="427"/>
      <c r="H45" s="427"/>
      <c r="I45" s="427"/>
      <c r="J45" s="427"/>
      <c r="K45" s="427"/>
      <c r="L45" s="427"/>
      <c r="M45" s="427"/>
      <c r="N45" s="427"/>
      <c r="O45" s="427"/>
      <c r="P45" s="427"/>
      <c r="Q45" s="427"/>
      <c r="R45" s="427"/>
      <c r="S45" s="427"/>
      <c r="T45" s="427"/>
      <c r="U45" s="427"/>
      <c r="V45" s="427"/>
      <c r="W45" s="427"/>
      <c r="X45" s="924"/>
      <c r="Y45" s="924"/>
      <c r="Z45" s="924"/>
      <c r="AA45" s="924"/>
      <c r="AB45" s="924"/>
      <c r="AC45" s="924"/>
      <c r="AD45" s="924"/>
      <c r="AE45" s="290"/>
      <c r="AF45" s="291"/>
      <c r="AG45" s="291"/>
      <c r="AH45" s="275" t="s">
        <v>217</v>
      </c>
      <c r="AI45" s="504">
        <f>X29</f>
        <v>0.20899999999999999</v>
      </c>
      <c r="AJ45" s="281"/>
      <c r="AK45" s="282"/>
      <c r="AL45" s="407"/>
      <c r="AM45" s="407"/>
      <c r="AN45" s="206"/>
      <c r="AO45" s="287"/>
      <c r="AP45" s="206"/>
      <c r="AQ45" s="283"/>
    </row>
    <row r="46" spans="1:68" s="262" customFormat="1" ht="11.25" customHeight="1" x14ac:dyDescent="0.2">
      <c r="A46" s="270"/>
      <c r="B46" s="427"/>
      <c r="C46" s="427"/>
      <c r="D46" s="427"/>
      <c r="E46" s="427"/>
      <c r="F46" s="427"/>
      <c r="G46" s="427"/>
      <c r="H46" s="427"/>
      <c r="I46" s="427"/>
      <c r="J46" s="427"/>
      <c r="K46" s="427"/>
      <c r="L46" s="427"/>
      <c r="M46" s="427"/>
      <c r="N46" s="427"/>
      <c r="O46" s="427"/>
      <c r="P46" s="427"/>
      <c r="Q46" s="427"/>
      <c r="R46" s="427"/>
      <c r="S46" s="427"/>
      <c r="T46" s="427"/>
      <c r="U46" s="427"/>
      <c r="V46" s="427"/>
      <c r="W46" s="427"/>
      <c r="X46" s="925" t="s">
        <v>166</v>
      </c>
      <c r="Y46" s="926"/>
      <c r="Z46" s="926"/>
      <c r="AA46" s="926"/>
      <c r="AB46" s="926"/>
      <c r="AC46" s="926"/>
      <c r="AD46" s="927"/>
      <c r="AE46" s="290"/>
      <c r="AF46" s="291"/>
      <c r="AG46" s="291"/>
      <c r="AH46" s="275"/>
      <c r="AI46" s="286"/>
      <c r="AJ46" s="281"/>
      <c r="AK46" s="282"/>
      <c r="AL46" s="407"/>
      <c r="AM46" s="407"/>
      <c r="AN46" s="206"/>
      <c r="AO46" s="287"/>
      <c r="AP46" s="206"/>
      <c r="AQ46" s="283"/>
    </row>
    <row r="47" spans="1:68" s="262" customFormat="1" ht="11.25" customHeight="1" x14ac:dyDescent="0.2">
      <c r="A47" s="270"/>
      <c r="B47" s="427"/>
      <c r="C47" s="427"/>
      <c r="D47" s="427"/>
      <c r="E47" s="427"/>
      <c r="F47" s="427"/>
      <c r="G47" s="427"/>
      <c r="H47" s="427"/>
      <c r="I47" s="427"/>
      <c r="J47" s="427"/>
      <c r="K47" s="427"/>
      <c r="L47" s="427"/>
      <c r="M47" s="427"/>
      <c r="N47" s="427"/>
      <c r="O47" s="427"/>
      <c r="P47" s="427"/>
      <c r="Q47" s="427"/>
      <c r="R47" s="427"/>
      <c r="S47" s="427"/>
      <c r="T47" s="427"/>
      <c r="U47" s="427"/>
      <c r="V47" s="427"/>
      <c r="W47" s="427"/>
      <c r="X47" s="944" t="s">
        <v>173</v>
      </c>
      <c r="Y47" s="924"/>
      <c r="Z47" s="924"/>
      <c r="AA47" s="924" t="str">
        <f>Clasificación!Z45</f>
        <v>A-1-b (IG=0)</v>
      </c>
      <c r="AB47" s="924"/>
      <c r="AC47" s="924"/>
      <c r="AD47" s="945"/>
      <c r="AE47" s="290"/>
      <c r="AF47" s="291"/>
      <c r="AG47" s="291"/>
      <c r="AH47" s="275" t="s">
        <v>218</v>
      </c>
      <c r="AI47" s="293" t="e">
        <f>(100*AI41*1000*AI42)/((AI41*AI43)+(1000*AI42*AI44))</f>
        <v>#DIV/0!</v>
      </c>
      <c r="AJ47" s="281" t="s">
        <v>212</v>
      </c>
      <c r="AK47" s="282"/>
      <c r="AL47" s="407"/>
      <c r="AM47" s="407"/>
      <c r="AN47" s="206"/>
      <c r="AO47" s="287"/>
      <c r="AP47" s="206"/>
      <c r="AQ47" s="283"/>
    </row>
    <row r="48" spans="1:68" s="262" customFormat="1" ht="12.2" customHeight="1" x14ac:dyDescent="0.2">
      <c r="A48" s="270"/>
      <c r="B48" s="427"/>
      <c r="C48" s="427"/>
      <c r="D48" s="427"/>
      <c r="E48" s="427"/>
      <c r="F48" s="427"/>
      <c r="G48" s="427"/>
      <c r="H48" s="427"/>
      <c r="I48" s="427"/>
      <c r="J48" s="427"/>
      <c r="K48" s="427"/>
      <c r="L48" s="427"/>
      <c r="M48" s="427"/>
      <c r="N48" s="427"/>
      <c r="O48" s="427"/>
      <c r="P48" s="427"/>
      <c r="Q48" s="427"/>
      <c r="R48" s="427"/>
      <c r="S48" s="427"/>
      <c r="T48" s="427"/>
      <c r="U48" s="427"/>
      <c r="V48" s="427"/>
      <c r="W48" s="427"/>
      <c r="X48" s="946" t="s">
        <v>169</v>
      </c>
      <c r="Y48" s="922"/>
      <c r="Z48" s="922"/>
      <c r="AA48" s="922" t="str">
        <f>Clasificación!Z38</f>
        <v>( SM )</v>
      </c>
      <c r="AB48" s="922"/>
      <c r="AC48" s="922"/>
      <c r="AD48" s="923"/>
      <c r="AE48" s="290"/>
      <c r="AF48" s="291"/>
      <c r="AG48" s="291"/>
      <c r="AH48" s="275" t="s">
        <v>219</v>
      </c>
      <c r="AI48" s="293" t="e">
        <f>((AI45*AI44)+(2*AI43))/100</f>
        <v>#DIV/0!</v>
      </c>
      <c r="AJ48" s="281"/>
      <c r="AK48" s="282"/>
      <c r="AL48" s="294"/>
      <c r="AM48" s="206"/>
      <c r="AN48" s="206"/>
      <c r="AO48" s="287"/>
      <c r="AP48" s="206"/>
      <c r="AQ48" s="283"/>
    </row>
    <row r="49" spans="1:43" s="262" customFormat="1" ht="24.75" customHeight="1" x14ac:dyDescent="0.2">
      <c r="A49" s="270"/>
      <c r="B49" s="427"/>
      <c r="C49" s="427"/>
      <c r="D49" s="427"/>
      <c r="E49" s="427"/>
      <c r="F49" s="427"/>
      <c r="G49" s="427"/>
      <c r="H49" s="427"/>
      <c r="I49" s="427"/>
      <c r="J49" s="427"/>
      <c r="K49" s="427"/>
      <c r="L49" s="427"/>
      <c r="M49" s="427"/>
      <c r="N49" s="427"/>
      <c r="O49" s="427"/>
      <c r="P49" s="427"/>
      <c r="Q49" s="427"/>
      <c r="R49" s="427"/>
      <c r="S49" s="427"/>
      <c r="T49" s="427"/>
      <c r="U49" s="427"/>
      <c r="V49" s="427"/>
      <c r="W49" s="427"/>
      <c r="X49" s="431"/>
      <c r="Y49" s="431"/>
      <c r="Z49" s="431"/>
      <c r="AA49" s="432"/>
      <c r="AB49" s="432"/>
      <c r="AC49" s="432"/>
      <c r="AD49" s="432"/>
      <c r="AE49" s="290"/>
      <c r="AF49" s="291"/>
      <c r="AG49" s="291"/>
      <c r="AH49" s="295"/>
      <c r="AI49" s="292"/>
      <c r="AJ49" s="296"/>
      <c r="AK49" s="297"/>
      <c r="AL49" s="294"/>
      <c r="AM49" s="206"/>
      <c r="AN49" s="206"/>
      <c r="AO49" s="287"/>
      <c r="AP49" s="206"/>
      <c r="AQ49" s="283"/>
    </row>
    <row r="50" spans="1:43" s="262" customFormat="1" ht="24.75" customHeight="1" x14ac:dyDescent="0.2">
      <c r="A50" s="270"/>
      <c r="B50" s="427"/>
      <c r="C50" s="427"/>
      <c r="D50" s="427"/>
      <c r="E50" s="427"/>
      <c r="F50" s="427"/>
      <c r="G50" s="427"/>
      <c r="H50" s="427"/>
      <c r="I50" s="427"/>
      <c r="J50" s="427"/>
      <c r="K50" s="427"/>
      <c r="L50" s="427"/>
      <c r="M50" s="427"/>
      <c r="N50" s="427"/>
      <c r="O50" s="427"/>
      <c r="P50" s="427"/>
      <c r="Q50" s="427"/>
      <c r="R50" s="427"/>
      <c r="S50" s="427"/>
      <c r="T50" s="427"/>
      <c r="U50" s="427"/>
      <c r="V50" s="427"/>
      <c r="W50" s="427"/>
      <c r="X50" s="431"/>
      <c r="Y50" s="431"/>
      <c r="Z50" s="431"/>
      <c r="AA50" s="432"/>
      <c r="AB50" s="432"/>
      <c r="AC50" s="432"/>
      <c r="AD50" s="432"/>
      <c r="AE50" s="290"/>
      <c r="AF50" s="291"/>
      <c r="AG50" s="291"/>
      <c r="AH50" s="298"/>
      <c r="AI50" s="298"/>
      <c r="AJ50" s="297"/>
      <c r="AK50" s="297"/>
      <c r="AL50" s="294"/>
      <c r="AM50" s="206"/>
      <c r="AN50" s="206"/>
      <c r="AO50" s="287"/>
      <c r="AP50" s="206"/>
      <c r="AQ50" s="283"/>
    </row>
    <row r="51" spans="1:43" s="262" customFormat="1" ht="24.75" customHeight="1" x14ac:dyDescent="0.2">
      <c r="A51" s="270"/>
      <c r="B51" s="427"/>
      <c r="C51" s="427"/>
      <c r="D51" s="427"/>
      <c r="E51" s="427"/>
      <c r="F51" s="427"/>
      <c r="G51" s="427"/>
      <c r="H51" s="427"/>
      <c r="I51" s="427"/>
      <c r="J51" s="427"/>
      <c r="K51" s="427"/>
      <c r="L51" s="427"/>
      <c r="M51" s="427"/>
      <c r="N51" s="427"/>
      <c r="O51" s="427"/>
      <c r="P51" s="427"/>
      <c r="Q51" s="427"/>
      <c r="R51" s="427"/>
      <c r="S51" s="427"/>
      <c r="T51" s="427"/>
      <c r="U51" s="427"/>
      <c r="V51" s="427"/>
      <c r="W51" s="427"/>
      <c r="X51" s="431"/>
      <c r="Y51" s="431"/>
      <c r="Z51" s="431"/>
      <c r="AA51" s="432"/>
      <c r="AB51" s="432"/>
      <c r="AC51" s="432"/>
      <c r="AD51" s="432"/>
      <c r="AE51" s="290"/>
      <c r="AF51" s="291"/>
      <c r="AG51" s="291"/>
      <c r="AH51" s="298"/>
      <c r="AI51" s="298"/>
      <c r="AJ51" s="297"/>
      <c r="AK51" s="297"/>
      <c r="AL51" s="294"/>
      <c r="AM51" s="206"/>
      <c r="AN51" s="206"/>
      <c r="AO51" s="287"/>
      <c r="AP51" s="206"/>
      <c r="AQ51" s="283"/>
    </row>
    <row r="52" spans="1:43" s="262" customFormat="1" ht="13.5" x14ac:dyDescent="0.2">
      <c r="A52" s="299"/>
      <c r="B52" s="433"/>
      <c r="C52" s="433"/>
      <c r="D52" s="433"/>
      <c r="E52" s="433"/>
      <c r="F52" s="433"/>
      <c r="G52" s="433"/>
      <c r="H52" s="433"/>
      <c r="I52" s="433"/>
      <c r="J52" s="433"/>
      <c r="K52" s="433"/>
      <c r="L52" s="433"/>
      <c r="M52" s="433"/>
      <c r="N52" s="433"/>
      <c r="O52" s="433"/>
      <c r="P52" s="433"/>
      <c r="Q52" s="433"/>
      <c r="R52" s="433"/>
      <c r="S52" s="433"/>
      <c r="T52" s="433"/>
      <c r="U52" s="433"/>
      <c r="V52" s="433"/>
      <c r="W52" s="433"/>
      <c r="X52" s="433"/>
      <c r="Y52" s="433"/>
      <c r="Z52" s="433"/>
      <c r="AA52" s="433"/>
      <c r="AB52" s="433"/>
      <c r="AC52" s="433"/>
      <c r="AD52" s="433"/>
      <c r="AE52" s="300"/>
      <c r="AF52" s="58"/>
      <c r="AG52" s="291"/>
      <c r="AH52" s="298"/>
      <c r="AI52" s="298"/>
      <c r="AJ52" s="297"/>
      <c r="AK52" s="297"/>
      <c r="AL52" s="294"/>
      <c r="AM52" s="206"/>
      <c r="AN52" s="206"/>
      <c r="AO52" s="287"/>
      <c r="AP52" s="206"/>
      <c r="AQ52" s="283"/>
    </row>
    <row r="53" spans="1:43" s="262" customFormat="1" ht="11.25" customHeight="1" x14ac:dyDescent="0.25">
      <c r="A53" s="299"/>
      <c r="B53" s="433"/>
      <c r="C53" s="433"/>
      <c r="D53" s="433"/>
      <c r="E53" s="433"/>
      <c r="F53" s="433"/>
      <c r="G53" s="433"/>
      <c r="H53" s="433"/>
      <c r="I53" s="433"/>
      <c r="J53" s="433"/>
      <c r="K53" s="433"/>
      <c r="L53" s="433"/>
      <c r="M53" s="433"/>
      <c r="N53" s="433"/>
      <c r="O53" s="433"/>
      <c r="P53" s="433"/>
      <c r="Q53" s="433"/>
      <c r="R53" s="433"/>
      <c r="S53" s="433"/>
      <c r="T53" s="433"/>
      <c r="U53" s="433"/>
      <c r="V53" s="433"/>
      <c r="W53" s="433"/>
      <c r="X53" s="433"/>
      <c r="Y53" s="433"/>
      <c r="Z53" s="433"/>
      <c r="AA53" s="433"/>
      <c r="AB53" s="433"/>
      <c r="AC53" s="433"/>
      <c r="AD53" s="433"/>
      <c r="AE53" s="300"/>
      <c r="AF53" s="58"/>
      <c r="AG53" s="301"/>
      <c r="AH53" s="207"/>
      <c r="AI53" s="207"/>
      <c r="AJ53" s="206"/>
      <c r="AK53" s="206"/>
      <c r="AL53" s="294"/>
      <c r="AM53" s="206"/>
      <c r="AN53" s="206"/>
      <c r="AO53" s="287"/>
      <c r="AP53" s="206"/>
      <c r="AQ53" s="283"/>
    </row>
    <row r="54" spans="1:43" ht="11.25" customHeight="1" x14ac:dyDescent="0.25">
      <c r="A54" s="505">
        <f>M8</f>
        <v>0</v>
      </c>
      <c r="B54" s="943"/>
      <c r="C54" s="943"/>
      <c r="D54" s="943"/>
      <c r="E54" s="943"/>
      <c r="F54" s="943"/>
      <c r="G54" s="943"/>
      <c r="H54" s="943"/>
      <c r="I54" s="943"/>
      <c r="J54" s="943"/>
      <c r="K54" s="943"/>
      <c r="L54" s="943"/>
      <c r="M54" s="943"/>
      <c r="N54" s="943"/>
      <c r="O54" s="943"/>
      <c r="P54" s="429"/>
      <c r="Q54" s="429"/>
      <c r="R54" s="943" t="str">
        <f>Granulometría!R54</f>
        <v>Ing Fransciso Granados</v>
      </c>
      <c r="S54" s="943"/>
      <c r="T54" s="943"/>
      <c r="U54" s="943"/>
      <c r="V54" s="943"/>
      <c r="W54" s="943"/>
      <c r="X54" s="943"/>
      <c r="Y54" s="943"/>
      <c r="Z54" s="943"/>
      <c r="AA54" s="943"/>
      <c r="AB54" s="943"/>
      <c r="AC54" s="943"/>
      <c r="AD54" s="943"/>
      <c r="AE54" s="507"/>
    </row>
    <row r="55" spans="1:43" ht="14.25" customHeight="1" x14ac:dyDescent="0.25">
      <c r="A55" s="505" t="str">
        <f>Granulometría!A55</f>
        <v>Técnico de Laboratorio de Suelos y Materiales</v>
      </c>
      <c r="B55" s="943"/>
      <c r="C55" s="943"/>
      <c r="D55" s="943"/>
      <c r="E55" s="943"/>
      <c r="F55" s="943"/>
      <c r="G55" s="943"/>
      <c r="H55" s="943"/>
      <c r="I55" s="943"/>
      <c r="J55" s="943"/>
      <c r="K55" s="943"/>
      <c r="L55" s="943"/>
      <c r="M55" s="943"/>
      <c r="N55" s="943"/>
      <c r="O55" s="429"/>
      <c r="P55" s="429"/>
      <c r="Q55" s="429"/>
      <c r="R55" s="943" t="str">
        <f>Granulometría!R55</f>
        <v>Jefe Técnico de Laboratorio de Suelos y Materiales</v>
      </c>
      <c r="S55" s="943"/>
      <c r="T55" s="943"/>
      <c r="U55" s="943"/>
      <c r="V55" s="943"/>
      <c r="W55" s="943"/>
      <c r="X55" s="943"/>
      <c r="Y55" s="943"/>
      <c r="Z55" s="943"/>
      <c r="AA55" s="943"/>
      <c r="AB55" s="943"/>
      <c r="AC55" s="943"/>
      <c r="AD55" s="943"/>
      <c r="AE55" s="507"/>
    </row>
    <row r="56" spans="1:43" ht="14.25" customHeight="1" thickBot="1" x14ac:dyDescent="0.3">
      <c r="A56" s="302" t="s">
        <v>5</v>
      </c>
      <c r="B56" s="303"/>
      <c r="C56" s="303"/>
      <c r="D56" s="303"/>
      <c r="E56" s="303"/>
      <c r="F56" s="303"/>
      <c r="G56" s="303"/>
      <c r="H56" s="303"/>
      <c r="I56" s="303"/>
      <c r="J56" s="303"/>
      <c r="K56" s="303"/>
      <c r="L56" s="303"/>
      <c r="M56" s="303"/>
      <c r="N56" s="303"/>
      <c r="O56" s="303"/>
      <c r="P56" s="303"/>
      <c r="Q56" s="303"/>
      <c r="R56" s="303"/>
      <c r="S56" s="303"/>
      <c r="T56" s="303"/>
      <c r="U56" s="303"/>
      <c r="V56" s="303"/>
      <c r="W56" s="303"/>
      <c r="X56" s="303"/>
      <c r="Y56" s="303"/>
      <c r="Z56" s="303"/>
      <c r="AA56" s="303"/>
      <c r="AB56" s="303"/>
      <c r="AC56" s="303"/>
      <c r="AD56" s="303"/>
      <c r="AE56" s="304"/>
    </row>
  </sheetData>
  <mergeCells count="153">
    <mergeCell ref="A55:N55"/>
    <mergeCell ref="R55:AE55"/>
    <mergeCell ref="X46:AD46"/>
    <mergeCell ref="X47:Z47"/>
    <mergeCell ref="AA47:AD47"/>
    <mergeCell ref="X48:Z48"/>
    <mergeCell ref="AA48:AD48"/>
    <mergeCell ref="A54:O54"/>
    <mergeCell ref="R54:AE54"/>
    <mergeCell ref="X42:AA42"/>
    <mergeCell ref="AB42:AD42"/>
    <mergeCell ref="X43:AD43"/>
    <mergeCell ref="AL43:AM43"/>
    <mergeCell ref="X44:AD44"/>
    <mergeCell ref="X45:AD45"/>
    <mergeCell ref="X38:AD38"/>
    <mergeCell ref="X39:AD39"/>
    <mergeCell ref="AH39:AJ39"/>
    <mergeCell ref="X40:AA40"/>
    <mergeCell ref="AB40:AD40"/>
    <mergeCell ref="X41:AD41"/>
    <mergeCell ref="X33:AA33"/>
    <mergeCell ref="AB33:AD33"/>
    <mergeCell ref="X34:AD34"/>
    <mergeCell ref="X35:AD35"/>
    <mergeCell ref="X36:AD36"/>
    <mergeCell ref="X37:AD37"/>
    <mergeCell ref="X28:AD28"/>
    <mergeCell ref="AW28:BD29"/>
    <mergeCell ref="BH28:BO29"/>
    <mergeCell ref="X29:AD29"/>
    <mergeCell ref="X30:AD30"/>
    <mergeCell ref="AW30:BD32"/>
    <mergeCell ref="BH30:BO32"/>
    <mergeCell ref="X31:AA31"/>
    <mergeCell ref="AB31:AD31"/>
    <mergeCell ref="X32:AD32"/>
    <mergeCell ref="AL25:AN26"/>
    <mergeCell ref="AO25:AQ26"/>
    <mergeCell ref="AR25:AT26"/>
    <mergeCell ref="B26:L26"/>
    <mergeCell ref="O26:R26"/>
    <mergeCell ref="S26:V26"/>
    <mergeCell ref="W26:Z26"/>
    <mergeCell ref="AA26:AD26"/>
    <mergeCell ref="B24:L24"/>
    <mergeCell ref="O24:R24"/>
    <mergeCell ref="S24:V24"/>
    <mergeCell ref="W24:Z24"/>
    <mergeCell ref="AA24:AD24"/>
    <mergeCell ref="B25:L25"/>
    <mergeCell ref="O25:R25"/>
    <mergeCell ref="S25:V25"/>
    <mergeCell ref="W25:Z25"/>
    <mergeCell ref="AA25:AD25"/>
    <mergeCell ref="AZ22:BD22"/>
    <mergeCell ref="B23:L23"/>
    <mergeCell ref="O23:R23"/>
    <mergeCell ref="S23:V23"/>
    <mergeCell ref="W23:Z23"/>
    <mergeCell ref="AA23:AD23"/>
    <mergeCell ref="B22:L22"/>
    <mergeCell ref="O22:R22"/>
    <mergeCell ref="S22:V22"/>
    <mergeCell ref="W22:Z22"/>
    <mergeCell ref="AA22:AD22"/>
    <mergeCell ref="AL22:AY22"/>
    <mergeCell ref="B21:L21"/>
    <mergeCell ref="O21:R21"/>
    <mergeCell ref="S21:V21"/>
    <mergeCell ref="W21:Z21"/>
    <mergeCell ref="AA21:AD21"/>
    <mergeCell ref="AL21:BD21"/>
    <mergeCell ref="AL19:AY20"/>
    <mergeCell ref="AZ19:BD20"/>
    <mergeCell ref="B20:L20"/>
    <mergeCell ref="O20:R20"/>
    <mergeCell ref="S20:V20"/>
    <mergeCell ref="W20:Z20"/>
    <mergeCell ref="AA20:AD20"/>
    <mergeCell ref="B18:K18"/>
    <mergeCell ref="O18:R18"/>
    <mergeCell ref="S18:V18"/>
    <mergeCell ref="W18:Z18"/>
    <mergeCell ref="AA18:AD18"/>
    <mergeCell ref="AL18:BD18"/>
    <mergeCell ref="AL16:BD16"/>
    <mergeCell ref="B17:K17"/>
    <mergeCell ref="O17:R17"/>
    <mergeCell ref="S17:V17"/>
    <mergeCell ref="W17:Z17"/>
    <mergeCell ref="AA17:AD17"/>
    <mergeCell ref="AL17:BD17"/>
    <mergeCell ref="B15:L15"/>
    <mergeCell ref="O15:R15"/>
    <mergeCell ref="S15:V15"/>
    <mergeCell ref="W15:Z15"/>
    <mergeCell ref="AA15:AD15"/>
    <mergeCell ref="B16:L16"/>
    <mergeCell ref="O16:R16"/>
    <mergeCell ref="S16:V16"/>
    <mergeCell ref="W16:Z16"/>
    <mergeCell ref="AA16:AD16"/>
    <mergeCell ref="AR13:AT14"/>
    <mergeCell ref="B14:L14"/>
    <mergeCell ref="O14:R14"/>
    <mergeCell ref="S14:V14"/>
    <mergeCell ref="W14:Z14"/>
    <mergeCell ref="AA14:AD14"/>
    <mergeCell ref="AL12:AN12"/>
    <mergeCell ref="AO12:AQ12"/>
    <mergeCell ref="AR12:AT12"/>
    <mergeCell ref="B13:L13"/>
    <mergeCell ref="O13:R13"/>
    <mergeCell ref="S13:V13"/>
    <mergeCell ref="W13:Z13"/>
    <mergeCell ref="AA13:AD13"/>
    <mergeCell ref="AL13:AN14"/>
    <mergeCell ref="AO13:AQ14"/>
    <mergeCell ref="R10:T10"/>
    <mergeCell ref="U10:W10"/>
    <mergeCell ref="Y10:AD10"/>
    <mergeCell ref="O12:R12"/>
    <mergeCell ref="S12:V12"/>
    <mergeCell ref="W12:Z12"/>
    <mergeCell ref="AA12:AD12"/>
    <mergeCell ref="A10:B10"/>
    <mergeCell ref="C10:E10"/>
    <mergeCell ref="F10:H10"/>
    <mergeCell ref="J10:L10"/>
    <mergeCell ref="M10:N10"/>
    <mergeCell ref="O10:Q10"/>
    <mergeCell ref="A2:I3"/>
    <mergeCell ref="J2:AE2"/>
    <mergeCell ref="J3:AE3"/>
    <mergeCell ref="A4:C4"/>
    <mergeCell ref="E4:AE4"/>
    <mergeCell ref="A5:D5"/>
    <mergeCell ref="E5:AE5"/>
    <mergeCell ref="A8:D8"/>
    <mergeCell ref="E8:H8"/>
    <mergeCell ref="I8:L8"/>
    <mergeCell ref="M8:R8"/>
    <mergeCell ref="S8:U8"/>
    <mergeCell ref="V8:AE8"/>
    <mergeCell ref="A6:D6"/>
    <mergeCell ref="E6:K7"/>
    <mergeCell ref="L6:X7"/>
    <mergeCell ref="Y6:AB6"/>
    <mergeCell ref="AC6:AE6"/>
    <mergeCell ref="A7:D7"/>
    <mergeCell ref="Y7:AB7"/>
    <mergeCell ref="AC7:AE7"/>
  </mergeCells>
  <conditionalFormatting sqref="P27:S27">
    <cfRule type="cellIs" dxfId="3" priority="3" stopIfTrue="1" operator="equal">
      <formula>$R$23</formula>
    </cfRule>
  </conditionalFormatting>
  <conditionalFormatting sqref="R19:U19">
    <cfRule type="cellIs" dxfId="2" priority="1" stopIfTrue="1" operator="equal">
      <formula>#REF!</formula>
    </cfRule>
  </conditionalFormatting>
  <conditionalFormatting sqref="T27:W27">
    <cfRule type="cellIs" dxfId="1" priority="4" stopIfTrue="1" operator="greaterThan">
      <formula>0</formula>
    </cfRule>
  </conditionalFormatting>
  <conditionalFormatting sqref="V19:X19">
    <cfRule type="cellIs" dxfId="0" priority="2" stopIfTrue="1" operator="greaterThan">
      <formula>0</formula>
    </cfRule>
  </conditionalFormatting>
  <printOptions horizontalCentered="1" verticalCentered="1"/>
  <pageMargins left="0.23622047244094491" right="0.23622047244094491" top="0.55118110236220474" bottom="0.55118110236220474" header="0.31496062992125984" footer="0.31496062992125984"/>
  <pageSetup scale="75" orientation="portrait" horizont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FF8DC-97DC-45A3-B21B-847867EE4521}">
  <sheetPr transitionEvaluation="1">
    <tabColor theme="9" tint="-0.249977111117893"/>
    <pageSetUpPr fitToPage="1"/>
  </sheetPr>
  <dimension ref="B1:AQ44"/>
  <sheetViews>
    <sheetView showGridLines="0" view="pageBreakPreview" zoomScaleNormal="100" zoomScaleSheetLayoutView="100" workbookViewId="0"/>
  </sheetViews>
  <sheetFormatPr baseColWidth="10" defaultColWidth="7.28515625" defaultRowHeight="12.75" x14ac:dyDescent="0.2"/>
  <cols>
    <col min="1" max="1" width="3.85546875" style="358" customWidth="1"/>
    <col min="2" max="2" width="12" style="358" customWidth="1"/>
    <col min="3" max="3" width="11.5703125" style="358" customWidth="1"/>
    <col min="4" max="4" width="14.28515625" style="358" customWidth="1"/>
    <col min="5" max="5" width="9.28515625" style="358" customWidth="1"/>
    <col min="6" max="6" width="13.5703125" style="358" customWidth="1"/>
    <col min="7" max="7" width="9.5703125" style="358" customWidth="1"/>
    <col min="8" max="8" width="11" style="358" customWidth="1"/>
    <col min="9" max="9" width="7" style="358" customWidth="1"/>
    <col min="10" max="10" width="6.7109375" style="358" customWidth="1"/>
    <col min="11" max="11" width="5.28515625" style="358" customWidth="1"/>
    <col min="12" max="256" width="7.28515625" style="358"/>
    <col min="257" max="257" width="3.85546875" style="358" customWidth="1"/>
    <col min="258" max="258" width="11" style="358" customWidth="1"/>
    <col min="259" max="259" width="11.5703125" style="358" customWidth="1"/>
    <col min="260" max="260" width="14.28515625" style="358" customWidth="1"/>
    <col min="261" max="261" width="8" style="358" customWidth="1"/>
    <col min="262" max="262" width="13.5703125" style="358" customWidth="1"/>
    <col min="263" max="263" width="9.5703125" style="358" customWidth="1"/>
    <col min="264" max="264" width="11" style="358" customWidth="1"/>
    <col min="265" max="265" width="7" style="358" customWidth="1"/>
    <col min="266" max="266" width="3.7109375" style="358" customWidth="1"/>
    <col min="267" max="267" width="5.28515625" style="358" customWidth="1"/>
    <col min="268" max="512" width="7.28515625" style="358"/>
    <col min="513" max="513" width="3.85546875" style="358" customWidth="1"/>
    <col min="514" max="514" width="11" style="358" customWidth="1"/>
    <col min="515" max="515" width="11.5703125" style="358" customWidth="1"/>
    <col min="516" max="516" width="14.28515625" style="358" customWidth="1"/>
    <col min="517" max="517" width="8" style="358" customWidth="1"/>
    <col min="518" max="518" width="13.5703125" style="358" customWidth="1"/>
    <col min="519" max="519" width="9.5703125" style="358" customWidth="1"/>
    <col min="520" max="520" width="11" style="358" customWidth="1"/>
    <col min="521" max="521" width="7" style="358" customWidth="1"/>
    <col min="522" max="522" width="3.7109375" style="358" customWidth="1"/>
    <col min="523" max="523" width="5.28515625" style="358" customWidth="1"/>
    <col min="524" max="768" width="7.28515625" style="358"/>
    <col min="769" max="769" width="3.85546875" style="358" customWidth="1"/>
    <col min="770" max="770" width="11" style="358" customWidth="1"/>
    <col min="771" max="771" width="11.5703125" style="358" customWidth="1"/>
    <col min="772" max="772" width="14.28515625" style="358" customWidth="1"/>
    <col min="773" max="773" width="8" style="358" customWidth="1"/>
    <col min="774" max="774" width="13.5703125" style="358" customWidth="1"/>
    <col min="775" max="775" width="9.5703125" style="358" customWidth="1"/>
    <col min="776" max="776" width="11" style="358" customWidth="1"/>
    <col min="777" max="777" width="7" style="358" customWidth="1"/>
    <col min="778" max="778" width="3.7109375" style="358" customWidth="1"/>
    <col min="779" max="779" width="5.28515625" style="358" customWidth="1"/>
    <col min="780" max="1024" width="7.28515625" style="358"/>
    <col min="1025" max="1025" width="3.85546875" style="358" customWidth="1"/>
    <col min="1026" max="1026" width="11" style="358" customWidth="1"/>
    <col min="1027" max="1027" width="11.5703125" style="358" customWidth="1"/>
    <col min="1028" max="1028" width="14.28515625" style="358" customWidth="1"/>
    <col min="1029" max="1029" width="8" style="358" customWidth="1"/>
    <col min="1030" max="1030" width="13.5703125" style="358" customWidth="1"/>
    <col min="1031" max="1031" width="9.5703125" style="358" customWidth="1"/>
    <col min="1032" max="1032" width="11" style="358" customWidth="1"/>
    <col min="1033" max="1033" width="7" style="358" customWidth="1"/>
    <col min="1034" max="1034" width="3.7109375" style="358" customWidth="1"/>
    <col min="1035" max="1035" width="5.28515625" style="358" customWidth="1"/>
    <col min="1036" max="1280" width="7.28515625" style="358"/>
    <col min="1281" max="1281" width="3.85546875" style="358" customWidth="1"/>
    <col min="1282" max="1282" width="11" style="358" customWidth="1"/>
    <col min="1283" max="1283" width="11.5703125" style="358" customWidth="1"/>
    <col min="1284" max="1284" width="14.28515625" style="358" customWidth="1"/>
    <col min="1285" max="1285" width="8" style="358" customWidth="1"/>
    <col min="1286" max="1286" width="13.5703125" style="358" customWidth="1"/>
    <col min="1287" max="1287" width="9.5703125" style="358" customWidth="1"/>
    <col min="1288" max="1288" width="11" style="358" customWidth="1"/>
    <col min="1289" max="1289" width="7" style="358" customWidth="1"/>
    <col min="1290" max="1290" width="3.7109375" style="358" customWidth="1"/>
    <col min="1291" max="1291" width="5.28515625" style="358" customWidth="1"/>
    <col min="1292" max="1536" width="7.28515625" style="358"/>
    <col min="1537" max="1537" width="3.85546875" style="358" customWidth="1"/>
    <col min="1538" max="1538" width="11" style="358" customWidth="1"/>
    <col min="1539" max="1539" width="11.5703125" style="358" customWidth="1"/>
    <col min="1540" max="1540" width="14.28515625" style="358" customWidth="1"/>
    <col min="1541" max="1541" width="8" style="358" customWidth="1"/>
    <col min="1542" max="1542" width="13.5703125" style="358" customWidth="1"/>
    <col min="1543" max="1543" width="9.5703125" style="358" customWidth="1"/>
    <col min="1544" max="1544" width="11" style="358" customWidth="1"/>
    <col min="1545" max="1545" width="7" style="358" customWidth="1"/>
    <col min="1546" max="1546" width="3.7109375" style="358" customWidth="1"/>
    <col min="1547" max="1547" width="5.28515625" style="358" customWidth="1"/>
    <col min="1548" max="1792" width="7.28515625" style="358"/>
    <col min="1793" max="1793" width="3.85546875" style="358" customWidth="1"/>
    <col min="1794" max="1794" width="11" style="358" customWidth="1"/>
    <col min="1795" max="1795" width="11.5703125" style="358" customWidth="1"/>
    <col min="1796" max="1796" width="14.28515625" style="358" customWidth="1"/>
    <col min="1797" max="1797" width="8" style="358" customWidth="1"/>
    <col min="1798" max="1798" width="13.5703125" style="358" customWidth="1"/>
    <col min="1799" max="1799" width="9.5703125" style="358" customWidth="1"/>
    <col min="1800" max="1800" width="11" style="358" customWidth="1"/>
    <col min="1801" max="1801" width="7" style="358" customWidth="1"/>
    <col min="1802" max="1802" width="3.7109375" style="358" customWidth="1"/>
    <col min="1803" max="1803" width="5.28515625" style="358" customWidth="1"/>
    <col min="1804" max="2048" width="7.28515625" style="358"/>
    <col min="2049" max="2049" width="3.85546875" style="358" customWidth="1"/>
    <col min="2050" max="2050" width="11" style="358" customWidth="1"/>
    <col min="2051" max="2051" width="11.5703125" style="358" customWidth="1"/>
    <col min="2052" max="2052" width="14.28515625" style="358" customWidth="1"/>
    <col min="2053" max="2053" width="8" style="358" customWidth="1"/>
    <col min="2054" max="2054" width="13.5703125" style="358" customWidth="1"/>
    <col min="2055" max="2055" width="9.5703125" style="358" customWidth="1"/>
    <col min="2056" max="2056" width="11" style="358" customWidth="1"/>
    <col min="2057" max="2057" width="7" style="358" customWidth="1"/>
    <col min="2058" max="2058" width="3.7109375" style="358" customWidth="1"/>
    <col min="2059" max="2059" width="5.28515625" style="358" customWidth="1"/>
    <col min="2060" max="2304" width="7.28515625" style="358"/>
    <col min="2305" max="2305" width="3.85546875" style="358" customWidth="1"/>
    <col min="2306" max="2306" width="11" style="358" customWidth="1"/>
    <col min="2307" max="2307" width="11.5703125" style="358" customWidth="1"/>
    <col min="2308" max="2308" width="14.28515625" style="358" customWidth="1"/>
    <col min="2309" max="2309" width="8" style="358" customWidth="1"/>
    <col min="2310" max="2310" width="13.5703125" style="358" customWidth="1"/>
    <col min="2311" max="2311" width="9.5703125" style="358" customWidth="1"/>
    <col min="2312" max="2312" width="11" style="358" customWidth="1"/>
    <col min="2313" max="2313" width="7" style="358" customWidth="1"/>
    <col min="2314" max="2314" width="3.7109375" style="358" customWidth="1"/>
    <col min="2315" max="2315" width="5.28515625" style="358" customWidth="1"/>
    <col min="2316" max="2560" width="7.28515625" style="358"/>
    <col min="2561" max="2561" width="3.85546875" style="358" customWidth="1"/>
    <col min="2562" max="2562" width="11" style="358" customWidth="1"/>
    <col min="2563" max="2563" width="11.5703125" style="358" customWidth="1"/>
    <col min="2564" max="2564" width="14.28515625" style="358" customWidth="1"/>
    <col min="2565" max="2565" width="8" style="358" customWidth="1"/>
    <col min="2566" max="2566" width="13.5703125" style="358" customWidth="1"/>
    <col min="2567" max="2567" width="9.5703125" style="358" customWidth="1"/>
    <col min="2568" max="2568" width="11" style="358" customWidth="1"/>
    <col min="2569" max="2569" width="7" style="358" customWidth="1"/>
    <col min="2570" max="2570" width="3.7109375" style="358" customWidth="1"/>
    <col min="2571" max="2571" width="5.28515625" style="358" customWidth="1"/>
    <col min="2572" max="2816" width="7.28515625" style="358"/>
    <col min="2817" max="2817" width="3.85546875" style="358" customWidth="1"/>
    <col min="2818" max="2818" width="11" style="358" customWidth="1"/>
    <col min="2819" max="2819" width="11.5703125" style="358" customWidth="1"/>
    <col min="2820" max="2820" width="14.28515625" style="358" customWidth="1"/>
    <col min="2821" max="2821" width="8" style="358" customWidth="1"/>
    <col min="2822" max="2822" width="13.5703125" style="358" customWidth="1"/>
    <col min="2823" max="2823" width="9.5703125" style="358" customWidth="1"/>
    <col min="2824" max="2824" width="11" style="358" customWidth="1"/>
    <col min="2825" max="2825" width="7" style="358" customWidth="1"/>
    <col min="2826" max="2826" width="3.7109375" style="358" customWidth="1"/>
    <col min="2827" max="2827" width="5.28515625" style="358" customWidth="1"/>
    <col min="2828" max="3072" width="7.28515625" style="358"/>
    <col min="3073" max="3073" width="3.85546875" style="358" customWidth="1"/>
    <col min="3074" max="3074" width="11" style="358" customWidth="1"/>
    <col min="3075" max="3075" width="11.5703125" style="358" customWidth="1"/>
    <col min="3076" max="3076" width="14.28515625" style="358" customWidth="1"/>
    <col min="3077" max="3077" width="8" style="358" customWidth="1"/>
    <col min="3078" max="3078" width="13.5703125" style="358" customWidth="1"/>
    <col min="3079" max="3079" width="9.5703125" style="358" customWidth="1"/>
    <col min="3080" max="3080" width="11" style="358" customWidth="1"/>
    <col min="3081" max="3081" width="7" style="358" customWidth="1"/>
    <col min="3082" max="3082" width="3.7109375" style="358" customWidth="1"/>
    <col min="3083" max="3083" width="5.28515625" style="358" customWidth="1"/>
    <col min="3084" max="3328" width="7.28515625" style="358"/>
    <col min="3329" max="3329" width="3.85546875" style="358" customWidth="1"/>
    <col min="3330" max="3330" width="11" style="358" customWidth="1"/>
    <col min="3331" max="3331" width="11.5703125" style="358" customWidth="1"/>
    <col min="3332" max="3332" width="14.28515625" style="358" customWidth="1"/>
    <col min="3333" max="3333" width="8" style="358" customWidth="1"/>
    <col min="3334" max="3334" width="13.5703125" style="358" customWidth="1"/>
    <col min="3335" max="3335" width="9.5703125" style="358" customWidth="1"/>
    <col min="3336" max="3336" width="11" style="358" customWidth="1"/>
    <col min="3337" max="3337" width="7" style="358" customWidth="1"/>
    <col min="3338" max="3338" width="3.7109375" style="358" customWidth="1"/>
    <col min="3339" max="3339" width="5.28515625" style="358" customWidth="1"/>
    <col min="3340" max="3584" width="7.28515625" style="358"/>
    <col min="3585" max="3585" width="3.85546875" style="358" customWidth="1"/>
    <col min="3586" max="3586" width="11" style="358" customWidth="1"/>
    <col min="3587" max="3587" width="11.5703125" style="358" customWidth="1"/>
    <col min="3588" max="3588" width="14.28515625" style="358" customWidth="1"/>
    <col min="3589" max="3589" width="8" style="358" customWidth="1"/>
    <col min="3590" max="3590" width="13.5703125" style="358" customWidth="1"/>
    <col min="3591" max="3591" width="9.5703125" style="358" customWidth="1"/>
    <col min="3592" max="3592" width="11" style="358" customWidth="1"/>
    <col min="3593" max="3593" width="7" style="358" customWidth="1"/>
    <col min="3594" max="3594" width="3.7109375" style="358" customWidth="1"/>
    <col min="3595" max="3595" width="5.28515625" style="358" customWidth="1"/>
    <col min="3596" max="3840" width="7.28515625" style="358"/>
    <col min="3841" max="3841" width="3.85546875" style="358" customWidth="1"/>
    <col min="3842" max="3842" width="11" style="358" customWidth="1"/>
    <col min="3843" max="3843" width="11.5703125" style="358" customWidth="1"/>
    <col min="3844" max="3844" width="14.28515625" style="358" customWidth="1"/>
    <col min="3845" max="3845" width="8" style="358" customWidth="1"/>
    <col min="3846" max="3846" width="13.5703125" style="358" customWidth="1"/>
    <col min="3847" max="3847" width="9.5703125" style="358" customWidth="1"/>
    <col min="3848" max="3848" width="11" style="358" customWidth="1"/>
    <col min="3849" max="3849" width="7" style="358" customWidth="1"/>
    <col min="3850" max="3850" width="3.7109375" style="358" customWidth="1"/>
    <col min="3851" max="3851" width="5.28515625" style="358" customWidth="1"/>
    <col min="3852" max="4096" width="7.28515625" style="358"/>
    <col min="4097" max="4097" width="3.85546875" style="358" customWidth="1"/>
    <col min="4098" max="4098" width="11" style="358" customWidth="1"/>
    <col min="4099" max="4099" width="11.5703125" style="358" customWidth="1"/>
    <col min="4100" max="4100" width="14.28515625" style="358" customWidth="1"/>
    <col min="4101" max="4101" width="8" style="358" customWidth="1"/>
    <col min="4102" max="4102" width="13.5703125" style="358" customWidth="1"/>
    <col min="4103" max="4103" width="9.5703125" style="358" customWidth="1"/>
    <col min="4104" max="4104" width="11" style="358" customWidth="1"/>
    <col min="4105" max="4105" width="7" style="358" customWidth="1"/>
    <col min="4106" max="4106" width="3.7109375" style="358" customWidth="1"/>
    <col min="4107" max="4107" width="5.28515625" style="358" customWidth="1"/>
    <col min="4108" max="4352" width="7.28515625" style="358"/>
    <col min="4353" max="4353" width="3.85546875" style="358" customWidth="1"/>
    <col min="4354" max="4354" width="11" style="358" customWidth="1"/>
    <col min="4355" max="4355" width="11.5703125" style="358" customWidth="1"/>
    <col min="4356" max="4356" width="14.28515625" style="358" customWidth="1"/>
    <col min="4357" max="4357" width="8" style="358" customWidth="1"/>
    <col min="4358" max="4358" width="13.5703125" style="358" customWidth="1"/>
    <col min="4359" max="4359" width="9.5703125" style="358" customWidth="1"/>
    <col min="4360" max="4360" width="11" style="358" customWidth="1"/>
    <col min="4361" max="4361" width="7" style="358" customWidth="1"/>
    <col min="4362" max="4362" width="3.7109375" style="358" customWidth="1"/>
    <col min="4363" max="4363" width="5.28515625" style="358" customWidth="1"/>
    <col min="4364" max="4608" width="7.28515625" style="358"/>
    <col min="4609" max="4609" width="3.85546875" style="358" customWidth="1"/>
    <col min="4610" max="4610" width="11" style="358" customWidth="1"/>
    <col min="4611" max="4611" width="11.5703125" style="358" customWidth="1"/>
    <col min="4612" max="4612" width="14.28515625" style="358" customWidth="1"/>
    <col min="4613" max="4613" width="8" style="358" customWidth="1"/>
    <col min="4614" max="4614" width="13.5703125" style="358" customWidth="1"/>
    <col min="4615" max="4615" width="9.5703125" style="358" customWidth="1"/>
    <col min="4616" max="4616" width="11" style="358" customWidth="1"/>
    <col min="4617" max="4617" width="7" style="358" customWidth="1"/>
    <col min="4618" max="4618" width="3.7109375" style="358" customWidth="1"/>
    <col min="4619" max="4619" width="5.28515625" style="358" customWidth="1"/>
    <col min="4620" max="4864" width="7.28515625" style="358"/>
    <col min="4865" max="4865" width="3.85546875" style="358" customWidth="1"/>
    <col min="4866" max="4866" width="11" style="358" customWidth="1"/>
    <col min="4867" max="4867" width="11.5703125" style="358" customWidth="1"/>
    <col min="4868" max="4868" width="14.28515625" style="358" customWidth="1"/>
    <col min="4869" max="4869" width="8" style="358" customWidth="1"/>
    <col min="4870" max="4870" width="13.5703125" style="358" customWidth="1"/>
    <col min="4871" max="4871" width="9.5703125" style="358" customWidth="1"/>
    <col min="4872" max="4872" width="11" style="358" customWidth="1"/>
    <col min="4873" max="4873" width="7" style="358" customWidth="1"/>
    <col min="4874" max="4874" width="3.7109375" style="358" customWidth="1"/>
    <col min="4875" max="4875" width="5.28515625" style="358" customWidth="1"/>
    <col min="4876" max="5120" width="7.28515625" style="358"/>
    <col min="5121" max="5121" width="3.85546875" style="358" customWidth="1"/>
    <col min="5122" max="5122" width="11" style="358" customWidth="1"/>
    <col min="5123" max="5123" width="11.5703125" style="358" customWidth="1"/>
    <col min="5124" max="5124" width="14.28515625" style="358" customWidth="1"/>
    <col min="5125" max="5125" width="8" style="358" customWidth="1"/>
    <col min="5126" max="5126" width="13.5703125" style="358" customWidth="1"/>
    <col min="5127" max="5127" width="9.5703125" style="358" customWidth="1"/>
    <col min="5128" max="5128" width="11" style="358" customWidth="1"/>
    <col min="5129" max="5129" width="7" style="358" customWidth="1"/>
    <col min="5130" max="5130" width="3.7109375" style="358" customWidth="1"/>
    <col min="5131" max="5131" width="5.28515625" style="358" customWidth="1"/>
    <col min="5132" max="5376" width="7.28515625" style="358"/>
    <col min="5377" max="5377" width="3.85546875" style="358" customWidth="1"/>
    <col min="5378" max="5378" width="11" style="358" customWidth="1"/>
    <col min="5379" max="5379" width="11.5703125" style="358" customWidth="1"/>
    <col min="5380" max="5380" width="14.28515625" style="358" customWidth="1"/>
    <col min="5381" max="5381" width="8" style="358" customWidth="1"/>
    <col min="5382" max="5382" width="13.5703125" style="358" customWidth="1"/>
    <col min="5383" max="5383" width="9.5703125" style="358" customWidth="1"/>
    <col min="5384" max="5384" width="11" style="358" customWidth="1"/>
    <col min="5385" max="5385" width="7" style="358" customWidth="1"/>
    <col min="5386" max="5386" width="3.7109375" style="358" customWidth="1"/>
    <col min="5387" max="5387" width="5.28515625" style="358" customWidth="1"/>
    <col min="5388" max="5632" width="7.28515625" style="358"/>
    <col min="5633" max="5633" width="3.85546875" style="358" customWidth="1"/>
    <col min="5634" max="5634" width="11" style="358" customWidth="1"/>
    <col min="5635" max="5635" width="11.5703125" style="358" customWidth="1"/>
    <col min="5636" max="5636" width="14.28515625" style="358" customWidth="1"/>
    <col min="5637" max="5637" width="8" style="358" customWidth="1"/>
    <col min="5638" max="5638" width="13.5703125" style="358" customWidth="1"/>
    <col min="5639" max="5639" width="9.5703125" style="358" customWidth="1"/>
    <col min="5640" max="5640" width="11" style="358" customWidth="1"/>
    <col min="5641" max="5641" width="7" style="358" customWidth="1"/>
    <col min="5642" max="5642" width="3.7109375" style="358" customWidth="1"/>
    <col min="5643" max="5643" width="5.28515625" style="358" customWidth="1"/>
    <col min="5644" max="5888" width="7.28515625" style="358"/>
    <col min="5889" max="5889" width="3.85546875" style="358" customWidth="1"/>
    <col min="5890" max="5890" width="11" style="358" customWidth="1"/>
    <col min="5891" max="5891" width="11.5703125" style="358" customWidth="1"/>
    <col min="5892" max="5892" width="14.28515625" style="358" customWidth="1"/>
    <col min="5893" max="5893" width="8" style="358" customWidth="1"/>
    <col min="5894" max="5894" width="13.5703125" style="358" customWidth="1"/>
    <col min="5895" max="5895" width="9.5703125" style="358" customWidth="1"/>
    <col min="5896" max="5896" width="11" style="358" customWidth="1"/>
    <col min="5897" max="5897" width="7" style="358" customWidth="1"/>
    <col min="5898" max="5898" width="3.7109375" style="358" customWidth="1"/>
    <col min="5899" max="5899" width="5.28515625" style="358" customWidth="1"/>
    <col min="5900" max="6144" width="7.28515625" style="358"/>
    <col min="6145" max="6145" width="3.85546875" style="358" customWidth="1"/>
    <col min="6146" max="6146" width="11" style="358" customWidth="1"/>
    <col min="6147" max="6147" width="11.5703125" style="358" customWidth="1"/>
    <col min="6148" max="6148" width="14.28515625" style="358" customWidth="1"/>
    <col min="6149" max="6149" width="8" style="358" customWidth="1"/>
    <col min="6150" max="6150" width="13.5703125" style="358" customWidth="1"/>
    <col min="6151" max="6151" width="9.5703125" style="358" customWidth="1"/>
    <col min="6152" max="6152" width="11" style="358" customWidth="1"/>
    <col min="6153" max="6153" width="7" style="358" customWidth="1"/>
    <col min="6154" max="6154" width="3.7109375" style="358" customWidth="1"/>
    <col min="6155" max="6155" width="5.28515625" style="358" customWidth="1"/>
    <col min="6156" max="6400" width="7.28515625" style="358"/>
    <col min="6401" max="6401" width="3.85546875" style="358" customWidth="1"/>
    <col min="6402" max="6402" width="11" style="358" customWidth="1"/>
    <col min="6403" max="6403" width="11.5703125" style="358" customWidth="1"/>
    <col min="6404" max="6404" width="14.28515625" style="358" customWidth="1"/>
    <col min="6405" max="6405" width="8" style="358" customWidth="1"/>
    <col min="6406" max="6406" width="13.5703125" style="358" customWidth="1"/>
    <col min="6407" max="6407" width="9.5703125" style="358" customWidth="1"/>
    <col min="6408" max="6408" width="11" style="358" customWidth="1"/>
    <col min="6409" max="6409" width="7" style="358" customWidth="1"/>
    <col min="6410" max="6410" width="3.7109375" style="358" customWidth="1"/>
    <col min="6411" max="6411" width="5.28515625" style="358" customWidth="1"/>
    <col min="6412" max="6656" width="7.28515625" style="358"/>
    <col min="6657" max="6657" width="3.85546875" style="358" customWidth="1"/>
    <col min="6658" max="6658" width="11" style="358" customWidth="1"/>
    <col min="6659" max="6659" width="11.5703125" style="358" customWidth="1"/>
    <col min="6660" max="6660" width="14.28515625" style="358" customWidth="1"/>
    <col min="6661" max="6661" width="8" style="358" customWidth="1"/>
    <col min="6662" max="6662" width="13.5703125" style="358" customWidth="1"/>
    <col min="6663" max="6663" width="9.5703125" style="358" customWidth="1"/>
    <col min="6664" max="6664" width="11" style="358" customWidth="1"/>
    <col min="6665" max="6665" width="7" style="358" customWidth="1"/>
    <col min="6666" max="6666" width="3.7109375" style="358" customWidth="1"/>
    <col min="6667" max="6667" width="5.28515625" style="358" customWidth="1"/>
    <col min="6668" max="6912" width="7.28515625" style="358"/>
    <col min="6913" max="6913" width="3.85546875" style="358" customWidth="1"/>
    <col min="6914" max="6914" width="11" style="358" customWidth="1"/>
    <col min="6915" max="6915" width="11.5703125" style="358" customWidth="1"/>
    <col min="6916" max="6916" width="14.28515625" style="358" customWidth="1"/>
    <col min="6917" max="6917" width="8" style="358" customWidth="1"/>
    <col min="6918" max="6918" width="13.5703125" style="358" customWidth="1"/>
    <col min="6919" max="6919" width="9.5703125" style="358" customWidth="1"/>
    <col min="6920" max="6920" width="11" style="358" customWidth="1"/>
    <col min="6921" max="6921" width="7" style="358" customWidth="1"/>
    <col min="6922" max="6922" width="3.7109375" style="358" customWidth="1"/>
    <col min="6923" max="6923" width="5.28515625" style="358" customWidth="1"/>
    <col min="6924" max="7168" width="7.28515625" style="358"/>
    <col min="7169" max="7169" width="3.85546875" style="358" customWidth="1"/>
    <col min="7170" max="7170" width="11" style="358" customWidth="1"/>
    <col min="7171" max="7171" width="11.5703125" style="358" customWidth="1"/>
    <col min="7172" max="7172" width="14.28515625" style="358" customWidth="1"/>
    <col min="7173" max="7173" width="8" style="358" customWidth="1"/>
    <col min="7174" max="7174" width="13.5703125" style="358" customWidth="1"/>
    <col min="7175" max="7175" width="9.5703125" style="358" customWidth="1"/>
    <col min="7176" max="7176" width="11" style="358" customWidth="1"/>
    <col min="7177" max="7177" width="7" style="358" customWidth="1"/>
    <col min="7178" max="7178" width="3.7109375" style="358" customWidth="1"/>
    <col min="7179" max="7179" width="5.28515625" style="358" customWidth="1"/>
    <col min="7180" max="7424" width="7.28515625" style="358"/>
    <col min="7425" max="7425" width="3.85546875" style="358" customWidth="1"/>
    <col min="7426" max="7426" width="11" style="358" customWidth="1"/>
    <col min="7427" max="7427" width="11.5703125" style="358" customWidth="1"/>
    <col min="7428" max="7428" width="14.28515625" style="358" customWidth="1"/>
    <col min="7429" max="7429" width="8" style="358" customWidth="1"/>
    <col min="7430" max="7430" width="13.5703125" style="358" customWidth="1"/>
    <col min="7431" max="7431" width="9.5703125" style="358" customWidth="1"/>
    <col min="7432" max="7432" width="11" style="358" customWidth="1"/>
    <col min="7433" max="7433" width="7" style="358" customWidth="1"/>
    <col min="7434" max="7434" width="3.7109375" style="358" customWidth="1"/>
    <col min="7435" max="7435" width="5.28515625" style="358" customWidth="1"/>
    <col min="7436" max="7680" width="7.28515625" style="358"/>
    <col min="7681" max="7681" width="3.85546875" style="358" customWidth="1"/>
    <col min="7682" max="7682" width="11" style="358" customWidth="1"/>
    <col min="7683" max="7683" width="11.5703125" style="358" customWidth="1"/>
    <col min="7684" max="7684" width="14.28515625" style="358" customWidth="1"/>
    <col min="7685" max="7685" width="8" style="358" customWidth="1"/>
    <col min="7686" max="7686" width="13.5703125" style="358" customWidth="1"/>
    <col min="7687" max="7687" width="9.5703125" style="358" customWidth="1"/>
    <col min="7688" max="7688" width="11" style="358" customWidth="1"/>
    <col min="7689" max="7689" width="7" style="358" customWidth="1"/>
    <col min="7690" max="7690" width="3.7109375" style="358" customWidth="1"/>
    <col min="7691" max="7691" width="5.28515625" style="358" customWidth="1"/>
    <col min="7692" max="7936" width="7.28515625" style="358"/>
    <col min="7937" max="7937" width="3.85546875" style="358" customWidth="1"/>
    <col min="7938" max="7938" width="11" style="358" customWidth="1"/>
    <col min="7939" max="7939" width="11.5703125" style="358" customWidth="1"/>
    <col min="7940" max="7940" width="14.28515625" style="358" customWidth="1"/>
    <col min="7941" max="7941" width="8" style="358" customWidth="1"/>
    <col min="7942" max="7942" width="13.5703125" style="358" customWidth="1"/>
    <col min="7943" max="7943" width="9.5703125" style="358" customWidth="1"/>
    <col min="7944" max="7944" width="11" style="358" customWidth="1"/>
    <col min="7945" max="7945" width="7" style="358" customWidth="1"/>
    <col min="7946" max="7946" width="3.7109375" style="358" customWidth="1"/>
    <col min="7947" max="7947" width="5.28515625" style="358" customWidth="1"/>
    <col min="7948" max="8192" width="7.28515625" style="358"/>
    <col min="8193" max="8193" width="3.85546875" style="358" customWidth="1"/>
    <col min="8194" max="8194" width="11" style="358" customWidth="1"/>
    <col min="8195" max="8195" width="11.5703125" style="358" customWidth="1"/>
    <col min="8196" max="8196" width="14.28515625" style="358" customWidth="1"/>
    <col min="8197" max="8197" width="8" style="358" customWidth="1"/>
    <col min="8198" max="8198" width="13.5703125" style="358" customWidth="1"/>
    <col min="8199" max="8199" width="9.5703125" style="358" customWidth="1"/>
    <col min="8200" max="8200" width="11" style="358" customWidth="1"/>
    <col min="8201" max="8201" width="7" style="358" customWidth="1"/>
    <col min="8202" max="8202" width="3.7109375" style="358" customWidth="1"/>
    <col min="8203" max="8203" width="5.28515625" style="358" customWidth="1"/>
    <col min="8204" max="8448" width="7.28515625" style="358"/>
    <col min="8449" max="8449" width="3.85546875" style="358" customWidth="1"/>
    <col min="8450" max="8450" width="11" style="358" customWidth="1"/>
    <col min="8451" max="8451" width="11.5703125" style="358" customWidth="1"/>
    <col min="8452" max="8452" width="14.28515625" style="358" customWidth="1"/>
    <col min="8453" max="8453" width="8" style="358" customWidth="1"/>
    <col min="8454" max="8454" width="13.5703125" style="358" customWidth="1"/>
    <col min="8455" max="8455" width="9.5703125" style="358" customWidth="1"/>
    <col min="8456" max="8456" width="11" style="358" customWidth="1"/>
    <col min="8457" max="8457" width="7" style="358" customWidth="1"/>
    <col min="8458" max="8458" width="3.7109375" style="358" customWidth="1"/>
    <col min="8459" max="8459" width="5.28515625" style="358" customWidth="1"/>
    <col min="8460" max="8704" width="7.28515625" style="358"/>
    <col min="8705" max="8705" width="3.85546875" style="358" customWidth="1"/>
    <col min="8706" max="8706" width="11" style="358" customWidth="1"/>
    <col min="8707" max="8707" width="11.5703125" style="358" customWidth="1"/>
    <col min="8708" max="8708" width="14.28515625" style="358" customWidth="1"/>
    <col min="8709" max="8709" width="8" style="358" customWidth="1"/>
    <col min="8710" max="8710" width="13.5703125" style="358" customWidth="1"/>
    <col min="8711" max="8711" width="9.5703125" style="358" customWidth="1"/>
    <col min="8712" max="8712" width="11" style="358" customWidth="1"/>
    <col min="8713" max="8713" width="7" style="358" customWidth="1"/>
    <col min="8714" max="8714" width="3.7109375" style="358" customWidth="1"/>
    <col min="8715" max="8715" width="5.28515625" style="358" customWidth="1"/>
    <col min="8716" max="8960" width="7.28515625" style="358"/>
    <col min="8961" max="8961" width="3.85546875" style="358" customWidth="1"/>
    <col min="8962" max="8962" width="11" style="358" customWidth="1"/>
    <col min="8963" max="8963" width="11.5703125" style="358" customWidth="1"/>
    <col min="8964" max="8964" width="14.28515625" style="358" customWidth="1"/>
    <col min="8965" max="8965" width="8" style="358" customWidth="1"/>
    <col min="8966" max="8966" width="13.5703125" style="358" customWidth="1"/>
    <col min="8967" max="8967" width="9.5703125" style="358" customWidth="1"/>
    <col min="8968" max="8968" width="11" style="358" customWidth="1"/>
    <col min="8969" max="8969" width="7" style="358" customWidth="1"/>
    <col min="8970" max="8970" width="3.7109375" style="358" customWidth="1"/>
    <col min="8971" max="8971" width="5.28515625" style="358" customWidth="1"/>
    <col min="8972" max="9216" width="7.28515625" style="358"/>
    <col min="9217" max="9217" width="3.85546875" style="358" customWidth="1"/>
    <col min="9218" max="9218" width="11" style="358" customWidth="1"/>
    <col min="9219" max="9219" width="11.5703125" style="358" customWidth="1"/>
    <col min="9220" max="9220" width="14.28515625" style="358" customWidth="1"/>
    <col min="9221" max="9221" width="8" style="358" customWidth="1"/>
    <col min="9222" max="9222" width="13.5703125" style="358" customWidth="1"/>
    <col min="9223" max="9223" width="9.5703125" style="358" customWidth="1"/>
    <col min="9224" max="9224" width="11" style="358" customWidth="1"/>
    <col min="9225" max="9225" width="7" style="358" customWidth="1"/>
    <col min="9226" max="9226" width="3.7109375" style="358" customWidth="1"/>
    <col min="9227" max="9227" width="5.28515625" style="358" customWidth="1"/>
    <col min="9228" max="9472" width="7.28515625" style="358"/>
    <col min="9473" max="9473" width="3.85546875" style="358" customWidth="1"/>
    <col min="9474" max="9474" width="11" style="358" customWidth="1"/>
    <col min="9475" max="9475" width="11.5703125" style="358" customWidth="1"/>
    <col min="9476" max="9476" width="14.28515625" style="358" customWidth="1"/>
    <col min="9477" max="9477" width="8" style="358" customWidth="1"/>
    <col min="9478" max="9478" width="13.5703125" style="358" customWidth="1"/>
    <col min="9479" max="9479" width="9.5703125" style="358" customWidth="1"/>
    <col min="9480" max="9480" width="11" style="358" customWidth="1"/>
    <col min="9481" max="9481" width="7" style="358" customWidth="1"/>
    <col min="9482" max="9482" width="3.7109375" style="358" customWidth="1"/>
    <col min="9483" max="9483" width="5.28515625" style="358" customWidth="1"/>
    <col min="9484" max="9728" width="7.28515625" style="358"/>
    <col min="9729" max="9729" width="3.85546875" style="358" customWidth="1"/>
    <col min="9730" max="9730" width="11" style="358" customWidth="1"/>
    <col min="9731" max="9731" width="11.5703125" style="358" customWidth="1"/>
    <col min="9732" max="9732" width="14.28515625" style="358" customWidth="1"/>
    <col min="9733" max="9733" width="8" style="358" customWidth="1"/>
    <col min="9734" max="9734" width="13.5703125" style="358" customWidth="1"/>
    <col min="9735" max="9735" width="9.5703125" style="358" customWidth="1"/>
    <col min="9736" max="9736" width="11" style="358" customWidth="1"/>
    <col min="9737" max="9737" width="7" style="358" customWidth="1"/>
    <col min="9738" max="9738" width="3.7109375" style="358" customWidth="1"/>
    <col min="9739" max="9739" width="5.28515625" style="358" customWidth="1"/>
    <col min="9740" max="9984" width="7.28515625" style="358"/>
    <col min="9985" max="9985" width="3.85546875" style="358" customWidth="1"/>
    <col min="9986" max="9986" width="11" style="358" customWidth="1"/>
    <col min="9987" max="9987" width="11.5703125" style="358" customWidth="1"/>
    <col min="9988" max="9988" width="14.28515625" style="358" customWidth="1"/>
    <col min="9989" max="9989" width="8" style="358" customWidth="1"/>
    <col min="9990" max="9990" width="13.5703125" style="358" customWidth="1"/>
    <col min="9991" max="9991" width="9.5703125" style="358" customWidth="1"/>
    <col min="9992" max="9992" width="11" style="358" customWidth="1"/>
    <col min="9993" max="9993" width="7" style="358" customWidth="1"/>
    <col min="9994" max="9994" width="3.7109375" style="358" customWidth="1"/>
    <col min="9995" max="9995" width="5.28515625" style="358" customWidth="1"/>
    <col min="9996" max="10240" width="7.28515625" style="358"/>
    <col min="10241" max="10241" width="3.85546875" style="358" customWidth="1"/>
    <col min="10242" max="10242" width="11" style="358" customWidth="1"/>
    <col min="10243" max="10243" width="11.5703125" style="358" customWidth="1"/>
    <col min="10244" max="10244" width="14.28515625" style="358" customWidth="1"/>
    <col min="10245" max="10245" width="8" style="358" customWidth="1"/>
    <col min="10246" max="10246" width="13.5703125" style="358" customWidth="1"/>
    <col min="10247" max="10247" width="9.5703125" style="358" customWidth="1"/>
    <col min="10248" max="10248" width="11" style="358" customWidth="1"/>
    <col min="10249" max="10249" width="7" style="358" customWidth="1"/>
    <col min="10250" max="10250" width="3.7109375" style="358" customWidth="1"/>
    <col min="10251" max="10251" width="5.28515625" style="358" customWidth="1"/>
    <col min="10252" max="10496" width="7.28515625" style="358"/>
    <col min="10497" max="10497" width="3.85546875" style="358" customWidth="1"/>
    <col min="10498" max="10498" width="11" style="358" customWidth="1"/>
    <col min="10499" max="10499" width="11.5703125" style="358" customWidth="1"/>
    <col min="10500" max="10500" width="14.28515625" style="358" customWidth="1"/>
    <col min="10501" max="10501" width="8" style="358" customWidth="1"/>
    <col min="10502" max="10502" width="13.5703125" style="358" customWidth="1"/>
    <col min="10503" max="10503" width="9.5703125" style="358" customWidth="1"/>
    <col min="10504" max="10504" width="11" style="358" customWidth="1"/>
    <col min="10505" max="10505" width="7" style="358" customWidth="1"/>
    <col min="10506" max="10506" width="3.7109375" style="358" customWidth="1"/>
    <col min="10507" max="10507" width="5.28515625" style="358" customWidth="1"/>
    <col min="10508" max="10752" width="7.28515625" style="358"/>
    <col min="10753" max="10753" width="3.85546875" style="358" customWidth="1"/>
    <col min="10754" max="10754" width="11" style="358" customWidth="1"/>
    <col min="10755" max="10755" width="11.5703125" style="358" customWidth="1"/>
    <col min="10756" max="10756" width="14.28515625" style="358" customWidth="1"/>
    <col min="10757" max="10757" width="8" style="358" customWidth="1"/>
    <col min="10758" max="10758" width="13.5703125" style="358" customWidth="1"/>
    <col min="10759" max="10759" width="9.5703125" style="358" customWidth="1"/>
    <col min="10760" max="10760" width="11" style="358" customWidth="1"/>
    <col min="10761" max="10761" width="7" style="358" customWidth="1"/>
    <col min="10762" max="10762" width="3.7109375" style="358" customWidth="1"/>
    <col min="10763" max="10763" width="5.28515625" style="358" customWidth="1"/>
    <col min="10764" max="11008" width="7.28515625" style="358"/>
    <col min="11009" max="11009" width="3.85546875" style="358" customWidth="1"/>
    <col min="11010" max="11010" width="11" style="358" customWidth="1"/>
    <col min="11011" max="11011" width="11.5703125" style="358" customWidth="1"/>
    <col min="11012" max="11012" width="14.28515625" style="358" customWidth="1"/>
    <col min="11013" max="11013" width="8" style="358" customWidth="1"/>
    <col min="11014" max="11014" width="13.5703125" style="358" customWidth="1"/>
    <col min="11015" max="11015" width="9.5703125" style="358" customWidth="1"/>
    <col min="11016" max="11016" width="11" style="358" customWidth="1"/>
    <col min="11017" max="11017" width="7" style="358" customWidth="1"/>
    <col min="11018" max="11018" width="3.7109375" style="358" customWidth="1"/>
    <col min="11019" max="11019" width="5.28515625" style="358" customWidth="1"/>
    <col min="11020" max="11264" width="7.28515625" style="358"/>
    <col min="11265" max="11265" width="3.85546875" style="358" customWidth="1"/>
    <col min="11266" max="11266" width="11" style="358" customWidth="1"/>
    <col min="11267" max="11267" width="11.5703125" style="358" customWidth="1"/>
    <col min="11268" max="11268" width="14.28515625" style="358" customWidth="1"/>
    <col min="11269" max="11269" width="8" style="358" customWidth="1"/>
    <col min="11270" max="11270" width="13.5703125" style="358" customWidth="1"/>
    <col min="11271" max="11271" width="9.5703125" style="358" customWidth="1"/>
    <col min="11272" max="11272" width="11" style="358" customWidth="1"/>
    <col min="11273" max="11273" width="7" style="358" customWidth="1"/>
    <col min="11274" max="11274" width="3.7109375" style="358" customWidth="1"/>
    <col min="11275" max="11275" width="5.28515625" style="358" customWidth="1"/>
    <col min="11276" max="11520" width="7.28515625" style="358"/>
    <col min="11521" max="11521" width="3.85546875" style="358" customWidth="1"/>
    <col min="11522" max="11522" width="11" style="358" customWidth="1"/>
    <col min="11523" max="11523" width="11.5703125" style="358" customWidth="1"/>
    <col min="11524" max="11524" width="14.28515625" style="358" customWidth="1"/>
    <col min="11525" max="11525" width="8" style="358" customWidth="1"/>
    <col min="11526" max="11526" width="13.5703125" style="358" customWidth="1"/>
    <col min="11527" max="11527" width="9.5703125" style="358" customWidth="1"/>
    <col min="11528" max="11528" width="11" style="358" customWidth="1"/>
    <col min="11529" max="11529" width="7" style="358" customWidth="1"/>
    <col min="11530" max="11530" width="3.7109375" style="358" customWidth="1"/>
    <col min="11531" max="11531" width="5.28515625" style="358" customWidth="1"/>
    <col min="11532" max="11776" width="7.28515625" style="358"/>
    <col min="11777" max="11777" width="3.85546875" style="358" customWidth="1"/>
    <col min="11778" max="11778" width="11" style="358" customWidth="1"/>
    <col min="11779" max="11779" width="11.5703125" style="358" customWidth="1"/>
    <col min="11780" max="11780" width="14.28515625" style="358" customWidth="1"/>
    <col min="11781" max="11781" width="8" style="358" customWidth="1"/>
    <col min="11782" max="11782" width="13.5703125" style="358" customWidth="1"/>
    <col min="11783" max="11783" width="9.5703125" style="358" customWidth="1"/>
    <col min="11784" max="11784" width="11" style="358" customWidth="1"/>
    <col min="11785" max="11785" width="7" style="358" customWidth="1"/>
    <col min="11786" max="11786" width="3.7109375" style="358" customWidth="1"/>
    <col min="11787" max="11787" width="5.28515625" style="358" customWidth="1"/>
    <col min="11788" max="12032" width="7.28515625" style="358"/>
    <col min="12033" max="12033" width="3.85546875" style="358" customWidth="1"/>
    <col min="12034" max="12034" width="11" style="358" customWidth="1"/>
    <col min="12035" max="12035" width="11.5703125" style="358" customWidth="1"/>
    <col min="12036" max="12036" width="14.28515625" style="358" customWidth="1"/>
    <col min="12037" max="12037" width="8" style="358" customWidth="1"/>
    <col min="12038" max="12038" width="13.5703125" style="358" customWidth="1"/>
    <col min="12039" max="12039" width="9.5703125" style="358" customWidth="1"/>
    <col min="12040" max="12040" width="11" style="358" customWidth="1"/>
    <col min="12041" max="12041" width="7" style="358" customWidth="1"/>
    <col min="12042" max="12042" width="3.7109375" style="358" customWidth="1"/>
    <col min="12043" max="12043" width="5.28515625" style="358" customWidth="1"/>
    <col min="12044" max="12288" width="7.28515625" style="358"/>
    <col min="12289" max="12289" width="3.85546875" style="358" customWidth="1"/>
    <col min="12290" max="12290" width="11" style="358" customWidth="1"/>
    <col min="12291" max="12291" width="11.5703125" style="358" customWidth="1"/>
    <col min="12292" max="12292" width="14.28515625" style="358" customWidth="1"/>
    <col min="12293" max="12293" width="8" style="358" customWidth="1"/>
    <col min="12294" max="12294" width="13.5703125" style="358" customWidth="1"/>
    <col min="12295" max="12295" width="9.5703125" style="358" customWidth="1"/>
    <col min="12296" max="12296" width="11" style="358" customWidth="1"/>
    <col min="12297" max="12297" width="7" style="358" customWidth="1"/>
    <col min="12298" max="12298" width="3.7109375" style="358" customWidth="1"/>
    <col min="12299" max="12299" width="5.28515625" style="358" customWidth="1"/>
    <col min="12300" max="12544" width="7.28515625" style="358"/>
    <col min="12545" max="12545" width="3.85546875" style="358" customWidth="1"/>
    <col min="12546" max="12546" width="11" style="358" customWidth="1"/>
    <col min="12547" max="12547" width="11.5703125" style="358" customWidth="1"/>
    <col min="12548" max="12548" width="14.28515625" style="358" customWidth="1"/>
    <col min="12549" max="12549" width="8" style="358" customWidth="1"/>
    <col min="12550" max="12550" width="13.5703125" style="358" customWidth="1"/>
    <col min="12551" max="12551" width="9.5703125" style="358" customWidth="1"/>
    <col min="12552" max="12552" width="11" style="358" customWidth="1"/>
    <col min="12553" max="12553" width="7" style="358" customWidth="1"/>
    <col min="12554" max="12554" width="3.7109375" style="358" customWidth="1"/>
    <col min="12555" max="12555" width="5.28515625" style="358" customWidth="1"/>
    <col min="12556" max="12800" width="7.28515625" style="358"/>
    <col min="12801" max="12801" width="3.85546875" style="358" customWidth="1"/>
    <col min="12802" max="12802" width="11" style="358" customWidth="1"/>
    <col min="12803" max="12803" width="11.5703125" style="358" customWidth="1"/>
    <col min="12804" max="12804" width="14.28515625" style="358" customWidth="1"/>
    <col min="12805" max="12805" width="8" style="358" customWidth="1"/>
    <col min="12806" max="12806" width="13.5703125" style="358" customWidth="1"/>
    <col min="12807" max="12807" width="9.5703125" style="358" customWidth="1"/>
    <col min="12808" max="12808" width="11" style="358" customWidth="1"/>
    <col min="12809" max="12809" width="7" style="358" customWidth="1"/>
    <col min="12810" max="12810" width="3.7109375" style="358" customWidth="1"/>
    <col min="12811" max="12811" width="5.28515625" style="358" customWidth="1"/>
    <col min="12812" max="13056" width="7.28515625" style="358"/>
    <col min="13057" max="13057" width="3.85546875" style="358" customWidth="1"/>
    <col min="13058" max="13058" width="11" style="358" customWidth="1"/>
    <col min="13059" max="13059" width="11.5703125" style="358" customWidth="1"/>
    <col min="13060" max="13060" width="14.28515625" style="358" customWidth="1"/>
    <col min="13061" max="13061" width="8" style="358" customWidth="1"/>
    <col min="13062" max="13062" width="13.5703125" style="358" customWidth="1"/>
    <col min="13063" max="13063" width="9.5703125" style="358" customWidth="1"/>
    <col min="13064" max="13064" width="11" style="358" customWidth="1"/>
    <col min="13065" max="13065" width="7" style="358" customWidth="1"/>
    <col min="13066" max="13066" width="3.7109375" style="358" customWidth="1"/>
    <col min="13067" max="13067" width="5.28515625" style="358" customWidth="1"/>
    <col min="13068" max="13312" width="7.28515625" style="358"/>
    <col min="13313" max="13313" width="3.85546875" style="358" customWidth="1"/>
    <col min="13314" max="13314" width="11" style="358" customWidth="1"/>
    <col min="13315" max="13315" width="11.5703125" style="358" customWidth="1"/>
    <col min="13316" max="13316" width="14.28515625" style="358" customWidth="1"/>
    <col min="13317" max="13317" width="8" style="358" customWidth="1"/>
    <col min="13318" max="13318" width="13.5703125" style="358" customWidth="1"/>
    <col min="13319" max="13319" width="9.5703125" style="358" customWidth="1"/>
    <col min="13320" max="13320" width="11" style="358" customWidth="1"/>
    <col min="13321" max="13321" width="7" style="358" customWidth="1"/>
    <col min="13322" max="13322" width="3.7109375" style="358" customWidth="1"/>
    <col min="13323" max="13323" width="5.28515625" style="358" customWidth="1"/>
    <col min="13324" max="13568" width="7.28515625" style="358"/>
    <col min="13569" max="13569" width="3.85546875" style="358" customWidth="1"/>
    <col min="13570" max="13570" width="11" style="358" customWidth="1"/>
    <col min="13571" max="13571" width="11.5703125" style="358" customWidth="1"/>
    <col min="13572" max="13572" width="14.28515625" style="358" customWidth="1"/>
    <col min="13573" max="13573" width="8" style="358" customWidth="1"/>
    <col min="13574" max="13574" width="13.5703125" style="358" customWidth="1"/>
    <col min="13575" max="13575" width="9.5703125" style="358" customWidth="1"/>
    <col min="13576" max="13576" width="11" style="358" customWidth="1"/>
    <col min="13577" max="13577" width="7" style="358" customWidth="1"/>
    <col min="13578" max="13578" width="3.7109375" style="358" customWidth="1"/>
    <col min="13579" max="13579" width="5.28515625" style="358" customWidth="1"/>
    <col min="13580" max="13824" width="7.28515625" style="358"/>
    <col min="13825" max="13825" width="3.85546875" style="358" customWidth="1"/>
    <col min="13826" max="13826" width="11" style="358" customWidth="1"/>
    <col min="13827" max="13827" width="11.5703125" style="358" customWidth="1"/>
    <col min="13828" max="13828" width="14.28515625" style="358" customWidth="1"/>
    <col min="13829" max="13829" width="8" style="358" customWidth="1"/>
    <col min="13830" max="13830" width="13.5703125" style="358" customWidth="1"/>
    <col min="13831" max="13831" width="9.5703125" style="358" customWidth="1"/>
    <col min="13832" max="13832" width="11" style="358" customWidth="1"/>
    <col min="13833" max="13833" width="7" style="358" customWidth="1"/>
    <col min="13834" max="13834" width="3.7109375" style="358" customWidth="1"/>
    <col min="13835" max="13835" width="5.28515625" style="358" customWidth="1"/>
    <col min="13836" max="14080" width="7.28515625" style="358"/>
    <col min="14081" max="14081" width="3.85546875" style="358" customWidth="1"/>
    <col min="14082" max="14082" width="11" style="358" customWidth="1"/>
    <col min="14083" max="14083" width="11.5703125" style="358" customWidth="1"/>
    <col min="14084" max="14084" width="14.28515625" style="358" customWidth="1"/>
    <col min="14085" max="14085" width="8" style="358" customWidth="1"/>
    <col min="14086" max="14086" width="13.5703125" style="358" customWidth="1"/>
    <col min="14087" max="14087" width="9.5703125" style="358" customWidth="1"/>
    <col min="14088" max="14088" width="11" style="358" customWidth="1"/>
    <col min="14089" max="14089" width="7" style="358" customWidth="1"/>
    <col min="14090" max="14090" width="3.7109375" style="358" customWidth="1"/>
    <col min="14091" max="14091" width="5.28515625" style="358" customWidth="1"/>
    <col min="14092" max="14336" width="7.28515625" style="358"/>
    <col min="14337" max="14337" width="3.85546875" style="358" customWidth="1"/>
    <col min="14338" max="14338" width="11" style="358" customWidth="1"/>
    <col min="14339" max="14339" width="11.5703125" style="358" customWidth="1"/>
    <col min="14340" max="14340" width="14.28515625" style="358" customWidth="1"/>
    <col min="14341" max="14341" width="8" style="358" customWidth="1"/>
    <col min="14342" max="14342" width="13.5703125" style="358" customWidth="1"/>
    <col min="14343" max="14343" width="9.5703125" style="358" customWidth="1"/>
    <col min="14344" max="14344" width="11" style="358" customWidth="1"/>
    <col min="14345" max="14345" width="7" style="358" customWidth="1"/>
    <col min="14346" max="14346" width="3.7109375" style="358" customWidth="1"/>
    <col min="14347" max="14347" width="5.28515625" style="358" customWidth="1"/>
    <col min="14348" max="14592" width="7.28515625" style="358"/>
    <col min="14593" max="14593" width="3.85546875" style="358" customWidth="1"/>
    <col min="14594" max="14594" width="11" style="358" customWidth="1"/>
    <col min="14595" max="14595" width="11.5703125" style="358" customWidth="1"/>
    <col min="14596" max="14596" width="14.28515625" style="358" customWidth="1"/>
    <col min="14597" max="14597" width="8" style="358" customWidth="1"/>
    <col min="14598" max="14598" width="13.5703125" style="358" customWidth="1"/>
    <col min="14599" max="14599" width="9.5703125" style="358" customWidth="1"/>
    <col min="14600" max="14600" width="11" style="358" customWidth="1"/>
    <col min="14601" max="14601" width="7" style="358" customWidth="1"/>
    <col min="14602" max="14602" width="3.7109375" style="358" customWidth="1"/>
    <col min="14603" max="14603" width="5.28515625" style="358" customWidth="1"/>
    <col min="14604" max="14848" width="7.28515625" style="358"/>
    <col min="14849" max="14849" width="3.85546875" style="358" customWidth="1"/>
    <col min="14850" max="14850" width="11" style="358" customWidth="1"/>
    <col min="14851" max="14851" width="11.5703125" style="358" customWidth="1"/>
    <col min="14852" max="14852" width="14.28515625" style="358" customWidth="1"/>
    <col min="14853" max="14853" width="8" style="358" customWidth="1"/>
    <col min="14854" max="14854" width="13.5703125" style="358" customWidth="1"/>
    <col min="14855" max="14855" width="9.5703125" style="358" customWidth="1"/>
    <col min="14856" max="14856" width="11" style="358" customWidth="1"/>
    <col min="14857" max="14857" width="7" style="358" customWidth="1"/>
    <col min="14858" max="14858" width="3.7109375" style="358" customWidth="1"/>
    <col min="14859" max="14859" width="5.28515625" style="358" customWidth="1"/>
    <col min="14860" max="15104" width="7.28515625" style="358"/>
    <col min="15105" max="15105" width="3.85546875" style="358" customWidth="1"/>
    <col min="15106" max="15106" width="11" style="358" customWidth="1"/>
    <col min="15107" max="15107" width="11.5703125" style="358" customWidth="1"/>
    <col min="15108" max="15108" width="14.28515625" style="358" customWidth="1"/>
    <col min="15109" max="15109" width="8" style="358" customWidth="1"/>
    <col min="15110" max="15110" width="13.5703125" style="358" customWidth="1"/>
    <col min="15111" max="15111" width="9.5703125" style="358" customWidth="1"/>
    <col min="15112" max="15112" width="11" style="358" customWidth="1"/>
    <col min="15113" max="15113" width="7" style="358" customWidth="1"/>
    <col min="15114" max="15114" width="3.7109375" style="358" customWidth="1"/>
    <col min="15115" max="15115" width="5.28515625" style="358" customWidth="1"/>
    <col min="15116" max="15360" width="7.28515625" style="358"/>
    <col min="15361" max="15361" width="3.85546875" style="358" customWidth="1"/>
    <col min="15362" max="15362" width="11" style="358" customWidth="1"/>
    <col min="15363" max="15363" width="11.5703125" style="358" customWidth="1"/>
    <col min="15364" max="15364" width="14.28515625" style="358" customWidth="1"/>
    <col min="15365" max="15365" width="8" style="358" customWidth="1"/>
    <col min="15366" max="15366" width="13.5703125" style="358" customWidth="1"/>
    <col min="15367" max="15367" width="9.5703125" style="358" customWidth="1"/>
    <col min="15368" max="15368" width="11" style="358" customWidth="1"/>
    <col min="15369" max="15369" width="7" style="358" customWidth="1"/>
    <col min="15370" max="15370" width="3.7109375" style="358" customWidth="1"/>
    <col min="15371" max="15371" width="5.28515625" style="358" customWidth="1"/>
    <col min="15372" max="15616" width="7.28515625" style="358"/>
    <col min="15617" max="15617" width="3.85546875" style="358" customWidth="1"/>
    <col min="15618" max="15618" width="11" style="358" customWidth="1"/>
    <col min="15619" max="15619" width="11.5703125" style="358" customWidth="1"/>
    <col min="15620" max="15620" width="14.28515625" style="358" customWidth="1"/>
    <col min="15621" max="15621" width="8" style="358" customWidth="1"/>
    <col min="15622" max="15622" width="13.5703125" style="358" customWidth="1"/>
    <col min="15623" max="15623" width="9.5703125" style="358" customWidth="1"/>
    <col min="15624" max="15624" width="11" style="358" customWidth="1"/>
    <col min="15625" max="15625" width="7" style="358" customWidth="1"/>
    <col min="15626" max="15626" width="3.7109375" style="358" customWidth="1"/>
    <col min="15627" max="15627" width="5.28515625" style="358" customWidth="1"/>
    <col min="15628" max="15872" width="7.28515625" style="358"/>
    <col min="15873" max="15873" width="3.85546875" style="358" customWidth="1"/>
    <col min="15874" max="15874" width="11" style="358" customWidth="1"/>
    <col min="15875" max="15875" width="11.5703125" style="358" customWidth="1"/>
    <col min="15876" max="15876" width="14.28515625" style="358" customWidth="1"/>
    <col min="15877" max="15877" width="8" style="358" customWidth="1"/>
    <col min="15878" max="15878" width="13.5703125" style="358" customWidth="1"/>
    <col min="15879" max="15879" width="9.5703125" style="358" customWidth="1"/>
    <col min="15880" max="15880" width="11" style="358" customWidth="1"/>
    <col min="15881" max="15881" width="7" style="358" customWidth="1"/>
    <col min="15882" max="15882" width="3.7109375" style="358" customWidth="1"/>
    <col min="15883" max="15883" width="5.28515625" style="358" customWidth="1"/>
    <col min="15884" max="16128" width="7.28515625" style="358"/>
    <col min="16129" max="16129" width="3.85546875" style="358" customWidth="1"/>
    <col min="16130" max="16130" width="11" style="358" customWidth="1"/>
    <col min="16131" max="16131" width="11.5703125" style="358" customWidth="1"/>
    <col min="16132" max="16132" width="14.28515625" style="358" customWidth="1"/>
    <col min="16133" max="16133" width="8" style="358" customWidth="1"/>
    <col min="16134" max="16134" width="13.5703125" style="358" customWidth="1"/>
    <col min="16135" max="16135" width="9.5703125" style="358" customWidth="1"/>
    <col min="16136" max="16136" width="11" style="358" customWidth="1"/>
    <col min="16137" max="16137" width="7" style="358" customWidth="1"/>
    <col min="16138" max="16138" width="3.7109375" style="358" customWidth="1"/>
    <col min="16139" max="16139" width="5.28515625" style="358" customWidth="1"/>
    <col min="16140" max="16384" width="7.28515625" style="358"/>
  </cols>
  <sheetData>
    <row r="1" spans="2:43" ht="15.75" thickBot="1" x14ac:dyDescent="0.3">
      <c r="D1" s="359"/>
      <c r="E1" s="359"/>
      <c r="F1" s="359"/>
      <c r="G1" s="359"/>
      <c r="K1" s="360"/>
    </row>
    <row r="2" spans="2:43" s="477" customFormat="1" ht="18" customHeight="1" x14ac:dyDescent="0.2">
      <c r="B2" s="1451"/>
      <c r="C2" s="1450"/>
      <c r="D2" s="1449" t="s">
        <v>6</v>
      </c>
      <c r="E2" s="1448"/>
      <c r="F2" s="1448"/>
      <c r="G2" s="1448"/>
      <c r="H2" s="1448"/>
      <c r="I2" s="1448"/>
      <c r="J2" s="1447"/>
      <c r="K2" s="489"/>
      <c r="L2" s="490"/>
      <c r="M2" s="490"/>
      <c r="N2" s="490"/>
      <c r="O2" s="490"/>
      <c r="P2" s="490"/>
      <c r="Q2" s="490"/>
      <c r="R2" s="490"/>
      <c r="S2" s="490"/>
      <c r="T2" s="490"/>
      <c r="U2" s="490"/>
      <c r="V2" s="490"/>
      <c r="W2" s="490"/>
      <c r="X2" s="490"/>
      <c r="Y2" s="490"/>
      <c r="Z2" s="490"/>
      <c r="AA2" s="476"/>
      <c r="AB2" s="476"/>
      <c r="AC2" s="476"/>
      <c r="AD2" s="476"/>
    </row>
    <row r="3" spans="2:43" s="477" customFormat="1" ht="18" customHeight="1" x14ac:dyDescent="0.2">
      <c r="B3" s="1440"/>
      <c r="C3" s="1439"/>
      <c r="D3" s="1446"/>
      <c r="E3" s="1445"/>
      <c r="F3" s="1445"/>
      <c r="G3" s="1445"/>
      <c r="H3" s="1445"/>
      <c r="I3" s="1445"/>
      <c r="J3" s="1444"/>
      <c r="K3" s="489"/>
      <c r="L3" s="490"/>
      <c r="M3" s="490"/>
      <c r="N3" s="490"/>
      <c r="O3" s="490"/>
      <c r="P3" s="490"/>
      <c r="Q3" s="490"/>
      <c r="R3" s="490"/>
      <c r="S3" s="490"/>
      <c r="T3" s="490"/>
      <c r="U3" s="490"/>
      <c r="V3" s="490"/>
      <c r="W3" s="490"/>
      <c r="X3" s="490"/>
      <c r="Y3" s="490"/>
      <c r="Z3" s="490"/>
      <c r="AA3" s="478"/>
      <c r="AB3" s="478"/>
      <c r="AC3" s="478"/>
      <c r="AD3" s="478"/>
    </row>
    <row r="4" spans="2:43" s="477" customFormat="1" ht="18" customHeight="1" x14ac:dyDescent="0.2">
      <c r="B4" s="1440"/>
      <c r="C4" s="1439"/>
      <c r="D4" s="1443" t="s">
        <v>287</v>
      </c>
      <c r="E4" s="1442"/>
      <c r="F4" s="1442"/>
      <c r="G4" s="1442"/>
      <c r="H4" s="1442"/>
      <c r="I4" s="1442"/>
      <c r="J4" s="1441"/>
      <c r="K4" s="478"/>
      <c r="L4" s="478"/>
      <c r="M4" s="478"/>
      <c r="N4" s="478"/>
      <c r="O4" s="478"/>
      <c r="P4" s="478"/>
      <c r="Q4" s="478"/>
      <c r="R4" s="478"/>
      <c r="S4" s="478"/>
      <c r="T4" s="478"/>
      <c r="U4" s="478"/>
      <c r="V4" s="478"/>
      <c r="W4" s="478"/>
      <c r="X4" s="478"/>
      <c r="Y4" s="478"/>
      <c r="Z4" s="478"/>
      <c r="AA4" s="478"/>
      <c r="AB4" s="478"/>
      <c r="AC4" s="478"/>
      <c r="AD4" s="478"/>
    </row>
    <row r="5" spans="2:43" s="477" customFormat="1" ht="5.0999999999999996" customHeight="1" x14ac:dyDescent="0.2">
      <c r="B5" s="1440"/>
      <c r="C5" s="1439"/>
      <c r="D5" s="1438"/>
      <c r="E5" s="1437"/>
      <c r="F5" s="1437"/>
      <c r="G5" s="1437"/>
      <c r="H5" s="1437"/>
      <c r="I5" s="1437"/>
      <c r="J5" s="1436"/>
      <c r="N5" s="479"/>
      <c r="O5" s="479"/>
      <c r="P5" s="479"/>
      <c r="Q5" s="479"/>
      <c r="R5" s="479"/>
      <c r="S5" s="479"/>
      <c r="T5" s="479"/>
      <c r="U5" s="479"/>
      <c r="V5" s="479"/>
      <c r="W5" s="479"/>
      <c r="X5" s="479"/>
      <c r="Y5" s="479"/>
      <c r="Z5" s="479"/>
      <c r="AA5" s="479"/>
      <c r="AB5" s="479"/>
      <c r="AC5" s="479"/>
      <c r="AD5" s="479"/>
      <c r="AE5" s="479"/>
      <c r="AF5" s="479"/>
      <c r="AG5" s="479"/>
      <c r="AH5" s="479"/>
      <c r="AI5" s="479"/>
      <c r="AJ5" s="479"/>
      <c r="AK5" s="479"/>
      <c r="AL5" s="479"/>
      <c r="AM5" s="479"/>
      <c r="AN5" s="479"/>
    </row>
    <row r="6" spans="2:43" s="477" customFormat="1" ht="14.25" customHeight="1" x14ac:dyDescent="0.2">
      <c r="B6" s="1435"/>
      <c r="C6" s="1434"/>
      <c r="D6" s="1433"/>
      <c r="E6" s="1432"/>
      <c r="F6" s="1432"/>
      <c r="G6" s="1432"/>
      <c r="H6" s="1432"/>
      <c r="I6" s="1432"/>
      <c r="J6" s="1431"/>
      <c r="K6" s="480"/>
      <c r="L6" s="480"/>
      <c r="M6" s="480"/>
      <c r="N6" s="480"/>
      <c r="O6" s="480"/>
      <c r="P6" s="480"/>
      <c r="Q6" s="480"/>
      <c r="R6" s="480"/>
      <c r="S6" s="480"/>
      <c r="AD6" s="480"/>
      <c r="AE6" s="480"/>
      <c r="AF6" s="480"/>
      <c r="AG6" s="480"/>
      <c r="AH6" s="480"/>
      <c r="AI6" s="480"/>
      <c r="AJ6" s="480"/>
      <c r="AK6" s="480"/>
      <c r="AL6" s="480"/>
      <c r="AM6" s="480"/>
      <c r="AN6" s="480"/>
    </row>
    <row r="7" spans="2:43" s="477" customFormat="1" ht="9" customHeight="1" x14ac:dyDescent="0.2">
      <c r="B7" s="1135"/>
      <c r="C7" s="1136"/>
      <c r="D7" s="1136"/>
      <c r="E7" s="1136"/>
      <c r="F7" s="1136"/>
      <c r="G7" s="1136"/>
      <c r="H7" s="1136"/>
      <c r="I7" s="1136"/>
      <c r="J7" s="1137"/>
      <c r="K7" s="480"/>
      <c r="L7" s="480"/>
      <c r="M7" s="480"/>
      <c r="N7" s="480"/>
      <c r="O7" s="480"/>
      <c r="P7" s="480"/>
      <c r="Q7" s="480"/>
      <c r="R7" s="480"/>
      <c r="S7" s="480"/>
      <c r="AD7" s="480"/>
      <c r="AE7" s="480"/>
      <c r="AF7" s="480"/>
      <c r="AG7" s="480"/>
      <c r="AH7" s="480"/>
      <c r="AI7" s="480"/>
      <c r="AJ7" s="480"/>
      <c r="AK7" s="480"/>
      <c r="AL7" s="480"/>
      <c r="AM7" s="480"/>
      <c r="AN7" s="480"/>
    </row>
    <row r="8" spans="2:43" s="477" customFormat="1" ht="52.5" customHeight="1" x14ac:dyDescent="0.2">
      <c r="B8" s="1424" t="s">
        <v>0</v>
      </c>
      <c r="C8" s="1430">
        <f>'Proctor SC'!E4</f>
        <v>0</v>
      </c>
      <c r="D8" s="1429"/>
      <c r="E8" s="1429"/>
      <c r="F8" s="1429"/>
      <c r="G8" s="1429"/>
      <c r="H8" s="1429"/>
      <c r="I8" s="1429"/>
      <c r="J8" s="1428"/>
      <c r="K8" s="481"/>
      <c r="L8" s="481"/>
      <c r="M8" s="481"/>
      <c r="N8" s="481"/>
      <c r="O8" s="481"/>
      <c r="P8" s="481"/>
      <c r="Q8" s="481"/>
      <c r="R8" s="481"/>
      <c r="S8" s="481"/>
      <c r="AD8" s="482"/>
      <c r="AE8" s="482"/>
      <c r="AF8" s="482"/>
      <c r="AG8" s="482"/>
      <c r="AH8" s="482"/>
      <c r="AI8" s="482"/>
      <c r="AJ8" s="482"/>
      <c r="AK8" s="482"/>
      <c r="AL8" s="482"/>
      <c r="AM8" s="482"/>
      <c r="AN8" s="482"/>
    </row>
    <row r="9" spans="2:43" s="477" customFormat="1" ht="33.75" customHeight="1" x14ac:dyDescent="0.2">
      <c r="B9" s="1424"/>
      <c r="C9" s="1427"/>
      <c r="D9" s="1426"/>
      <c r="E9" s="1426"/>
      <c r="F9" s="1426"/>
      <c r="G9" s="1426"/>
      <c r="H9" s="1426"/>
      <c r="I9" s="1426"/>
      <c r="J9" s="1425"/>
      <c r="K9" s="481"/>
      <c r="L9" s="481"/>
      <c r="M9" s="483"/>
      <c r="N9" s="483"/>
      <c r="O9" s="483"/>
      <c r="P9" s="481"/>
      <c r="Q9" s="481"/>
      <c r="R9" s="481"/>
      <c r="S9" s="481"/>
      <c r="AD9" s="482"/>
      <c r="AE9" s="482"/>
      <c r="AF9" s="482"/>
      <c r="AG9" s="482"/>
      <c r="AH9" s="482"/>
      <c r="AI9" s="482"/>
      <c r="AJ9" s="482"/>
      <c r="AK9" s="482"/>
      <c r="AL9" s="482"/>
      <c r="AM9" s="482"/>
      <c r="AN9" s="482"/>
    </row>
    <row r="10" spans="2:43" s="477" customFormat="1" ht="14.25" customHeight="1" x14ac:dyDescent="0.2">
      <c r="B10" s="1424" t="s">
        <v>7</v>
      </c>
      <c r="C10" s="1423">
        <f>'Proctor SC'!E5</f>
        <v>0</v>
      </c>
      <c r="D10" s="1423"/>
      <c r="E10" s="1423"/>
      <c r="F10" s="1423"/>
      <c r="G10" s="1423"/>
      <c r="H10" s="1423"/>
      <c r="I10" s="1423"/>
      <c r="J10" s="1422"/>
      <c r="K10" s="481"/>
      <c r="L10" s="481"/>
      <c r="M10" s="483"/>
      <c r="N10" s="483"/>
      <c r="O10" s="483"/>
      <c r="P10" s="481"/>
      <c r="Q10" s="481"/>
      <c r="R10" s="481"/>
      <c r="S10" s="481"/>
      <c r="AD10" s="482"/>
      <c r="AE10" s="482"/>
      <c r="AF10" s="482"/>
      <c r="AG10" s="482"/>
      <c r="AH10" s="482"/>
      <c r="AI10" s="482"/>
      <c r="AJ10" s="482"/>
      <c r="AK10" s="482"/>
      <c r="AL10" s="482"/>
      <c r="AM10" s="482"/>
      <c r="AN10" s="482"/>
    </row>
    <row r="11" spans="2:43" s="477" customFormat="1" ht="15" customHeight="1" x14ac:dyDescent="0.2">
      <c r="B11" s="1424"/>
      <c r="C11" s="1423"/>
      <c r="D11" s="1423"/>
      <c r="E11" s="1423"/>
      <c r="F11" s="1423"/>
      <c r="G11" s="1423"/>
      <c r="H11" s="1423"/>
      <c r="I11" s="1423"/>
      <c r="J11" s="1422"/>
      <c r="M11" s="491"/>
      <c r="N11" s="491"/>
      <c r="O11" s="491"/>
      <c r="P11" s="491"/>
      <c r="Q11" s="491"/>
      <c r="R11" s="491"/>
      <c r="S11" s="491"/>
      <c r="T11" s="491"/>
      <c r="U11" s="491"/>
      <c r="V11" s="491"/>
      <c r="W11" s="491"/>
      <c r="X11" s="491"/>
      <c r="Y11" s="491"/>
      <c r="Z11" s="491"/>
      <c r="AA11" s="491"/>
      <c r="AB11" s="491"/>
      <c r="AC11" s="491"/>
      <c r="AD11" s="491"/>
      <c r="AE11" s="491"/>
      <c r="AF11" s="491"/>
      <c r="AG11" s="491"/>
      <c r="AH11" s="491"/>
      <c r="AI11" s="491"/>
      <c r="AJ11" s="491"/>
      <c r="AK11" s="491"/>
      <c r="AL11" s="491"/>
      <c r="AM11" s="491"/>
      <c r="AN11" s="491"/>
      <c r="AO11" s="491"/>
      <c r="AP11" s="491"/>
      <c r="AQ11" s="1421"/>
    </row>
    <row r="12" spans="2:43" s="477" customFormat="1" ht="14.25" customHeight="1" x14ac:dyDescent="0.2">
      <c r="B12" s="1110" t="s">
        <v>24</v>
      </c>
      <c r="C12" s="1111">
        <f>'Proctor '!E5</f>
        <v>0</v>
      </c>
      <c r="D12" s="1112"/>
      <c r="E12" s="1112"/>
      <c r="F12" s="1112"/>
      <c r="G12" s="1112"/>
      <c r="H12" s="1112"/>
      <c r="I12" s="1112"/>
      <c r="J12" s="1113"/>
      <c r="K12" s="494"/>
      <c r="L12" s="494"/>
      <c r="M12" s="491"/>
      <c r="N12" s="491"/>
      <c r="O12" s="491"/>
      <c r="P12" s="491"/>
      <c r="Q12" s="491"/>
      <c r="R12" s="491"/>
      <c r="S12" s="491"/>
      <c r="T12" s="491"/>
      <c r="U12" s="491"/>
      <c r="V12" s="491"/>
      <c r="W12" s="491"/>
      <c r="X12" s="491"/>
      <c r="Y12" s="491"/>
      <c r="Z12" s="491"/>
      <c r="AA12" s="491"/>
      <c r="AB12" s="491"/>
      <c r="AC12" s="491"/>
      <c r="AD12" s="491"/>
      <c r="AE12" s="491"/>
      <c r="AF12" s="491"/>
      <c r="AG12" s="491"/>
      <c r="AH12" s="491"/>
      <c r="AI12" s="491"/>
      <c r="AJ12" s="491"/>
      <c r="AK12" s="491"/>
      <c r="AL12" s="491"/>
      <c r="AM12" s="491"/>
      <c r="AN12" s="491"/>
      <c r="AO12" s="491"/>
      <c r="AP12" s="491"/>
      <c r="AQ12" s="1421"/>
    </row>
    <row r="13" spans="2:43" s="477" customFormat="1" ht="14.25" customHeight="1" x14ac:dyDescent="0.2">
      <c r="B13" s="1110"/>
      <c r="C13" s="1114"/>
      <c r="D13" s="1115"/>
      <c r="E13" s="1115"/>
      <c r="F13" s="1115"/>
      <c r="G13" s="1115"/>
      <c r="H13" s="1115"/>
      <c r="I13" s="1115"/>
      <c r="J13" s="1116"/>
      <c r="K13" s="494"/>
      <c r="L13" s="494"/>
      <c r="M13" s="494"/>
      <c r="N13" s="494"/>
      <c r="O13" s="494"/>
      <c r="P13" s="494"/>
      <c r="Q13" s="494"/>
      <c r="R13" s="494"/>
      <c r="S13" s="494"/>
      <c r="T13" s="494"/>
      <c r="U13" s="494"/>
      <c r="V13" s="494"/>
      <c r="W13" s="494"/>
      <c r="X13" s="494"/>
      <c r="Y13" s="494"/>
      <c r="Z13" s="494"/>
      <c r="AA13" s="494"/>
      <c r="AB13" s="494"/>
      <c r="AC13" s="494"/>
      <c r="AD13" s="494"/>
      <c r="AE13" s="494"/>
      <c r="AF13" s="494"/>
      <c r="AG13" s="497"/>
      <c r="AH13" s="484"/>
      <c r="AI13" s="484"/>
      <c r="AJ13" s="484"/>
      <c r="AK13" s="484"/>
      <c r="AL13" s="484"/>
      <c r="AM13" s="484"/>
      <c r="AN13" s="484"/>
    </row>
    <row r="14" spans="2:43" s="477" customFormat="1" ht="26.25" customHeight="1" x14ac:dyDescent="0.2">
      <c r="B14" s="1420" t="s">
        <v>9</v>
      </c>
      <c r="C14" s="1419"/>
      <c r="D14" s="1418" t="s">
        <v>56</v>
      </c>
      <c r="E14" s="1117"/>
      <c r="F14" s="1117"/>
      <c r="G14" s="1418" t="s">
        <v>11</v>
      </c>
      <c r="H14" s="1118" t="s">
        <v>78</v>
      </c>
      <c r="I14" s="1118"/>
      <c r="J14" s="1119"/>
      <c r="K14" s="502"/>
      <c r="L14" s="502"/>
      <c r="M14" s="502"/>
      <c r="N14" s="502"/>
      <c r="O14" s="502"/>
      <c r="P14" s="503"/>
      <c r="Q14" s="485"/>
      <c r="R14" s="485"/>
      <c r="S14" s="485"/>
      <c r="T14" s="485"/>
      <c r="U14" s="485"/>
      <c r="V14" s="485"/>
      <c r="W14" s="485"/>
      <c r="X14" s="485"/>
      <c r="Y14" s="485"/>
      <c r="Z14" s="485"/>
      <c r="AA14" s="485"/>
      <c r="AB14" s="485"/>
      <c r="AD14" s="486"/>
      <c r="AE14" s="486"/>
      <c r="AH14" s="487"/>
      <c r="AI14" s="487"/>
      <c r="AJ14" s="487"/>
      <c r="AK14" s="487"/>
      <c r="AL14" s="487"/>
      <c r="AM14" s="487"/>
      <c r="AN14" s="487"/>
    </row>
    <row r="15" spans="2:43" x14ac:dyDescent="0.2">
      <c r="B15" s="361"/>
      <c r="J15" s="362"/>
      <c r="L15" s="488"/>
      <c r="M15" s="363"/>
      <c r="N15" s="363"/>
      <c r="O15" s="364"/>
      <c r="P15" s="364"/>
    </row>
    <row r="16" spans="2:43" x14ac:dyDescent="0.2">
      <c r="B16" s="361"/>
      <c r="J16" s="362"/>
      <c r="L16" s="488"/>
      <c r="M16" s="363"/>
      <c r="N16" s="363"/>
      <c r="O16" s="364"/>
      <c r="P16" s="364"/>
    </row>
    <row r="17" spans="2:13" ht="17.100000000000001" customHeight="1" x14ac:dyDescent="0.2">
      <c r="B17" s="361"/>
      <c r="C17" s="1102" t="s">
        <v>12</v>
      </c>
      <c r="D17" s="1103"/>
      <c r="E17" s="1103"/>
      <c r="F17" s="1104"/>
      <c r="G17" s="365" t="s">
        <v>13</v>
      </c>
      <c r="H17" s="365" t="s">
        <v>14</v>
      </c>
      <c r="I17" s="366"/>
      <c r="J17" s="362"/>
    </row>
    <row r="18" spans="2:13" ht="17.100000000000001" customHeight="1" x14ac:dyDescent="0.2">
      <c r="B18" s="361"/>
      <c r="C18" s="1417" t="s">
        <v>280</v>
      </c>
      <c r="D18" s="1416"/>
      <c r="E18" s="1416"/>
      <c r="F18" s="1415" t="s">
        <v>15</v>
      </c>
      <c r="G18" s="1414"/>
      <c r="H18" s="1413"/>
      <c r="I18" s="369"/>
      <c r="J18" s="362"/>
    </row>
    <row r="19" spans="2:13" ht="17.100000000000001" customHeight="1" x14ac:dyDescent="0.2">
      <c r="B19" s="361"/>
      <c r="C19" s="1403" t="s">
        <v>286</v>
      </c>
      <c r="D19" s="1402"/>
      <c r="E19" s="1402"/>
      <c r="F19" s="1392" t="s">
        <v>16</v>
      </c>
      <c r="G19" s="1412"/>
      <c r="H19" s="1411"/>
      <c r="I19" s="369"/>
      <c r="J19" s="362"/>
    </row>
    <row r="20" spans="2:13" ht="17.100000000000001" customHeight="1" x14ac:dyDescent="0.2">
      <c r="B20" s="361"/>
      <c r="C20" s="1403" t="s">
        <v>285</v>
      </c>
      <c r="D20" s="1402"/>
      <c r="E20" s="1402"/>
      <c r="F20" s="1392" t="s">
        <v>17</v>
      </c>
      <c r="G20" s="1412"/>
      <c r="H20" s="1411"/>
      <c r="I20" s="369"/>
      <c r="J20" s="362"/>
    </row>
    <row r="21" spans="2:13" ht="17.100000000000001" customHeight="1" x14ac:dyDescent="0.2">
      <c r="B21" s="361"/>
      <c r="C21" s="1403" t="s">
        <v>284</v>
      </c>
      <c r="D21" s="1402"/>
      <c r="E21" s="1402"/>
      <c r="F21" s="1392" t="s">
        <v>283</v>
      </c>
      <c r="G21" s="1410">
        <f>G18+G19</f>
        <v>0</v>
      </c>
      <c r="H21" s="1409">
        <f>H18+H19</f>
        <v>0</v>
      </c>
      <c r="I21" s="374"/>
      <c r="J21" s="362"/>
    </row>
    <row r="22" spans="2:13" ht="17.100000000000001" customHeight="1" x14ac:dyDescent="0.2">
      <c r="B22" s="361"/>
      <c r="C22" s="1403" t="s">
        <v>282</v>
      </c>
      <c r="D22" s="1402"/>
      <c r="E22" s="1402"/>
      <c r="F22" s="1392" t="s">
        <v>281</v>
      </c>
      <c r="G22" s="1408">
        <f>G21-G20</f>
        <v>0</v>
      </c>
      <c r="H22" s="1407">
        <f>H21-H20</f>
        <v>0</v>
      </c>
      <c r="I22" s="374"/>
      <c r="J22" s="362"/>
    </row>
    <row r="23" spans="2:13" ht="17.100000000000001" customHeight="1" x14ac:dyDescent="0.2">
      <c r="B23" s="361"/>
      <c r="C23" s="1403" t="s">
        <v>280</v>
      </c>
      <c r="D23" s="1402"/>
      <c r="E23" s="1402"/>
      <c r="F23" s="1392" t="s">
        <v>279</v>
      </c>
      <c r="G23" s="1401"/>
      <c r="H23" s="1400"/>
      <c r="I23" s="1406"/>
      <c r="J23" s="1405"/>
      <c r="M23" s="1404"/>
    </row>
    <row r="24" spans="2:13" ht="17.100000000000001" customHeight="1" x14ac:dyDescent="0.2">
      <c r="B24" s="361"/>
      <c r="C24" s="1403" t="s">
        <v>278</v>
      </c>
      <c r="D24" s="1402"/>
      <c r="E24" s="1402"/>
      <c r="F24" s="1392" t="s">
        <v>277</v>
      </c>
      <c r="G24" s="1401"/>
      <c r="H24" s="1400"/>
      <c r="I24" s="1399" t="s">
        <v>18</v>
      </c>
      <c r="J24" s="1398"/>
    </row>
    <row r="25" spans="2:13" ht="17.100000000000001" customHeight="1" x14ac:dyDescent="0.2">
      <c r="B25" s="361"/>
      <c r="C25" s="1394" t="s">
        <v>276</v>
      </c>
      <c r="D25" s="1393"/>
      <c r="E25" s="1393"/>
      <c r="F25" s="1392" t="s">
        <v>275</v>
      </c>
      <c r="G25" s="1397" t="e">
        <f>G24/G22</f>
        <v>#DIV/0!</v>
      </c>
      <c r="H25" s="1397" t="e">
        <f>H24/H22</f>
        <v>#DIV/0!</v>
      </c>
      <c r="I25" s="1396" t="e">
        <f>AVERAGE(G25:H25)</f>
        <v>#DIV/0!</v>
      </c>
      <c r="J25" s="1395"/>
      <c r="L25" s="1381"/>
    </row>
    <row r="26" spans="2:13" ht="17.100000000000001" customHeight="1" x14ac:dyDescent="0.2">
      <c r="B26" s="361"/>
      <c r="C26" s="1394" t="s">
        <v>274</v>
      </c>
      <c r="D26" s="1393"/>
      <c r="E26" s="1393"/>
      <c r="F26" s="1392" t="s">
        <v>273</v>
      </c>
      <c r="G26" s="1391" t="e">
        <f>G18/G22</f>
        <v>#DIV/0!</v>
      </c>
      <c r="H26" s="1390" t="e">
        <f>H18/H22</f>
        <v>#DIV/0!</v>
      </c>
      <c r="I26" s="1389" t="e">
        <f>AVERAGE(G26:H26)</f>
        <v>#DIV/0!</v>
      </c>
      <c r="J26" s="1388"/>
      <c r="L26" s="1381"/>
    </row>
    <row r="27" spans="2:13" ht="17.100000000000001" customHeight="1" x14ac:dyDescent="0.2">
      <c r="B27" s="361"/>
      <c r="C27" s="1387" t="s">
        <v>19</v>
      </c>
      <c r="D27" s="1386"/>
      <c r="E27" s="1386"/>
      <c r="F27" s="384" t="s">
        <v>272</v>
      </c>
      <c r="G27" s="1385" t="e">
        <f>((G23-G24)*100)/G24</f>
        <v>#DIV/0!</v>
      </c>
      <c r="H27" s="1384" t="e">
        <f>((H23-H24)*100)/H24</f>
        <v>#DIV/0!</v>
      </c>
      <c r="I27" s="1383" t="e">
        <f>AVERAGE(G27:H27)</f>
        <v>#DIV/0!</v>
      </c>
      <c r="J27" s="1382"/>
      <c r="L27" s="1381"/>
    </row>
    <row r="28" spans="2:13" x14ac:dyDescent="0.2">
      <c r="B28" s="361"/>
      <c r="J28" s="362"/>
    </row>
    <row r="29" spans="2:13" x14ac:dyDescent="0.2">
      <c r="B29" s="361"/>
      <c r="J29" s="362"/>
    </row>
    <row r="30" spans="2:13" x14ac:dyDescent="0.2">
      <c r="B30" s="361"/>
      <c r="J30" s="362"/>
    </row>
    <row r="31" spans="2:13" ht="17.100000000000001" customHeight="1" thickBot="1" x14ac:dyDescent="0.25">
      <c r="B31" s="1086"/>
      <c r="C31" s="1087"/>
      <c r="D31" s="1087"/>
      <c r="E31" s="1087"/>
      <c r="F31" s="1087"/>
      <c r="G31" s="1380"/>
      <c r="H31" s="1379"/>
      <c r="I31" s="360"/>
      <c r="J31" s="388"/>
    </row>
    <row r="32" spans="2:13" ht="17.100000000000001" customHeight="1" x14ac:dyDescent="0.2">
      <c r="B32" s="1086" t="s">
        <v>20</v>
      </c>
      <c r="C32" s="1087"/>
      <c r="D32" s="1087"/>
      <c r="E32" s="1087"/>
      <c r="F32" s="1087"/>
      <c r="G32" s="1378" t="e">
        <f>I25</f>
        <v>#DIV/0!</v>
      </c>
      <c r="H32" s="1377" t="s">
        <v>271</v>
      </c>
      <c r="I32" s="360"/>
      <c r="J32" s="388"/>
    </row>
    <row r="33" spans="2:23" ht="17.100000000000001" customHeight="1" x14ac:dyDescent="0.2">
      <c r="B33" s="1071" t="s">
        <v>21</v>
      </c>
      <c r="C33" s="1072"/>
      <c r="D33" s="1072"/>
      <c r="E33" s="1072"/>
      <c r="F33" s="1072"/>
      <c r="G33" s="1376" t="e">
        <f>I26</f>
        <v>#DIV/0!</v>
      </c>
      <c r="H33" s="1375" t="s">
        <v>271</v>
      </c>
      <c r="I33" s="360"/>
      <c r="J33" s="388"/>
    </row>
    <row r="34" spans="2:23" ht="17.100000000000001" customHeight="1" thickBot="1" x14ac:dyDescent="0.25">
      <c r="B34" s="1075" t="s">
        <v>22</v>
      </c>
      <c r="C34" s="1076"/>
      <c r="D34" s="1076"/>
      <c r="E34" s="1076"/>
      <c r="F34" s="1076"/>
      <c r="G34" s="1374" t="e">
        <f>I27</f>
        <v>#DIV/0!</v>
      </c>
      <c r="H34" s="1373" t="s">
        <v>23</v>
      </c>
      <c r="I34" s="360"/>
      <c r="J34" s="388"/>
    </row>
    <row r="35" spans="2:23" x14ac:dyDescent="0.2">
      <c r="B35" s="395"/>
      <c r="C35" s="396"/>
      <c r="D35" s="396"/>
      <c r="E35" s="396"/>
      <c r="F35" s="394"/>
      <c r="G35" s="394"/>
      <c r="J35" s="362"/>
    </row>
    <row r="36" spans="2:23" x14ac:dyDescent="0.2">
      <c r="B36" s="361"/>
      <c r="D36" s="394"/>
      <c r="E36" s="394"/>
      <c r="J36" s="362"/>
    </row>
    <row r="37" spans="2:23" ht="40.5" customHeight="1" x14ac:dyDescent="0.2">
      <c r="B37" s="1077" t="s">
        <v>270</v>
      </c>
      <c r="C37" s="1078"/>
      <c r="D37" s="1078"/>
      <c r="E37" s="1078"/>
      <c r="F37" s="1078"/>
      <c r="G37" s="1078"/>
      <c r="H37" s="1078"/>
      <c r="I37" s="1078"/>
      <c r="J37" s="1079"/>
    </row>
    <row r="38" spans="2:23" ht="15" customHeight="1" x14ac:dyDescent="0.2">
      <c r="B38" s="440"/>
      <c r="C38" s="441"/>
      <c r="D38" s="441"/>
      <c r="E38" s="441"/>
      <c r="F38" s="441"/>
      <c r="G38" s="441"/>
      <c r="H38" s="441"/>
      <c r="I38" s="441"/>
      <c r="J38" s="442"/>
    </row>
    <row r="39" spans="2:23" ht="17.25" customHeight="1" x14ac:dyDescent="0.2">
      <c r="B39" s="440"/>
      <c r="C39" s="441"/>
      <c r="D39" s="441"/>
      <c r="E39" s="441"/>
      <c r="F39" s="441"/>
      <c r="G39" s="441"/>
      <c r="H39" s="441"/>
      <c r="I39" s="441"/>
      <c r="J39" s="442"/>
    </row>
    <row r="40" spans="2:23" ht="12.75" customHeight="1" x14ac:dyDescent="0.2">
      <c r="B40" s="1068">
        <f>E14</f>
        <v>0</v>
      </c>
      <c r="C40" s="1069"/>
      <c r="D40" s="1069"/>
      <c r="E40" s="1069"/>
      <c r="F40" s="1069" t="str">
        <f>'[10]LIMITES (CON CEMENTO)'!AA52</f>
        <v>ING FRANCISCO GRANADOS</v>
      </c>
      <c r="G40" s="1069"/>
      <c r="H40" s="1069"/>
      <c r="I40" s="1069"/>
      <c r="J40" s="1070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8"/>
    </row>
    <row r="41" spans="2:23" ht="12.75" customHeight="1" x14ac:dyDescent="0.2">
      <c r="B41" s="1068" t="str">
        <f>'[11]GRANULOMETRIA DE CASCAJO VOLCAN'!B67:S67</f>
        <v xml:space="preserve">Tecnico de Laboratorio de suelos y Materiales. </v>
      </c>
      <c r="C41" s="1069"/>
      <c r="D41" s="1069"/>
      <c r="E41" s="1069"/>
      <c r="F41" s="1069" t="str">
        <f>'[10]LIMITES (CON CEMENTO)'!AA53</f>
        <v xml:space="preserve">Jefe Técnico de Laboratorio de suelos y Materiales. </v>
      </c>
      <c r="G41" s="1069"/>
      <c r="H41" s="1069"/>
      <c r="I41" s="1069"/>
      <c r="J41" s="1070"/>
      <c r="K41" s="397"/>
      <c r="L41" s="397"/>
      <c r="M41" s="397"/>
      <c r="N41" s="397"/>
      <c r="O41" s="397"/>
      <c r="P41" s="397"/>
      <c r="Q41" s="397"/>
      <c r="R41" s="397"/>
      <c r="S41" s="397"/>
      <c r="T41" s="397"/>
      <c r="U41" s="397"/>
      <c r="V41" s="397"/>
      <c r="W41" s="398"/>
    </row>
    <row r="42" spans="2:23" ht="12.75" customHeight="1" thickBot="1" x14ac:dyDescent="0.25">
      <c r="B42" s="399"/>
      <c r="C42" s="400"/>
      <c r="D42" s="400"/>
      <c r="E42" s="400"/>
      <c r="F42" s="400"/>
      <c r="G42" s="400"/>
      <c r="H42" s="400"/>
      <c r="I42" s="400"/>
      <c r="J42" s="401"/>
      <c r="K42" s="402"/>
      <c r="L42" s="402"/>
      <c r="M42" s="402"/>
      <c r="N42" s="402"/>
    </row>
    <row r="43" spans="2:23" x14ac:dyDescent="0.2">
      <c r="B43" s="403"/>
      <c r="C43" s="403"/>
      <c r="D43" s="403"/>
      <c r="E43" s="403"/>
      <c r="F43" s="403"/>
      <c r="G43" s="403"/>
      <c r="H43" s="403"/>
      <c r="I43" s="403"/>
      <c r="J43" s="404"/>
      <c r="K43" s="360"/>
      <c r="L43" s="360"/>
      <c r="M43" s="360"/>
      <c r="N43" s="360"/>
    </row>
    <row r="44" spans="2:23" x14ac:dyDescent="0.2">
      <c r="B44" s="403"/>
      <c r="C44" s="403"/>
      <c r="D44" s="403"/>
      <c r="E44" s="403"/>
      <c r="F44" s="403"/>
      <c r="G44" s="403"/>
      <c r="H44" s="403"/>
      <c r="I44" s="403"/>
      <c r="J44" s="404"/>
      <c r="K44" s="360"/>
      <c r="L44" s="360"/>
      <c r="M44" s="360"/>
      <c r="N44" s="360"/>
    </row>
  </sheetData>
  <mergeCells count="37">
    <mergeCell ref="B33:F33"/>
    <mergeCell ref="B34:F34"/>
    <mergeCell ref="B37:J37"/>
    <mergeCell ref="B40:E40"/>
    <mergeCell ref="F40:J40"/>
    <mergeCell ref="C25:E25"/>
    <mergeCell ref="I25:J25"/>
    <mergeCell ref="B41:E41"/>
    <mergeCell ref="F41:J41"/>
    <mergeCell ref="C26:E26"/>
    <mergeCell ref="I26:J26"/>
    <mergeCell ref="C27:E27"/>
    <mergeCell ref="I27:J27"/>
    <mergeCell ref="B31:F31"/>
    <mergeCell ref="B32:F32"/>
    <mergeCell ref="C20:E20"/>
    <mergeCell ref="C21:E21"/>
    <mergeCell ref="C23:E23"/>
    <mergeCell ref="I23:J23"/>
    <mergeCell ref="C24:E24"/>
    <mergeCell ref="I24:J24"/>
    <mergeCell ref="C22:E22"/>
    <mergeCell ref="B10:B11"/>
    <mergeCell ref="C10:J11"/>
    <mergeCell ref="B12:B13"/>
    <mergeCell ref="C12:J13"/>
    <mergeCell ref="E14:F14"/>
    <mergeCell ref="H14:J14"/>
    <mergeCell ref="C17:F17"/>
    <mergeCell ref="C18:E18"/>
    <mergeCell ref="C19:E19"/>
    <mergeCell ref="B2:C6"/>
    <mergeCell ref="D2:J3"/>
    <mergeCell ref="D4:J6"/>
    <mergeCell ref="B7:J7"/>
    <mergeCell ref="B8:B9"/>
    <mergeCell ref="C8:J9"/>
  </mergeCells>
  <printOptions horizontalCentered="1" verticalCentered="1" gridLinesSet="0"/>
  <pageMargins left="0.70866141732283472" right="0.70866141732283472" top="0.74803149606299213" bottom="0.74803149606299213" header="0.31496062992125984" footer="0.31496062992125984"/>
  <pageSetup scale="97" orientation="portrait" horizontalDpi="4294967294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18</vt:i4>
      </vt:variant>
    </vt:vector>
  </HeadingPairs>
  <TitlesOfParts>
    <vt:vector size="30" baseType="lpstr">
      <vt:lpstr>Granulometría</vt:lpstr>
      <vt:lpstr>LIMITES</vt:lpstr>
      <vt:lpstr>Clasificación</vt:lpstr>
      <vt:lpstr>Proctor </vt:lpstr>
      <vt:lpstr>GRAV ESP RET 3-4" (2)</vt:lpstr>
      <vt:lpstr>CUADRO RESUMEN DE RESULTADOS</vt:lpstr>
      <vt:lpstr>SC</vt:lpstr>
      <vt:lpstr>Proctor SC</vt:lpstr>
      <vt:lpstr>GRAV ESP MAT SITU (2)</vt:lpstr>
      <vt:lpstr>DATOS DE DISEÑO LODOCRETO (2)</vt:lpstr>
      <vt:lpstr>RESULTADOS DE LABORATORIO (2)</vt:lpstr>
      <vt:lpstr>DISEÑO DE LODOCRETO (2)</vt:lpstr>
      <vt:lpstr>Clasificación!Área_de_impresión</vt:lpstr>
      <vt:lpstr>'DATOS DE DISEÑO LODOCRETO (2)'!Área_de_impresión</vt:lpstr>
      <vt:lpstr>'DISEÑO DE LODOCRETO (2)'!Área_de_impresión</vt:lpstr>
      <vt:lpstr>Granulometría!Área_de_impresión</vt:lpstr>
      <vt:lpstr>'GRAV ESP MAT SITU (2)'!Área_de_impresión</vt:lpstr>
      <vt:lpstr>'GRAV ESP RET 3-4" (2)'!Área_de_impresión</vt:lpstr>
      <vt:lpstr>LIMITES!Área_de_impresión</vt:lpstr>
      <vt:lpstr>'Proctor '!Área_de_impresión</vt:lpstr>
      <vt:lpstr>'Proctor SC'!Área_de_impresión</vt:lpstr>
      <vt:lpstr>'RESULTADOS DE LABORATORIO (2)'!Área_de_impresión</vt:lpstr>
      <vt:lpstr>SC!Área_de_impresión</vt:lpstr>
      <vt:lpstr>LIMITES!Print_Area</vt:lpstr>
      <vt:lpstr>Clasificación!Títulos_a_imprimir</vt:lpstr>
      <vt:lpstr>'DISEÑO DE LODOCRETO (2)'!Títulos_a_imprimir</vt:lpstr>
      <vt:lpstr>Granulometría!Títulos_a_imprimir</vt:lpstr>
      <vt:lpstr>'Proctor '!Títulos_a_imprimir</vt:lpstr>
      <vt:lpstr>'Proctor SC'!Títulos_a_imprimir</vt:lpstr>
      <vt:lpstr>SC!Títulos_a_imprimir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suelos y materiales</dc:creator>
  <cp:lastModifiedBy>Francisco  Granados Cañas</cp:lastModifiedBy>
  <cp:lastPrinted>2023-12-15T20:13:36Z</cp:lastPrinted>
  <dcterms:created xsi:type="dcterms:W3CDTF">2015-03-21T21:59:40Z</dcterms:created>
  <dcterms:modified xsi:type="dcterms:W3CDTF">2024-02-12T21:34:43Z</dcterms:modified>
</cp:coreProperties>
</file>