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stAncientOne\Desktop\Invest_Excel\Tin_Excel\"/>
    </mc:Choice>
  </mc:AlternateContent>
  <bookViews>
    <workbookView xWindow="0" yWindow="0" windowWidth="20730" windowHeight="11760" activeTab="2"/>
  </bookViews>
  <sheets>
    <sheet name="2 Assets" sheetId="1" r:id="rId1"/>
    <sheet name="3 Assets" sheetId="2" r:id="rId2"/>
    <sheet name="4 Assets" sheetId="3" r:id="rId3"/>
    <sheet name="3 Assets (3 Years)" sheetId="4" r:id="rId4"/>
  </sheets>
  <externalReferences>
    <externalReference r:id="rId5"/>
  </externalReferences>
  <definedNames>
    <definedName name="_xlnm._FilterDatabase" localSheetId="0" hidden="1">'2 Assets'!$R$2:$S$14</definedName>
    <definedName name="_xlnm._FilterDatabase" localSheetId="2" hidden="1">'4 Assets'!$R$2:$U$2</definedName>
    <definedName name="Assets">'[1]Monthly Data'!$C$2:$W$2</definedName>
    <definedName name="Companies">'2 Assets'!$J$2:$O$2</definedName>
    <definedName name="Companies3" localSheetId="3">'3 Assets (3 Years)'!$J$2:$O$2</definedName>
    <definedName name="Companies3">'3 Assets'!$J$2:$O$2</definedName>
    <definedName name="Companies3_3">'3 Assets (3 Years)'!$J$2:$O$2</definedName>
    <definedName name="Companies4">'4 Assets'!$J$2:$O$2</definedName>
    <definedName name="ExternalData_1" localSheetId="1">'3 Assets'!$A$2:$A$96</definedName>
    <definedName name="ExternalData_1" localSheetId="3">'3 Assets (3 Years)'!$A$2:$A$96</definedName>
    <definedName name="Opportunity_Set">'2 Assets'!$U$3:$Z$13</definedName>
    <definedName name="Opportunity_Set3" localSheetId="3">'3 Assets (3 Years)'!$W$3:$AC$60</definedName>
    <definedName name="Opportunity_Set3">'3 Assets'!$W$3:$AC$60</definedName>
    <definedName name="Opportunity_Set4">'4 Assets'!$Z$3:$AG$13</definedName>
    <definedName name="Returns">'2 Assets'!$J$2:$O$14</definedName>
    <definedName name="Returns3" localSheetId="3">'3 Assets (3 Years)'!$J$2:$O$38</definedName>
    <definedName name="Returns3">'3 Assets'!$J$2:$O$38</definedName>
    <definedName name="Returns3Years3">'3 Assets (3 Years)'!$J$2:$O$49</definedName>
    <definedName name="Returns4">'4 Assets'!$J$2:$O$13</definedName>
  </definedNames>
  <calcPr calcId="152511"/>
</workbook>
</file>

<file path=xl/calcChain.xml><?xml version="1.0" encoding="utf-8"?>
<calcChain xmlns="http://schemas.openxmlformats.org/spreadsheetml/2006/main">
  <c r="AD15" i="1" l="1"/>
  <c r="AD14" i="1"/>
  <c r="AD13" i="1"/>
  <c r="J2" i="3" l="1"/>
  <c r="K2" i="3"/>
  <c r="L2" i="3"/>
  <c r="M2" i="3"/>
  <c r="N2" i="3"/>
  <c r="O2" i="3"/>
  <c r="I4" i="3" l="1"/>
  <c r="I5" i="3"/>
  <c r="I6" i="3"/>
  <c r="I7" i="3"/>
  <c r="I8" i="3"/>
  <c r="I9" i="3"/>
  <c r="I10" i="3"/>
  <c r="I11" i="3"/>
  <c r="I12" i="3"/>
  <c r="I13" i="3"/>
  <c r="I3" i="3"/>
  <c r="AB2" i="3"/>
  <c r="AC2" i="3"/>
  <c r="AD2" i="3"/>
  <c r="AA2" i="3"/>
  <c r="R4" i="4" l="1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T3" i="4"/>
  <c r="S3" i="4"/>
  <c r="R3" i="4"/>
  <c r="J39" i="4" l="1"/>
  <c r="K39" i="4"/>
  <c r="L39" i="4"/>
  <c r="M39" i="4"/>
  <c r="N39" i="4"/>
  <c r="O39" i="4"/>
  <c r="J40" i="4"/>
  <c r="K40" i="4"/>
  <c r="L40" i="4"/>
  <c r="M40" i="4"/>
  <c r="N40" i="4"/>
  <c r="O40" i="4"/>
  <c r="J41" i="4"/>
  <c r="K41" i="4"/>
  <c r="L41" i="4"/>
  <c r="M41" i="4"/>
  <c r="N41" i="4"/>
  <c r="O41" i="4"/>
  <c r="J42" i="4"/>
  <c r="K42" i="4"/>
  <c r="L42" i="4"/>
  <c r="M42" i="4"/>
  <c r="N42" i="4"/>
  <c r="O42" i="4"/>
  <c r="J43" i="4"/>
  <c r="K43" i="4"/>
  <c r="L43" i="4"/>
  <c r="M43" i="4"/>
  <c r="N43" i="4"/>
  <c r="O43" i="4"/>
  <c r="J44" i="4"/>
  <c r="K44" i="4"/>
  <c r="L44" i="4"/>
  <c r="M44" i="4"/>
  <c r="N44" i="4"/>
  <c r="O44" i="4"/>
  <c r="J45" i="4"/>
  <c r="K45" i="4"/>
  <c r="L45" i="4"/>
  <c r="M45" i="4"/>
  <c r="N45" i="4"/>
  <c r="O45" i="4"/>
  <c r="J46" i="4"/>
  <c r="K46" i="4"/>
  <c r="L46" i="4"/>
  <c r="M46" i="4"/>
  <c r="N46" i="4"/>
  <c r="O46" i="4"/>
  <c r="J47" i="4"/>
  <c r="K47" i="4"/>
  <c r="L47" i="4"/>
  <c r="M47" i="4"/>
  <c r="N47" i="4"/>
  <c r="O47" i="4"/>
  <c r="J48" i="4"/>
  <c r="K48" i="4"/>
  <c r="L48" i="4"/>
  <c r="M48" i="4"/>
  <c r="N48" i="4"/>
  <c r="O48" i="4"/>
  <c r="J49" i="4"/>
  <c r="K49" i="4"/>
  <c r="L49" i="4"/>
  <c r="M49" i="4"/>
  <c r="N49" i="4"/>
  <c r="O49" i="4"/>
  <c r="AA63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O38" i="4"/>
  <c r="N38" i="4"/>
  <c r="M38" i="4"/>
  <c r="L38" i="4"/>
  <c r="K38" i="4"/>
  <c r="J38" i="4"/>
  <c r="Z37" i="4"/>
  <c r="O37" i="4"/>
  <c r="N37" i="4"/>
  <c r="M37" i="4"/>
  <c r="L37" i="4"/>
  <c r="K37" i="4"/>
  <c r="J37" i="4"/>
  <c r="Z36" i="4"/>
  <c r="O36" i="4"/>
  <c r="N36" i="4"/>
  <c r="M36" i="4"/>
  <c r="L36" i="4"/>
  <c r="K36" i="4"/>
  <c r="J36" i="4"/>
  <c r="Z35" i="4"/>
  <c r="O35" i="4"/>
  <c r="N35" i="4"/>
  <c r="M35" i="4"/>
  <c r="L35" i="4"/>
  <c r="K35" i="4"/>
  <c r="J35" i="4"/>
  <c r="Z34" i="4"/>
  <c r="O34" i="4"/>
  <c r="N34" i="4"/>
  <c r="M34" i="4"/>
  <c r="L34" i="4"/>
  <c r="K34" i="4"/>
  <c r="J34" i="4"/>
  <c r="Z33" i="4"/>
  <c r="O33" i="4"/>
  <c r="N33" i="4"/>
  <c r="M33" i="4"/>
  <c r="L33" i="4"/>
  <c r="K33" i="4"/>
  <c r="J33" i="4"/>
  <c r="Z32" i="4"/>
  <c r="O32" i="4"/>
  <c r="N32" i="4"/>
  <c r="M32" i="4"/>
  <c r="L32" i="4"/>
  <c r="K32" i="4"/>
  <c r="J32" i="4"/>
  <c r="Z31" i="4"/>
  <c r="O31" i="4"/>
  <c r="N31" i="4"/>
  <c r="M31" i="4"/>
  <c r="L31" i="4"/>
  <c r="K31" i="4"/>
  <c r="J31" i="4"/>
  <c r="Z30" i="4"/>
  <c r="O30" i="4"/>
  <c r="N30" i="4"/>
  <c r="M30" i="4"/>
  <c r="L30" i="4"/>
  <c r="K30" i="4"/>
  <c r="J30" i="4"/>
  <c r="Z29" i="4"/>
  <c r="O29" i="4"/>
  <c r="N29" i="4"/>
  <c r="M29" i="4"/>
  <c r="L29" i="4"/>
  <c r="K29" i="4"/>
  <c r="J29" i="4"/>
  <c r="Z28" i="4"/>
  <c r="O28" i="4"/>
  <c r="N28" i="4"/>
  <c r="M28" i="4"/>
  <c r="L28" i="4"/>
  <c r="K28" i="4"/>
  <c r="J28" i="4"/>
  <c r="Z27" i="4"/>
  <c r="O27" i="4"/>
  <c r="N27" i="4"/>
  <c r="M27" i="4"/>
  <c r="L27" i="4"/>
  <c r="K27" i="4"/>
  <c r="J27" i="4"/>
  <c r="Z26" i="4"/>
  <c r="O26" i="4"/>
  <c r="N26" i="4"/>
  <c r="M26" i="4"/>
  <c r="L26" i="4"/>
  <c r="K26" i="4"/>
  <c r="J26" i="4"/>
  <c r="Z25" i="4"/>
  <c r="O25" i="4"/>
  <c r="N25" i="4"/>
  <c r="M25" i="4"/>
  <c r="L25" i="4"/>
  <c r="K25" i="4"/>
  <c r="J25" i="4"/>
  <c r="Z24" i="4"/>
  <c r="O24" i="4"/>
  <c r="N24" i="4"/>
  <c r="M24" i="4"/>
  <c r="L24" i="4"/>
  <c r="K24" i="4"/>
  <c r="J24" i="4"/>
  <c r="Z23" i="4"/>
  <c r="O23" i="4"/>
  <c r="N23" i="4"/>
  <c r="M23" i="4"/>
  <c r="L23" i="4"/>
  <c r="K23" i="4"/>
  <c r="J23" i="4"/>
  <c r="Z22" i="4"/>
  <c r="O22" i="4"/>
  <c r="N22" i="4"/>
  <c r="M22" i="4"/>
  <c r="L22" i="4"/>
  <c r="K22" i="4"/>
  <c r="J22" i="4"/>
  <c r="Z21" i="4"/>
  <c r="O21" i="4"/>
  <c r="N21" i="4"/>
  <c r="M21" i="4"/>
  <c r="L21" i="4"/>
  <c r="K21" i="4"/>
  <c r="J21" i="4"/>
  <c r="Z20" i="4"/>
  <c r="O20" i="4"/>
  <c r="N20" i="4"/>
  <c r="M20" i="4"/>
  <c r="L20" i="4"/>
  <c r="K20" i="4"/>
  <c r="J20" i="4"/>
  <c r="Z19" i="4"/>
  <c r="O19" i="4"/>
  <c r="N19" i="4"/>
  <c r="M19" i="4"/>
  <c r="L19" i="4"/>
  <c r="K19" i="4"/>
  <c r="J19" i="4"/>
  <c r="Z18" i="4"/>
  <c r="O18" i="4"/>
  <c r="N18" i="4"/>
  <c r="M18" i="4"/>
  <c r="L18" i="4"/>
  <c r="K18" i="4"/>
  <c r="J18" i="4"/>
  <c r="Z17" i="4"/>
  <c r="O17" i="4"/>
  <c r="N17" i="4"/>
  <c r="M17" i="4"/>
  <c r="L17" i="4"/>
  <c r="K17" i="4"/>
  <c r="J17" i="4"/>
  <c r="Z16" i="4"/>
  <c r="O16" i="4"/>
  <c r="N16" i="4"/>
  <c r="M16" i="4"/>
  <c r="L16" i="4"/>
  <c r="K16" i="4"/>
  <c r="J16" i="4"/>
  <c r="Z15" i="4"/>
  <c r="O15" i="4"/>
  <c r="N15" i="4"/>
  <c r="M15" i="4"/>
  <c r="L15" i="4"/>
  <c r="K15" i="4"/>
  <c r="J15" i="4"/>
  <c r="Z14" i="4"/>
  <c r="O14" i="4"/>
  <c r="N14" i="4"/>
  <c r="M14" i="4"/>
  <c r="L14" i="4"/>
  <c r="K14" i="4"/>
  <c r="J14" i="4"/>
  <c r="Z13" i="4"/>
  <c r="O13" i="4"/>
  <c r="N13" i="4"/>
  <c r="M13" i="4"/>
  <c r="L13" i="4"/>
  <c r="K13" i="4"/>
  <c r="J13" i="4"/>
  <c r="Z12" i="4"/>
  <c r="O12" i="4"/>
  <c r="N12" i="4"/>
  <c r="M12" i="4"/>
  <c r="L12" i="4"/>
  <c r="K12" i="4"/>
  <c r="J12" i="4"/>
  <c r="Z11" i="4"/>
  <c r="O11" i="4"/>
  <c r="N11" i="4"/>
  <c r="M11" i="4"/>
  <c r="L11" i="4"/>
  <c r="K11" i="4"/>
  <c r="J11" i="4"/>
  <c r="Z10" i="4"/>
  <c r="O10" i="4"/>
  <c r="N10" i="4"/>
  <c r="M10" i="4"/>
  <c r="L10" i="4"/>
  <c r="K10" i="4"/>
  <c r="J10" i="4"/>
  <c r="Z9" i="4"/>
  <c r="O9" i="4"/>
  <c r="N9" i="4"/>
  <c r="M9" i="4"/>
  <c r="L9" i="4"/>
  <c r="K9" i="4"/>
  <c r="J9" i="4"/>
  <c r="Z8" i="4"/>
  <c r="O8" i="4"/>
  <c r="N8" i="4"/>
  <c r="M8" i="4"/>
  <c r="L8" i="4"/>
  <c r="K8" i="4"/>
  <c r="J8" i="4"/>
  <c r="Z7" i="4"/>
  <c r="O7" i="4"/>
  <c r="N7" i="4"/>
  <c r="M7" i="4"/>
  <c r="L7" i="4"/>
  <c r="K7" i="4"/>
  <c r="J7" i="4"/>
  <c r="Z6" i="4"/>
  <c r="O6" i="4"/>
  <c r="N6" i="4"/>
  <c r="M6" i="4"/>
  <c r="L6" i="4"/>
  <c r="K6" i="4"/>
  <c r="J6" i="4"/>
  <c r="Z5" i="4"/>
  <c r="O5" i="4"/>
  <c r="N5" i="4"/>
  <c r="M5" i="4"/>
  <c r="L5" i="4"/>
  <c r="K5" i="4"/>
  <c r="J5" i="4"/>
  <c r="Z4" i="4"/>
  <c r="O4" i="4"/>
  <c r="N4" i="4"/>
  <c r="M4" i="4"/>
  <c r="L4" i="4"/>
  <c r="K4" i="4"/>
  <c r="J4" i="4"/>
  <c r="Z3" i="4"/>
  <c r="O3" i="4"/>
  <c r="N3" i="4"/>
  <c r="M3" i="4"/>
  <c r="L3" i="4"/>
  <c r="K3" i="4"/>
  <c r="J3" i="4"/>
  <c r="Z2" i="4"/>
  <c r="Y2" i="4"/>
  <c r="X2" i="4"/>
  <c r="O2" i="4"/>
  <c r="N2" i="4"/>
  <c r="M2" i="4"/>
  <c r="L2" i="4"/>
  <c r="K2" i="4"/>
  <c r="J2" i="4"/>
  <c r="T55" i="4" l="1"/>
  <c r="T54" i="4"/>
  <c r="T53" i="4"/>
  <c r="R57" i="4"/>
  <c r="R56" i="4"/>
  <c r="S57" i="4"/>
  <c r="S56" i="4"/>
  <c r="S55" i="4"/>
  <c r="S54" i="4"/>
  <c r="S53" i="4"/>
  <c r="T57" i="4"/>
  <c r="T56" i="4"/>
  <c r="R55" i="4"/>
  <c r="R54" i="4"/>
  <c r="R53" i="4"/>
  <c r="J2" i="2"/>
  <c r="K2" i="2"/>
  <c r="L2" i="2"/>
  <c r="M2" i="2"/>
  <c r="N2" i="2"/>
  <c r="O2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AA60" i="4" l="1"/>
  <c r="AA52" i="4"/>
  <c r="AA39" i="4"/>
  <c r="AA5" i="4"/>
  <c r="AA53" i="4"/>
  <c r="AA21" i="4"/>
  <c r="AA13" i="4"/>
  <c r="AA55" i="4"/>
  <c r="AA47" i="4"/>
  <c r="AA36" i="4"/>
  <c r="AA32" i="4"/>
  <c r="AA28" i="4"/>
  <c r="AA24" i="4"/>
  <c r="AA20" i="4"/>
  <c r="AA16" i="4"/>
  <c r="AA12" i="4"/>
  <c r="AA6" i="4"/>
  <c r="AA19" i="4"/>
  <c r="AA11" i="4"/>
  <c r="AA58" i="4"/>
  <c r="AA50" i="4"/>
  <c r="AA40" i="4"/>
  <c r="AA37" i="4"/>
  <c r="AA33" i="4"/>
  <c r="AA29" i="4"/>
  <c r="AA25" i="4"/>
  <c r="AA17" i="4"/>
  <c r="AA7" i="4"/>
  <c r="AA10" i="4"/>
  <c r="AA57" i="4"/>
  <c r="AA35" i="4"/>
  <c r="AA56" i="4"/>
  <c r="AA48" i="4"/>
  <c r="AA8" i="4"/>
  <c r="AA31" i="4"/>
  <c r="AA23" i="4"/>
  <c r="AA15" i="4"/>
  <c r="AA4" i="4"/>
  <c r="AA59" i="4"/>
  <c r="AA51" i="4"/>
  <c r="AA38" i="4"/>
  <c r="AA34" i="4"/>
  <c r="AA30" i="4"/>
  <c r="AA26" i="4"/>
  <c r="AA22" i="4"/>
  <c r="AA18" i="4"/>
  <c r="AA14" i="4"/>
  <c r="AA9" i="4"/>
  <c r="AA3" i="4"/>
  <c r="AA54" i="4"/>
  <c r="AA46" i="4"/>
  <c r="AA45" i="4"/>
  <c r="AA44" i="4"/>
  <c r="AA43" i="4"/>
  <c r="AA42" i="4"/>
  <c r="AA41" i="4"/>
  <c r="AA49" i="4"/>
  <c r="AA27" i="4"/>
  <c r="AB55" i="4"/>
  <c r="AC55" i="4" s="1"/>
  <c r="AB47" i="4"/>
  <c r="AC47" i="4" s="1"/>
  <c r="AB36" i="4"/>
  <c r="AC36" i="4" s="1"/>
  <c r="AB32" i="4"/>
  <c r="AC32" i="4" s="1"/>
  <c r="AB28" i="4"/>
  <c r="AC28" i="4" s="1"/>
  <c r="AB24" i="4"/>
  <c r="AC24" i="4" s="1"/>
  <c r="AB20" i="4"/>
  <c r="AC20" i="4" s="1"/>
  <c r="AB16" i="4"/>
  <c r="AC16" i="4" s="1"/>
  <c r="AB12" i="4"/>
  <c r="AC12" i="4" s="1"/>
  <c r="AB6" i="4"/>
  <c r="AC6" i="4" s="1"/>
  <c r="AB56" i="4"/>
  <c r="AC56" i="4" s="1"/>
  <c r="AB48" i="4"/>
  <c r="AC48" i="4" s="1"/>
  <c r="AB23" i="4"/>
  <c r="AC23" i="4" s="1"/>
  <c r="AB52" i="4"/>
  <c r="AC52" i="4" s="1"/>
  <c r="AB5" i="4"/>
  <c r="AC5" i="4" s="1"/>
  <c r="AB58" i="4"/>
  <c r="AC58" i="4" s="1"/>
  <c r="AB50" i="4"/>
  <c r="AC50" i="4" s="1"/>
  <c r="AB53" i="4"/>
  <c r="AC53" i="4" s="1"/>
  <c r="AB40" i="4"/>
  <c r="AC40" i="4" s="1"/>
  <c r="AB37" i="4"/>
  <c r="AC37" i="4" s="1"/>
  <c r="AB33" i="4"/>
  <c r="AC33" i="4" s="1"/>
  <c r="AB29" i="4"/>
  <c r="AC29" i="4" s="1"/>
  <c r="AB25" i="4"/>
  <c r="AC25" i="4" s="1"/>
  <c r="AB21" i="4"/>
  <c r="AC21" i="4" s="1"/>
  <c r="AB17" i="4"/>
  <c r="AC17" i="4" s="1"/>
  <c r="AB13" i="4"/>
  <c r="AC13" i="4" s="1"/>
  <c r="AB7" i="4"/>
  <c r="AC7" i="4" s="1"/>
  <c r="AB8" i="4"/>
  <c r="AC8" i="4" s="1"/>
  <c r="AB15" i="4"/>
  <c r="AC15" i="4" s="1"/>
  <c r="AB59" i="4"/>
  <c r="AC59" i="4" s="1"/>
  <c r="AB51" i="4"/>
  <c r="AC51" i="4" s="1"/>
  <c r="AB38" i="4"/>
  <c r="AC38" i="4" s="1"/>
  <c r="AB34" i="4"/>
  <c r="AC34" i="4" s="1"/>
  <c r="AB30" i="4"/>
  <c r="AC30" i="4" s="1"/>
  <c r="AB26" i="4"/>
  <c r="AC26" i="4" s="1"/>
  <c r="AB22" i="4"/>
  <c r="AC22" i="4" s="1"/>
  <c r="AB18" i="4"/>
  <c r="AC18" i="4" s="1"/>
  <c r="AB14" i="4"/>
  <c r="AC14" i="4" s="1"/>
  <c r="AB9" i="4"/>
  <c r="AC9" i="4" s="1"/>
  <c r="AB3" i="4"/>
  <c r="AC3" i="4" s="1"/>
  <c r="AB19" i="4"/>
  <c r="AC19" i="4" s="1"/>
  <c r="AB60" i="4"/>
  <c r="AC60" i="4" s="1"/>
  <c r="AB54" i="4"/>
  <c r="AC54" i="4" s="1"/>
  <c r="AB46" i="4"/>
  <c r="AC46" i="4" s="1"/>
  <c r="AB45" i="4"/>
  <c r="AC45" i="4" s="1"/>
  <c r="AB44" i="4"/>
  <c r="AC44" i="4" s="1"/>
  <c r="AB43" i="4"/>
  <c r="AC43" i="4" s="1"/>
  <c r="AB42" i="4"/>
  <c r="AC42" i="4" s="1"/>
  <c r="AB41" i="4"/>
  <c r="AC41" i="4" s="1"/>
  <c r="AB10" i="4"/>
  <c r="AC10" i="4" s="1"/>
  <c r="AB57" i="4"/>
  <c r="AC57" i="4" s="1"/>
  <c r="AB49" i="4"/>
  <c r="AC49" i="4" s="1"/>
  <c r="AB35" i="4"/>
  <c r="AC35" i="4" s="1"/>
  <c r="AB31" i="4"/>
  <c r="AC31" i="4" s="1"/>
  <c r="AB27" i="4"/>
  <c r="AC27" i="4" s="1"/>
  <c r="AB11" i="4"/>
  <c r="AC11" i="4" s="1"/>
  <c r="AB4" i="4"/>
  <c r="AC4" i="4" s="1"/>
  <c r="AB39" i="4"/>
  <c r="AC39" i="4" s="1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W43" i="4" l="1"/>
  <c r="W18" i="4"/>
  <c r="W4" i="4"/>
  <c r="W57" i="4"/>
  <c r="W40" i="4"/>
  <c r="W20" i="4"/>
  <c r="W21" i="4"/>
  <c r="W41" i="4"/>
  <c r="W9" i="4"/>
  <c r="W51" i="4"/>
  <c r="W56" i="4"/>
  <c r="W33" i="4"/>
  <c r="W12" i="4"/>
  <c r="W55" i="4"/>
  <c r="W42" i="4"/>
  <c r="W14" i="4"/>
  <c r="W59" i="4"/>
  <c r="W35" i="4"/>
  <c r="W37" i="4"/>
  <c r="W16" i="4"/>
  <c r="W13" i="4"/>
  <c r="W44" i="4"/>
  <c r="W22" i="4"/>
  <c r="W15" i="4"/>
  <c r="W10" i="4"/>
  <c r="W50" i="4"/>
  <c r="W24" i="4"/>
  <c r="W53" i="4"/>
  <c r="W45" i="4"/>
  <c r="W26" i="4"/>
  <c r="W23" i="4"/>
  <c r="W7" i="4"/>
  <c r="W58" i="4"/>
  <c r="W28" i="4"/>
  <c r="W5" i="4"/>
  <c r="W46" i="4"/>
  <c r="W30" i="4"/>
  <c r="W31" i="4"/>
  <c r="W17" i="4"/>
  <c r="W11" i="4"/>
  <c r="W32" i="4"/>
  <c r="W39" i="4"/>
  <c r="W27" i="4"/>
  <c r="W54" i="4"/>
  <c r="W34" i="4"/>
  <c r="W8" i="4"/>
  <c r="W25" i="4"/>
  <c r="W19" i="4"/>
  <c r="W36" i="4"/>
  <c r="W52" i="4"/>
  <c r="W49" i="4"/>
  <c r="W3" i="4"/>
  <c r="W38" i="4"/>
  <c r="W48" i="4"/>
  <c r="W29" i="4"/>
  <c r="W6" i="4"/>
  <c r="W47" i="4"/>
  <c r="W60" i="4"/>
  <c r="R33" i="2"/>
  <c r="R37" i="2"/>
  <c r="S38" i="2"/>
  <c r="T31" i="2"/>
  <c r="T35" i="2"/>
  <c r="S34" i="2"/>
  <c r="S24" i="2"/>
  <c r="R21" i="2"/>
  <c r="R36" i="2"/>
  <c r="T14" i="2"/>
  <c r="R38" i="2"/>
  <c r="T36" i="2"/>
  <c r="S35" i="2"/>
  <c r="R34" i="2"/>
  <c r="T32" i="2"/>
  <c r="S31" i="2"/>
  <c r="R30" i="2"/>
  <c r="S27" i="2"/>
  <c r="R26" i="2"/>
  <c r="T24" i="2"/>
  <c r="S23" i="2"/>
  <c r="R22" i="2"/>
  <c r="T20" i="2"/>
  <c r="S19" i="2"/>
  <c r="R18" i="2"/>
  <c r="T16" i="2"/>
  <c r="S15" i="2"/>
  <c r="R14" i="2"/>
  <c r="S30" i="2"/>
  <c r="T27" i="2"/>
  <c r="R25" i="2"/>
  <c r="S22" i="2"/>
  <c r="T15" i="2"/>
  <c r="T37" i="2"/>
  <c r="S36" i="2"/>
  <c r="R35" i="2"/>
  <c r="T33" i="2"/>
  <c r="S32" i="2"/>
  <c r="R31" i="2"/>
  <c r="T29" i="2"/>
  <c r="R27" i="2"/>
  <c r="T25" i="2"/>
  <c r="R23" i="2"/>
  <c r="T21" i="2"/>
  <c r="S20" i="2"/>
  <c r="R19" i="2"/>
  <c r="T17" i="2"/>
  <c r="S16" i="2"/>
  <c r="R15" i="2"/>
  <c r="R29" i="2"/>
  <c r="S26" i="2"/>
  <c r="T23" i="2"/>
  <c r="T19" i="2"/>
  <c r="S18" i="2"/>
  <c r="R17" i="2"/>
  <c r="S14" i="2"/>
  <c r="T38" i="2"/>
  <c r="S37" i="2"/>
  <c r="T34" i="2"/>
  <c r="S33" i="2"/>
  <c r="R32" i="2"/>
  <c r="T30" i="2"/>
  <c r="S29" i="2"/>
  <c r="R28" i="2"/>
  <c r="T26" i="2"/>
  <c r="S25" i="2"/>
  <c r="R24" i="2"/>
  <c r="T22" i="2"/>
  <c r="S21" i="2"/>
  <c r="R20" i="2"/>
  <c r="T18" i="2"/>
  <c r="S17" i="2"/>
  <c r="R16" i="2"/>
  <c r="W62" i="4" l="1"/>
  <c r="T28" i="2"/>
  <c r="S28" i="2"/>
  <c r="AB62" i="4" l="1"/>
  <c r="AC62" i="4"/>
  <c r="AA62" i="4"/>
  <c r="AG4" i="4" s="1"/>
  <c r="Z62" i="4"/>
  <c r="Y62" i="4"/>
  <c r="X62" i="4"/>
  <c r="AD4" i="3"/>
  <c r="AD5" i="3"/>
  <c r="AD6" i="3"/>
  <c r="AD7" i="3"/>
  <c r="AD8" i="3"/>
  <c r="AD9" i="3"/>
  <c r="AD10" i="3"/>
  <c r="AD11" i="3"/>
  <c r="AD12" i="3"/>
  <c r="AD13" i="3"/>
  <c r="AD3" i="3"/>
  <c r="AG8" i="4" l="1"/>
  <c r="AG9" i="4"/>
  <c r="AG5" i="4"/>
  <c r="AG7" i="4" s="1"/>
  <c r="AG10" i="4" s="1"/>
  <c r="U6" i="3"/>
  <c r="AE16" i="3"/>
  <c r="O13" i="3"/>
  <c r="R13" i="3" s="1"/>
  <c r="N13" i="3"/>
  <c r="M13" i="3"/>
  <c r="U13" i="3" s="1"/>
  <c r="L13" i="3"/>
  <c r="K13" i="3"/>
  <c r="J13" i="3"/>
  <c r="S13" i="3" s="1"/>
  <c r="O12" i="3"/>
  <c r="N12" i="3"/>
  <c r="M12" i="3"/>
  <c r="L12" i="3"/>
  <c r="K12" i="3"/>
  <c r="J12" i="3"/>
  <c r="O11" i="3"/>
  <c r="N11" i="3"/>
  <c r="M11" i="3"/>
  <c r="U11" i="3" s="1"/>
  <c r="L11" i="3"/>
  <c r="K11" i="3"/>
  <c r="J11" i="3"/>
  <c r="O10" i="3"/>
  <c r="N10" i="3"/>
  <c r="M10" i="3"/>
  <c r="U10" i="3" s="1"/>
  <c r="L10" i="3"/>
  <c r="K10" i="3"/>
  <c r="J10" i="3"/>
  <c r="O9" i="3"/>
  <c r="N9" i="3"/>
  <c r="M9" i="3"/>
  <c r="U9" i="3" s="1"/>
  <c r="L9" i="3"/>
  <c r="K9" i="3"/>
  <c r="J9" i="3"/>
  <c r="S9" i="3" s="1"/>
  <c r="O8" i="3"/>
  <c r="N8" i="3"/>
  <c r="M8" i="3"/>
  <c r="L8" i="3"/>
  <c r="K8" i="3"/>
  <c r="J8" i="3"/>
  <c r="O7" i="3"/>
  <c r="N7" i="3"/>
  <c r="M7" i="3"/>
  <c r="U8" i="3" s="1"/>
  <c r="L7" i="3"/>
  <c r="K7" i="3"/>
  <c r="J7" i="3"/>
  <c r="O6" i="3"/>
  <c r="N6" i="3"/>
  <c r="M6" i="3"/>
  <c r="L6" i="3"/>
  <c r="K6" i="3"/>
  <c r="J6" i="3"/>
  <c r="O5" i="3"/>
  <c r="N5" i="3"/>
  <c r="T5" i="3" s="1"/>
  <c r="M5" i="3"/>
  <c r="U5" i="3" s="1"/>
  <c r="L5" i="3"/>
  <c r="K5" i="3"/>
  <c r="J5" i="3"/>
  <c r="S5" i="3" s="1"/>
  <c r="O4" i="3"/>
  <c r="N4" i="3"/>
  <c r="M4" i="3"/>
  <c r="L4" i="3"/>
  <c r="K4" i="3"/>
  <c r="J4" i="3"/>
  <c r="O3" i="3"/>
  <c r="N3" i="3"/>
  <c r="M3" i="3"/>
  <c r="U3" i="3" s="1"/>
  <c r="L3" i="3"/>
  <c r="K3" i="3"/>
  <c r="J3" i="3"/>
  <c r="AA75" i="2"/>
  <c r="Z2" i="2"/>
  <c r="T13" i="2"/>
  <c r="S13" i="2"/>
  <c r="T12" i="2"/>
  <c r="T11" i="2"/>
  <c r="S11" i="2"/>
  <c r="T10" i="2"/>
  <c r="T9" i="2"/>
  <c r="S9" i="2"/>
  <c r="T8" i="2"/>
  <c r="T7" i="2"/>
  <c r="S7" i="2"/>
  <c r="T6" i="2"/>
  <c r="T5" i="2"/>
  <c r="S5" i="2"/>
  <c r="T4" i="2"/>
  <c r="T3" i="2"/>
  <c r="S3" i="2"/>
  <c r="Y2" i="2"/>
  <c r="X2" i="2"/>
  <c r="S10" i="3" l="1"/>
  <c r="U7" i="3"/>
  <c r="T10" i="3"/>
  <c r="T9" i="3"/>
  <c r="T13" i="3"/>
  <c r="U4" i="3"/>
  <c r="U12" i="3"/>
  <c r="U18" i="3" s="1"/>
  <c r="T12" i="3"/>
  <c r="T7" i="3"/>
  <c r="R6" i="3"/>
  <c r="R10" i="3"/>
  <c r="R3" i="3"/>
  <c r="S6" i="3"/>
  <c r="T11" i="3"/>
  <c r="T6" i="3"/>
  <c r="R9" i="3"/>
  <c r="R5" i="3"/>
  <c r="T4" i="3"/>
  <c r="S4" i="3"/>
  <c r="R4" i="3"/>
  <c r="R8" i="3"/>
  <c r="T8" i="3"/>
  <c r="S8" i="3"/>
  <c r="R12" i="3"/>
  <c r="S12" i="3"/>
  <c r="S7" i="3"/>
  <c r="S11" i="3"/>
  <c r="R11" i="3"/>
  <c r="T3" i="3"/>
  <c r="S3" i="3"/>
  <c r="R7" i="3"/>
  <c r="U21" i="3" s="1"/>
  <c r="R6" i="2"/>
  <c r="R8" i="2"/>
  <c r="R10" i="2"/>
  <c r="R12" i="2"/>
  <c r="R4" i="2"/>
  <c r="R3" i="2"/>
  <c r="R5" i="2"/>
  <c r="R7" i="2"/>
  <c r="R9" i="2"/>
  <c r="R11" i="2"/>
  <c r="R13" i="2"/>
  <c r="S4" i="2"/>
  <c r="S6" i="2"/>
  <c r="S8" i="2"/>
  <c r="S10" i="2"/>
  <c r="S12" i="2"/>
  <c r="T44" i="2"/>
  <c r="T43" i="2"/>
  <c r="T42" i="2"/>
  <c r="X17" i="1"/>
  <c r="U17" i="3" l="1"/>
  <c r="U19" i="3"/>
  <c r="W21" i="3"/>
  <c r="U22" i="3"/>
  <c r="V22" i="3"/>
  <c r="W22" i="3"/>
  <c r="S21" i="3"/>
  <c r="T18" i="3"/>
  <c r="T17" i="3"/>
  <c r="S22" i="3"/>
  <c r="T19" i="3"/>
  <c r="R18" i="3"/>
  <c r="S18" i="3"/>
  <c r="R21" i="3"/>
  <c r="S19" i="3"/>
  <c r="S17" i="3"/>
  <c r="T22" i="3"/>
  <c r="T21" i="3"/>
  <c r="R22" i="3"/>
  <c r="V21" i="3"/>
  <c r="R17" i="3"/>
  <c r="R19" i="3"/>
  <c r="R43" i="2"/>
  <c r="S43" i="2"/>
  <c r="R44" i="2"/>
  <c r="T45" i="2"/>
  <c r="R42" i="2"/>
  <c r="R46" i="2"/>
  <c r="T46" i="2"/>
  <c r="S44" i="2"/>
  <c r="R45" i="2"/>
  <c r="S45" i="2"/>
  <c r="S46" i="2"/>
  <c r="S42" i="2"/>
  <c r="W2" i="1"/>
  <c r="V2" i="1"/>
  <c r="W4" i="1"/>
  <c r="W5" i="1"/>
  <c r="W6" i="1"/>
  <c r="W7" i="1"/>
  <c r="W8" i="1"/>
  <c r="W9" i="1"/>
  <c r="W10" i="1"/>
  <c r="W11" i="1"/>
  <c r="W12" i="1"/>
  <c r="W13" i="1"/>
  <c r="W3" i="1"/>
  <c r="AF8" i="3" l="1"/>
  <c r="AG8" i="3" s="1"/>
  <c r="AF6" i="3"/>
  <c r="AG6" i="3" s="1"/>
  <c r="AF3" i="3"/>
  <c r="AG3" i="3" s="1"/>
  <c r="AF4" i="3"/>
  <c r="AG4" i="3" s="1"/>
  <c r="AF13" i="3"/>
  <c r="AG13" i="3" s="1"/>
  <c r="AF10" i="3"/>
  <c r="AG10" i="3" s="1"/>
  <c r="AF9" i="3"/>
  <c r="AG9" i="3" s="1"/>
  <c r="AF11" i="3"/>
  <c r="AG11" i="3" s="1"/>
  <c r="AF5" i="3"/>
  <c r="AG5" i="3" s="1"/>
  <c r="AF7" i="3"/>
  <c r="AG7" i="3" s="1"/>
  <c r="AF12" i="3"/>
  <c r="AG12" i="3" s="1"/>
  <c r="AE5" i="3"/>
  <c r="AE3" i="3"/>
  <c r="AE12" i="3"/>
  <c r="AE10" i="3"/>
  <c r="AE13" i="3"/>
  <c r="AE8" i="3"/>
  <c r="Z8" i="3" s="1"/>
  <c r="AE11" i="3"/>
  <c r="AE6" i="3"/>
  <c r="Z6" i="3" s="1"/>
  <c r="AE9" i="3"/>
  <c r="AE4" i="3"/>
  <c r="AE7" i="3"/>
  <c r="AB72" i="2"/>
  <c r="AC72" i="2" s="1"/>
  <c r="AB71" i="2"/>
  <c r="AC71" i="2" s="1"/>
  <c r="AB70" i="2"/>
  <c r="AC70" i="2" s="1"/>
  <c r="AA7" i="2"/>
  <c r="AA72" i="2"/>
  <c r="W72" i="2" s="1"/>
  <c r="AA71" i="2"/>
  <c r="AA70" i="2"/>
  <c r="AA69" i="2"/>
  <c r="AA65" i="2"/>
  <c r="AA61" i="2"/>
  <c r="AA62" i="2"/>
  <c r="AA68" i="2"/>
  <c r="AA64" i="2"/>
  <c r="AA67" i="2"/>
  <c r="AA63" i="2"/>
  <c r="AA66" i="2"/>
  <c r="AB62" i="2"/>
  <c r="AC62" i="2" s="1"/>
  <c r="W62" i="2" s="1"/>
  <c r="AB69" i="2"/>
  <c r="AC69" i="2" s="1"/>
  <c r="AB65" i="2"/>
  <c r="AC65" i="2" s="1"/>
  <c r="AB61" i="2"/>
  <c r="AC61" i="2" s="1"/>
  <c r="AB66" i="2"/>
  <c r="AC66" i="2" s="1"/>
  <c r="AB68" i="2"/>
  <c r="AC68" i="2" s="1"/>
  <c r="AB64" i="2"/>
  <c r="AC64" i="2" s="1"/>
  <c r="AB63" i="2"/>
  <c r="AC63" i="2" s="1"/>
  <c r="AB67" i="2"/>
  <c r="AC67" i="2" s="1"/>
  <c r="W67" i="2" s="1"/>
  <c r="AB45" i="2"/>
  <c r="AC45" i="2" s="1"/>
  <c r="AA42" i="2"/>
  <c r="AB29" i="2"/>
  <c r="AC29" i="2" s="1"/>
  <c r="AA32" i="2"/>
  <c r="AA56" i="2"/>
  <c r="AA12" i="2"/>
  <c r="AA26" i="2"/>
  <c r="AA13" i="2"/>
  <c r="AA58" i="2"/>
  <c r="AA18" i="2"/>
  <c r="AB16" i="2"/>
  <c r="AC16" i="2" s="1"/>
  <c r="AB7" i="2"/>
  <c r="AC7" i="2" s="1"/>
  <c r="W7" i="2" s="1"/>
  <c r="AB40" i="2"/>
  <c r="AC40" i="2" s="1"/>
  <c r="AB56" i="2"/>
  <c r="AC56" i="2" s="1"/>
  <c r="AB13" i="2"/>
  <c r="AC13" i="2" s="1"/>
  <c r="AB53" i="2"/>
  <c r="AC53" i="2" s="1"/>
  <c r="AB8" i="2"/>
  <c r="AC8" i="2" s="1"/>
  <c r="AB24" i="2"/>
  <c r="AC24" i="2" s="1"/>
  <c r="AB44" i="2"/>
  <c r="AC44" i="2" s="1"/>
  <c r="AB3" i="2"/>
  <c r="AC3" i="2" s="1"/>
  <c r="AB9" i="2"/>
  <c r="AC9" i="2" s="1"/>
  <c r="AB4" i="2"/>
  <c r="AC4" i="2" s="1"/>
  <c r="AB35" i="2"/>
  <c r="AC35" i="2" s="1"/>
  <c r="AB54" i="2"/>
  <c r="AC54" i="2" s="1"/>
  <c r="AB38" i="2"/>
  <c r="AC38" i="2" s="1"/>
  <c r="AB22" i="2"/>
  <c r="AC22" i="2" s="1"/>
  <c r="AB59" i="2"/>
  <c r="AC59" i="2" s="1"/>
  <c r="AB43" i="2"/>
  <c r="AC43" i="2" s="1"/>
  <c r="AB27" i="2"/>
  <c r="AC27" i="2" s="1"/>
  <c r="AB42" i="2"/>
  <c r="AC42" i="2" s="1"/>
  <c r="W42" i="2" s="1"/>
  <c r="AB57" i="2"/>
  <c r="AC57" i="2" s="1"/>
  <c r="AB41" i="2"/>
  <c r="AC41" i="2" s="1"/>
  <c r="AB25" i="2"/>
  <c r="AC25" i="2" s="1"/>
  <c r="AB19" i="2"/>
  <c r="AC19" i="2" s="1"/>
  <c r="AB30" i="2"/>
  <c r="AC30" i="2" s="1"/>
  <c r="AB14" i="2"/>
  <c r="AC14" i="2" s="1"/>
  <c r="AB10" i="2"/>
  <c r="AC10" i="2" s="1"/>
  <c r="AB5" i="2"/>
  <c r="AC5" i="2" s="1"/>
  <c r="AB60" i="2"/>
  <c r="AC60" i="2" s="1"/>
  <c r="AB28" i="2"/>
  <c r="AC28" i="2" s="1"/>
  <c r="AB49" i="2"/>
  <c r="AC49" i="2" s="1"/>
  <c r="AB33" i="2"/>
  <c r="AC33" i="2" s="1"/>
  <c r="AB17" i="2"/>
  <c r="AC17" i="2" s="1"/>
  <c r="AB52" i="2"/>
  <c r="AC52" i="2" s="1"/>
  <c r="AB36" i="2"/>
  <c r="AC36" i="2" s="1"/>
  <c r="AB20" i="2"/>
  <c r="AC20" i="2" s="1"/>
  <c r="AB37" i="2"/>
  <c r="AC37" i="2" s="1"/>
  <c r="AB55" i="2"/>
  <c r="AC55" i="2" s="1"/>
  <c r="AB39" i="2"/>
  <c r="AC39" i="2" s="1"/>
  <c r="AB23" i="2"/>
  <c r="AC23" i="2" s="1"/>
  <c r="AB58" i="2"/>
  <c r="AC58" i="2" s="1"/>
  <c r="AB46" i="2"/>
  <c r="AC46" i="2" s="1"/>
  <c r="AB11" i="2"/>
  <c r="AC11" i="2" s="1"/>
  <c r="AB6" i="2"/>
  <c r="AC6" i="2" s="1"/>
  <c r="AB12" i="2"/>
  <c r="AC12" i="2" s="1"/>
  <c r="AB51" i="2"/>
  <c r="AC51" i="2" s="1"/>
  <c r="AB21" i="2"/>
  <c r="AC21" i="2" s="1"/>
  <c r="AB47" i="2"/>
  <c r="AC47" i="2" s="1"/>
  <c r="AB31" i="2"/>
  <c r="AC31" i="2" s="1"/>
  <c r="AB15" i="2"/>
  <c r="AC15" i="2" s="1"/>
  <c r="AB50" i="2"/>
  <c r="AC50" i="2" s="1"/>
  <c r="AB34" i="2"/>
  <c r="AC34" i="2" s="1"/>
  <c r="AB18" i="2"/>
  <c r="AC18" i="2" s="1"/>
  <c r="AB26" i="2"/>
  <c r="AC26" i="2" s="1"/>
  <c r="AB48" i="2"/>
  <c r="AC48" i="2" s="1"/>
  <c r="AB32" i="2"/>
  <c r="AC32" i="2" s="1"/>
  <c r="AA8" i="2"/>
  <c r="AA3" i="2"/>
  <c r="W3" i="2" s="1"/>
  <c r="AA9" i="2"/>
  <c r="W9" i="2" s="1"/>
  <c r="AA57" i="2"/>
  <c r="AA25" i="2"/>
  <c r="AA53" i="2"/>
  <c r="AA37" i="2"/>
  <c r="AA21" i="2"/>
  <c r="AA54" i="2"/>
  <c r="AA38" i="2"/>
  <c r="AA22" i="2"/>
  <c r="AA46" i="2"/>
  <c r="AA59" i="2"/>
  <c r="W59" i="2" s="1"/>
  <c r="AA43" i="2"/>
  <c r="W43" i="2" s="1"/>
  <c r="AA27" i="2"/>
  <c r="W27" i="2" s="1"/>
  <c r="AA45" i="2"/>
  <c r="W45" i="2" s="1"/>
  <c r="AA4" i="2"/>
  <c r="AA10" i="2"/>
  <c r="W10" i="2" s="1"/>
  <c r="AA5" i="2"/>
  <c r="AA48" i="2"/>
  <c r="AA14" i="2"/>
  <c r="AA51" i="2"/>
  <c r="AA35" i="2"/>
  <c r="AA19" i="2"/>
  <c r="W19" i="2" s="1"/>
  <c r="AA49" i="2"/>
  <c r="AA33" i="2"/>
  <c r="AA17" i="2"/>
  <c r="AA30" i="2"/>
  <c r="AA52" i="2"/>
  <c r="AA36" i="2"/>
  <c r="AA20" i="2"/>
  <c r="AA40" i="2"/>
  <c r="W40" i="2" s="1"/>
  <c r="AA24" i="2"/>
  <c r="AA55" i="2"/>
  <c r="AA16" i="2"/>
  <c r="AA29" i="2"/>
  <c r="AA11" i="2"/>
  <c r="AA6" i="2"/>
  <c r="AA39" i="2"/>
  <c r="W39" i="2" s="1"/>
  <c r="AA60" i="2"/>
  <c r="AA44" i="2"/>
  <c r="W44" i="2" s="1"/>
  <c r="AA28" i="2"/>
  <c r="AA41" i="2"/>
  <c r="AA47" i="2"/>
  <c r="W47" i="2" s="1"/>
  <c r="AA31" i="2"/>
  <c r="W31" i="2" s="1"/>
  <c r="AA15" i="2"/>
  <c r="W15" i="2" s="1"/>
  <c r="AA23" i="2"/>
  <c r="AA50" i="2"/>
  <c r="W50" i="2" s="1"/>
  <c r="AA34" i="2"/>
  <c r="Z3" i="3" l="1"/>
  <c r="Z13" i="3"/>
  <c r="Z4" i="3"/>
  <c r="Z10" i="3"/>
  <c r="Z5" i="3"/>
  <c r="Z12" i="3"/>
  <c r="Z11" i="3"/>
  <c r="Z7" i="3"/>
  <c r="Z15" i="3" s="1"/>
  <c r="Z9" i="3"/>
  <c r="W63" i="2"/>
  <c r="W70" i="2"/>
  <c r="W69" i="2"/>
  <c r="W71" i="2"/>
  <c r="W26" i="2"/>
  <c r="W64" i="2"/>
  <c r="W68" i="2"/>
  <c r="W61" i="2"/>
  <c r="W65" i="2"/>
  <c r="W66" i="2"/>
  <c r="W48" i="2"/>
  <c r="W21" i="2"/>
  <c r="W51" i="2"/>
  <c r="W53" i="2"/>
  <c r="W28" i="2"/>
  <c r="W55" i="2"/>
  <c r="W56" i="2"/>
  <c r="W29" i="2"/>
  <c r="W13" i="2"/>
  <c r="W32" i="2"/>
  <c r="W36" i="2"/>
  <c r="W33" i="2"/>
  <c r="W38" i="2"/>
  <c r="W11" i="2"/>
  <c r="W49" i="2"/>
  <c r="W25" i="2"/>
  <c r="W8" i="2"/>
  <c r="W58" i="2"/>
  <c r="W23" i="2"/>
  <c r="W18" i="2"/>
  <c r="W12" i="2"/>
  <c r="W16" i="2"/>
  <c r="W20" i="2"/>
  <c r="W5" i="2"/>
  <c r="W22" i="2"/>
  <c r="W6" i="2"/>
  <c r="W34" i="2"/>
  <c r="W24" i="2"/>
  <c r="W4" i="2"/>
  <c r="W41" i="2"/>
  <c r="W14" i="2"/>
  <c r="W54" i="2"/>
  <c r="W37" i="2"/>
  <c r="W17" i="2"/>
  <c r="W35" i="2"/>
  <c r="W46" i="2"/>
  <c r="W52" i="2"/>
  <c r="W30" i="2"/>
  <c r="W57" i="2"/>
  <c r="W60" i="2"/>
  <c r="J4" i="1"/>
  <c r="K4" i="1"/>
  <c r="L4" i="1"/>
  <c r="M4" i="1"/>
  <c r="S4" i="1" s="1"/>
  <c r="N4" i="1"/>
  <c r="O4" i="1"/>
  <c r="R4" i="1" s="1"/>
  <c r="J5" i="1"/>
  <c r="K5" i="1"/>
  <c r="L5" i="1"/>
  <c r="M5" i="1"/>
  <c r="S5" i="1" s="1"/>
  <c r="N5" i="1"/>
  <c r="O5" i="1"/>
  <c r="R5" i="1" s="1"/>
  <c r="J6" i="1"/>
  <c r="K6" i="1"/>
  <c r="L6" i="1"/>
  <c r="M6" i="1"/>
  <c r="S6" i="1" s="1"/>
  <c r="N6" i="1"/>
  <c r="O6" i="1"/>
  <c r="R6" i="1" s="1"/>
  <c r="J7" i="1"/>
  <c r="K7" i="1"/>
  <c r="L7" i="1"/>
  <c r="M7" i="1"/>
  <c r="S7" i="1" s="1"/>
  <c r="N7" i="1"/>
  <c r="O7" i="1"/>
  <c r="R7" i="1" s="1"/>
  <c r="J8" i="1"/>
  <c r="K8" i="1"/>
  <c r="L8" i="1"/>
  <c r="M8" i="1"/>
  <c r="S8" i="1" s="1"/>
  <c r="N8" i="1"/>
  <c r="O8" i="1"/>
  <c r="R8" i="1" s="1"/>
  <c r="J9" i="1"/>
  <c r="K9" i="1"/>
  <c r="L9" i="1"/>
  <c r="M9" i="1"/>
  <c r="S9" i="1" s="1"/>
  <c r="N9" i="1"/>
  <c r="O9" i="1"/>
  <c r="R9" i="1" s="1"/>
  <c r="J10" i="1"/>
  <c r="K10" i="1"/>
  <c r="L10" i="1"/>
  <c r="M10" i="1"/>
  <c r="S10" i="1" s="1"/>
  <c r="N10" i="1"/>
  <c r="O10" i="1"/>
  <c r="R10" i="1" s="1"/>
  <c r="J11" i="1"/>
  <c r="K11" i="1"/>
  <c r="L11" i="1"/>
  <c r="M11" i="1"/>
  <c r="S11" i="1" s="1"/>
  <c r="N11" i="1"/>
  <c r="O11" i="1"/>
  <c r="R11" i="1" s="1"/>
  <c r="J12" i="1"/>
  <c r="K12" i="1"/>
  <c r="L12" i="1"/>
  <c r="M12" i="1"/>
  <c r="S12" i="1" s="1"/>
  <c r="N12" i="1"/>
  <c r="O12" i="1"/>
  <c r="R12" i="1" s="1"/>
  <c r="J13" i="1"/>
  <c r="K13" i="1"/>
  <c r="L13" i="1"/>
  <c r="M13" i="1"/>
  <c r="S13" i="1" s="1"/>
  <c r="N13" i="1"/>
  <c r="O13" i="1"/>
  <c r="R13" i="1" s="1"/>
  <c r="J14" i="1"/>
  <c r="K14" i="1"/>
  <c r="L14" i="1"/>
  <c r="M14" i="1"/>
  <c r="S14" i="1" s="1"/>
  <c r="N14" i="1"/>
  <c r="O14" i="1"/>
  <c r="R14" i="1" s="1"/>
  <c r="K3" i="1"/>
  <c r="L3" i="1"/>
  <c r="M3" i="1"/>
  <c r="S3" i="1" s="1"/>
  <c r="N3" i="1"/>
  <c r="O3" i="1"/>
  <c r="R3" i="1" s="1"/>
  <c r="J3" i="1"/>
  <c r="R20" i="1" l="1"/>
  <c r="W74" i="2"/>
  <c r="R17" i="1"/>
  <c r="S19" i="1"/>
  <c r="S17" i="1"/>
  <c r="S18" i="1"/>
  <c r="R18" i="1"/>
  <c r="R21" i="1"/>
  <c r="R19" i="1"/>
  <c r="Z74" i="2"/>
  <c r="AF15" i="3"/>
  <c r="AC15" i="3"/>
  <c r="AE15" i="3"/>
  <c r="AB15" i="3"/>
  <c r="AD15" i="3"/>
  <c r="AG15" i="3"/>
  <c r="AA15" i="3"/>
  <c r="X4" i="1" l="1"/>
  <c r="X5" i="1"/>
  <c r="X11" i="1"/>
  <c r="Y12" i="1"/>
  <c r="Z12" i="1" s="1"/>
  <c r="X10" i="1"/>
  <c r="X3" i="1"/>
  <c r="X9" i="1"/>
  <c r="X6" i="1"/>
  <c r="X8" i="1"/>
  <c r="X13" i="1"/>
  <c r="X12" i="1"/>
  <c r="X7" i="1"/>
  <c r="Y9" i="1"/>
  <c r="Z9" i="1" s="1"/>
  <c r="Y4" i="1"/>
  <c r="Z4" i="1" s="1"/>
  <c r="U4" i="1" s="1"/>
  <c r="AC74" i="2"/>
  <c r="Y74" i="2"/>
  <c r="AB74" i="2"/>
  <c r="AA74" i="2"/>
  <c r="X74" i="2"/>
  <c r="Y8" i="1"/>
  <c r="Z8" i="1" s="1"/>
  <c r="Y7" i="1"/>
  <c r="Z7" i="1" s="1"/>
  <c r="U7" i="1" s="1"/>
  <c r="Y11" i="1"/>
  <c r="Z11" i="1" s="1"/>
  <c r="U11" i="1" s="1"/>
  <c r="Y3" i="1"/>
  <c r="Z3" i="1" s="1"/>
  <c r="U3" i="1" s="1"/>
  <c r="Y6" i="1"/>
  <c r="Z6" i="1" s="1"/>
  <c r="U6" i="1" s="1"/>
  <c r="Y10" i="1"/>
  <c r="Z10" i="1" s="1"/>
  <c r="U10" i="1" s="1"/>
  <c r="Y13" i="1"/>
  <c r="Z13" i="1" s="1"/>
  <c r="U13" i="1" s="1"/>
  <c r="Y5" i="1"/>
  <c r="Z5" i="1" s="1"/>
  <c r="U5" i="1" s="1"/>
  <c r="AK4" i="3"/>
  <c r="U9" i="1" l="1"/>
  <c r="U12" i="1"/>
  <c r="U8" i="1"/>
  <c r="AG4" i="2"/>
  <c r="AG8" i="2" s="1"/>
  <c r="AK8" i="3"/>
  <c r="AK9" i="3"/>
  <c r="AK5" i="3"/>
  <c r="AK7" i="3" s="1"/>
  <c r="U16" i="1"/>
  <c r="AG9" i="2" l="1"/>
  <c r="AG5" i="2"/>
  <c r="AG7" i="2" s="1"/>
  <c r="AG10" i="2" s="1"/>
  <c r="AK10" i="3"/>
  <c r="Z16" i="1"/>
  <c r="W16" i="1"/>
  <c r="V16" i="1"/>
  <c r="Y16" i="1"/>
  <c r="X16" i="1"/>
  <c r="AD4" i="1" s="1"/>
  <c r="AD5" i="1" l="1"/>
  <c r="AD7" i="1"/>
  <c r="AD8" i="1"/>
  <c r="AD9" i="1"/>
  <c r="AD10" i="1" l="1"/>
</calcChain>
</file>

<file path=xl/connections.xml><?xml version="1.0" encoding="utf-8"?>
<connections xmlns="http://schemas.openxmlformats.org/spreadsheetml/2006/main">
  <connection id="1" name="Connection5506" type="4" refreshedVersion="5" background="1" saveData="1">
    <webPr xl2000="1" url="http://ichart.finance.yahoo.com/table.csv?s=AA&amp;a=00&amp;b=01&amp;c=2013&amp;d=09&amp;e=15&amp;f=2014&amp;g=w&amp;ignore=.csv" htmlTables="1" htmlFormat="all"/>
  </connection>
  <connection id="2" name="Connection55061" type="4" refreshedVersion="5" background="1" saveData="1">
    <webPr xl2000="1" url="http://ichart.finance.yahoo.com/table.csv?s=AA&amp;a=00&amp;b=01&amp;c=2013&amp;d=09&amp;e=15&amp;f=2014&amp;g=w&amp;ignore=.csv" htmlTables="1" htmlFormat="all"/>
  </connection>
</connections>
</file>

<file path=xl/sharedStrings.xml><?xml version="1.0" encoding="utf-8"?>
<sst xmlns="http://schemas.openxmlformats.org/spreadsheetml/2006/main" count="161" uniqueCount="41">
  <si>
    <t>Date</t>
  </si>
  <si>
    <t>TSLA</t>
  </si>
  <si>
    <t>TGT</t>
  </si>
  <si>
    <t>F</t>
  </si>
  <si>
    <t>HPQ</t>
  </si>
  <si>
    <t>WMT</t>
  </si>
  <si>
    <t>AAPL</t>
  </si>
  <si>
    <t>Prices</t>
  </si>
  <si>
    <t>Returns</t>
  </si>
  <si>
    <t>Row #s</t>
  </si>
  <si>
    <t>Average</t>
  </si>
  <si>
    <t>Variance</t>
  </si>
  <si>
    <t>St.d</t>
  </si>
  <si>
    <t>Correlation</t>
  </si>
  <si>
    <t>Covariance</t>
  </si>
  <si>
    <t>W</t>
  </si>
  <si>
    <t>R(p)</t>
  </si>
  <si>
    <t>Var(p)</t>
  </si>
  <si>
    <t>St.Dev(p)</t>
  </si>
  <si>
    <t>Sharpe Ratio</t>
  </si>
  <si>
    <t>Summary Statistics</t>
  </si>
  <si>
    <t>Rf =</t>
  </si>
  <si>
    <t>Optimal Risky Portfolio</t>
  </si>
  <si>
    <t>Rf Security</t>
  </si>
  <si>
    <t>Risk Tolerance Factor (A)  =</t>
  </si>
  <si>
    <t xml:space="preserve">% allocation into ORP (Z*) = </t>
  </si>
  <si>
    <t xml:space="preserve">% allocation into Rf Security = </t>
  </si>
  <si>
    <t>R (opt. comb.)</t>
  </si>
  <si>
    <t>Var (opt. comb.)</t>
  </si>
  <si>
    <t>St. Dev. (opt. comb.)</t>
  </si>
  <si>
    <t>Sharpe Ratio (opt. comb.)</t>
  </si>
  <si>
    <t>Row Index #</t>
  </si>
  <si>
    <t xml:space="preserve"> </t>
  </si>
  <si>
    <t>DIS</t>
  </si>
  <si>
    <t>HD</t>
  </si>
  <si>
    <t>KGC</t>
  </si>
  <si>
    <t>AUY</t>
  </si>
  <si>
    <t>RAD</t>
  </si>
  <si>
    <t>Kelly Formula</t>
  </si>
  <si>
    <t>Excess Returns</t>
  </si>
  <si>
    <t>Maximum Compounded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</si>
</sst>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%"/>
    <numFmt numFmtId="165" formatCode="0.00000"/>
    <numFmt numFmtId="166" formatCode="0.0000"/>
    <numFmt numFmtId="167" formatCode="0.000000"/>
    <numFmt numFmtId="168" formatCode="0.000%"/>
    <numFmt numFmtId="169" formatCode="0.000"/>
    <numFmt numFmtId="170" formatCode="yyyy\-mm\-dd;@"/>
    <numFmt numFmtId="171" formatCode="m/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0"/>
      <color theme="5" tint="0.39997558519241921"/>
      <name val="Arial"/>
      <family val="2"/>
    </font>
    <font>
      <i/>
      <sz val="10"/>
      <color theme="5" tint="0.3999755851924192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0" xfId="0" applyFont="1"/>
    <xf numFmtId="10" fontId="0" fillId="0" borderId="0" xfId="42" applyNumberFormat="1" applyFont="1"/>
    <xf numFmtId="10" fontId="0" fillId="33" borderId="14" xfId="42" applyNumberFormat="1" applyFont="1" applyFill="1" applyBorder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33" borderId="14" xfId="0" applyNumberFormat="1" applyFill="1" applyBorder="1"/>
    <xf numFmtId="166" fontId="0" fillId="33" borderId="16" xfId="0" applyNumberFormat="1" applyFill="1" applyBorder="1"/>
    <xf numFmtId="0" fontId="16" fillId="0" borderId="10" xfId="0" applyFont="1" applyFill="1" applyBorder="1" applyAlignment="1">
      <alignment horizontal="center"/>
    </xf>
    <xf numFmtId="164" fontId="0" fillId="33" borderId="20" xfId="42" applyNumberFormat="1" applyFont="1" applyFill="1" applyBorder="1"/>
    <xf numFmtId="165" fontId="0" fillId="33" borderId="21" xfId="0" applyNumberFormat="1" applyFill="1" applyBorder="1"/>
    <xf numFmtId="10" fontId="0" fillId="33" borderId="22" xfId="42" applyNumberFormat="1" applyFont="1" applyFill="1" applyBorder="1"/>
    <xf numFmtId="10" fontId="0" fillId="33" borderId="12" xfId="42" applyNumberFormat="1" applyFont="1" applyFill="1" applyBorder="1"/>
    <xf numFmtId="0" fontId="16" fillId="0" borderId="11" xfId="0" applyFont="1" applyBorder="1"/>
    <xf numFmtId="0" fontId="16" fillId="0" borderId="13" xfId="0" applyFont="1" applyBorder="1"/>
    <xf numFmtId="0" fontId="16" fillId="0" borderId="15" xfId="0" applyFont="1" applyBorder="1"/>
    <xf numFmtId="167" fontId="0" fillId="0" borderId="0" xfId="0" applyNumberFormat="1"/>
    <xf numFmtId="165" fontId="0" fillId="0" borderId="0" xfId="0" applyNumberFormat="1"/>
    <xf numFmtId="165" fontId="0" fillId="34" borderId="0" xfId="0" applyNumberFormat="1" applyFill="1"/>
    <xf numFmtId="0" fontId="0" fillId="34" borderId="0" xfId="0" applyFill="1"/>
    <xf numFmtId="10" fontId="0" fillId="34" borderId="0" xfId="42" applyNumberFormat="1" applyFont="1" applyFill="1"/>
    <xf numFmtId="168" fontId="0" fillId="0" borderId="24" xfId="42" applyNumberFormat="1" applyFont="1" applyBorder="1"/>
    <xf numFmtId="0" fontId="0" fillId="35" borderId="0" xfId="0" applyFill="1"/>
    <xf numFmtId="0" fontId="16" fillId="34" borderId="0" xfId="0" applyFont="1" applyFill="1" applyAlignment="1">
      <alignment horizontal="right"/>
    </xf>
    <xf numFmtId="0" fontId="16" fillId="35" borderId="0" xfId="0" applyFont="1" applyFill="1" applyAlignment="1">
      <alignment horizontal="right"/>
    </xf>
    <xf numFmtId="168" fontId="0" fillId="35" borderId="0" xfId="0" applyNumberFormat="1" applyFill="1"/>
    <xf numFmtId="0" fontId="16" fillId="0" borderId="23" xfId="0" applyFont="1" applyBorder="1" applyAlignment="1">
      <alignment horizontal="right"/>
    </xf>
    <xf numFmtId="9" fontId="0" fillId="35" borderId="0" xfId="42" applyFont="1" applyFill="1"/>
    <xf numFmtId="0" fontId="16" fillId="0" borderId="25" xfId="0" applyFont="1" applyBorder="1"/>
    <xf numFmtId="0" fontId="16" fillId="0" borderId="27" xfId="0" applyFont="1" applyBorder="1"/>
    <xf numFmtId="0" fontId="16" fillId="0" borderId="28" xfId="0" applyFont="1" applyBorder="1"/>
    <xf numFmtId="0" fontId="16" fillId="0" borderId="29" xfId="0" applyFont="1" applyBorder="1"/>
    <xf numFmtId="10" fontId="0" fillId="33" borderId="0" xfId="42" applyNumberFormat="1" applyFont="1" applyFill="1" applyBorder="1"/>
    <xf numFmtId="165" fontId="0" fillId="33" borderId="0" xfId="0" applyNumberFormat="1" applyFill="1" applyBorder="1"/>
    <xf numFmtId="10" fontId="0" fillId="33" borderId="30" xfId="42" applyNumberFormat="1" applyFont="1" applyFill="1" applyBorder="1"/>
    <xf numFmtId="164" fontId="0" fillId="33" borderId="31" xfId="42" applyNumberFormat="1" applyFont="1" applyFill="1" applyBorder="1"/>
    <xf numFmtId="164" fontId="0" fillId="33" borderId="32" xfId="42" applyNumberFormat="1" applyFont="1" applyFill="1" applyBorder="1"/>
    <xf numFmtId="165" fontId="0" fillId="33" borderId="26" xfId="0" applyNumberFormat="1" applyFill="1" applyBorder="1"/>
    <xf numFmtId="165" fontId="0" fillId="33" borderId="33" xfId="0" applyNumberFormat="1" applyFill="1" applyBorder="1"/>
    <xf numFmtId="10" fontId="0" fillId="33" borderId="26" xfId="42" applyNumberFormat="1" applyFont="1" applyFill="1" applyBorder="1"/>
    <xf numFmtId="10" fontId="0" fillId="33" borderId="33" xfId="42" applyNumberFormat="1" applyFont="1" applyFill="1" applyBorder="1"/>
    <xf numFmtId="166" fontId="0" fillId="33" borderId="34" xfId="0" applyNumberFormat="1" applyFill="1" applyBorder="1"/>
    <xf numFmtId="166" fontId="0" fillId="33" borderId="35" xfId="0" applyNumberFormat="1" applyFill="1" applyBorder="1"/>
    <xf numFmtId="166" fontId="0" fillId="33" borderId="36" xfId="0" applyNumberFormat="1" applyFill="1" applyBorder="1"/>
    <xf numFmtId="10" fontId="0" fillId="33" borderId="32" xfId="42" applyNumberFormat="1" applyFont="1" applyFill="1" applyBorder="1"/>
    <xf numFmtId="10" fontId="0" fillId="33" borderId="34" xfId="42" applyNumberFormat="1" applyFont="1" applyFill="1" applyBorder="1"/>
    <xf numFmtId="10" fontId="0" fillId="33" borderId="35" xfId="42" applyNumberFormat="1" applyFont="1" applyFill="1" applyBorder="1"/>
    <xf numFmtId="10" fontId="0" fillId="33" borderId="36" xfId="42" applyNumberFormat="1" applyFont="1" applyFill="1" applyBorder="1"/>
    <xf numFmtId="165" fontId="0" fillId="33" borderId="30" xfId="0" applyNumberFormat="1" applyFill="1" applyBorder="1"/>
    <xf numFmtId="165" fontId="0" fillId="33" borderId="31" xfId="0" applyNumberFormat="1" applyFill="1" applyBorder="1"/>
    <xf numFmtId="0" fontId="16" fillId="0" borderId="20" xfId="0" applyFont="1" applyBorder="1"/>
    <xf numFmtId="0" fontId="16" fillId="0" borderId="22" xfId="0" applyFont="1" applyBorder="1"/>
    <xf numFmtId="0" fontId="16" fillId="0" borderId="21" xfId="0" applyFont="1" applyBorder="1"/>
    <xf numFmtId="165" fontId="0" fillId="33" borderId="32" xfId="0" applyNumberFormat="1" applyFill="1" applyBorder="1"/>
    <xf numFmtId="165" fontId="0" fillId="33" borderId="35" xfId="0" applyNumberFormat="1" applyFill="1" applyBorder="1"/>
    <xf numFmtId="165" fontId="0" fillId="33" borderId="36" xfId="0" applyNumberFormat="1" applyFill="1" applyBorder="1"/>
    <xf numFmtId="10" fontId="20" fillId="0" borderId="0" xfId="42" applyNumberFormat="1" applyFont="1" applyFill="1" applyBorder="1" applyAlignment="1"/>
    <xf numFmtId="1" fontId="21" fillId="0" borderId="37" xfId="43" applyNumberFormat="1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quotePrefix="1" applyFont="1" applyFill="1" applyBorder="1" applyAlignment="1">
      <alignment vertical="center"/>
    </xf>
    <xf numFmtId="1" fontId="22" fillId="0" borderId="0" xfId="43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10" fontId="23" fillId="0" borderId="0" xfId="42" applyNumberFormat="1" applyFont="1" applyFill="1" applyBorder="1" applyAlignment="1">
      <alignment horizontal="center" vertical="center"/>
    </xf>
    <xf numFmtId="165" fontId="1" fillId="0" borderId="0" xfId="43" applyNumberFormat="1" applyFont="1" applyFill="1" applyBorder="1" applyAlignment="1">
      <alignment horizontal="center" vertical="center"/>
    </xf>
    <xf numFmtId="10" fontId="1" fillId="0" borderId="0" xfId="42" applyNumberFormat="1" applyFont="1" applyFill="1" applyBorder="1" applyAlignment="1">
      <alignment horizontal="center" vertical="center"/>
    </xf>
    <xf numFmtId="166" fontId="23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16" fillId="0" borderId="0" xfId="0" applyFont="1" applyBorder="1"/>
    <xf numFmtId="169" fontId="0" fillId="0" borderId="0" xfId="0" applyNumberFormat="1" applyBorder="1"/>
    <xf numFmtId="10" fontId="0" fillId="0" borderId="0" xfId="42" applyNumberFormat="1" applyFont="1" applyBorder="1"/>
    <xf numFmtId="165" fontId="0" fillId="0" borderId="0" xfId="0" applyNumberFormat="1" applyBorder="1"/>
    <xf numFmtId="169" fontId="0" fillId="33" borderId="38" xfId="0" applyNumberFormat="1" applyFont="1" applyFill="1" applyBorder="1" applyAlignment="1">
      <alignment horizontal="center"/>
    </xf>
    <xf numFmtId="169" fontId="0" fillId="33" borderId="39" xfId="0" applyNumberFormat="1" applyFont="1" applyFill="1" applyBorder="1" applyAlignment="1">
      <alignment horizontal="center"/>
    </xf>
    <xf numFmtId="166" fontId="13" fillId="36" borderId="25" xfId="0" applyNumberFormat="1" applyFont="1" applyFill="1" applyBorder="1" applyAlignment="1">
      <alignment horizontal="center"/>
    </xf>
    <xf numFmtId="10" fontId="0" fillId="33" borderId="38" xfId="42" applyNumberFormat="1" applyFont="1" applyFill="1" applyBorder="1" applyAlignment="1">
      <alignment horizontal="center"/>
    </xf>
    <xf numFmtId="166" fontId="0" fillId="33" borderId="40" xfId="0" applyNumberFormat="1" applyFont="1" applyFill="1" applyBorder="1" applyAlignment="1">
      <alignment horizontal="center"/>
    </xf>
    <xf numFmtId="10" fontId="0" fillId="33" borderId="39" xfId="42" applyNumberFormat="1" applyFont="1" applyFill="1" applyBorder="1" applyAlignment="1">
      <alignment horizontal="center"/>
    </xf>
    <xf numFmtId="166" fontId="13" fillId="36" borderId="39" xfId="0" applyNumberFormat="1" applyFont="1" applyFill="1" applyBorder="1" applyAlignment="1">
      <alignment horizontal="center"/>
    </xf>
    <xf numFmtId="165" fontId="13" fillId="36" borderId="2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70" fontId="0" fillId="0" borderId="0" xfId="0" applyNumberFormat="1"/>
    <xf numFmtId="0" fontId="16" fillId="0" borderId="10" xfId="0" applyFont="1" applyBorder="1"/>
    <xf numFmtId="171" fontId="0" fillId="0" borderId="0" xfId="0" applyNumberFormat="1"/>
    <xf numFmtId="171" fontId="0" fillId="0" borderId="0" xfId="0" applyNumberFormat="1" applyAlignment="1">
      <alignment horizontal="center" vertical="center"/>
    </xf>
    <xf numFmtId="0" fontId="19" fillId="0" borderId="17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10" fontId="0" fillId="0" borderId="0" xfId="0" applyNumberFormat="1"/>
    <xf numFmtId="16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</a:t>
            </a:r>
            <a:r>
              <a:rPr lang="en-US" baseline="0"/>
              <a:t>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9608082521211"/>
          <c:y val="0.13383850150931045"/>
          <c:w val="0.79977520461340035"/>
          <c:h val="0.71033542378891479"/>
        </c:manualLayout>
      </c:layout>
      <c:scatterChart>
        <c:scatterStyle val="lineMarker"/>
        <c:varyColors val="0"/>
        <c:ser>
          <c:idx val="0"/>
          <c:order val="0"/>
          <c:tx>
            <c:v>Opportunity Set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 Assets'!$Z$3:$Z$13</c:f>
              <c:numCache>
                <c:formatCode>0.00%</c:formatCode>
                <c:ptCount val="11"/>
                <c:pt idx="0">
                  <c:v>5.74585645308614E-2</c:v>
                </c:pt>
                <c:pt idx="1">
                  <c:v>5.1158846913203083E-2</c:v>
                </c:pt>
                <c:pt idx="2">
                  <c:v>4.5613346259201909E-2</c:v>
                </c:pt>
                <c:pt idx="3">
                  <c:v>4.1128285356516678E-2</c:v>
                </c:pt>
                <c:pt idx="4">
                  <c:v>3.8080219480777638E-2</c:v>
                </c:pt>
                <c:pt idx="5">
                  <c:v>3.6827695216687724E-2</c:v>
                </c:pt>
                <c:pt idx="6">
                  <c:v>3.7550817756397896E-2</c:v>
                </c:pt>
                <c:pt idx="7">
                  <c:v>4.0142962687214387E-2</c:v>
                </c:pt>
                <c:pt idx="8">
                  <c:v>4.4277079311669625E-2</c:v>
                </c:pt>
                <c:pt idx="9">
                  <c:v>4.9568849203593508E-2</c:v>
                </c:pt>
                <c:pt idx="10">
                  <c:v>5.5689232624424073E-2</c:v>
                </c:pt>
              </c:numCache>
            </c:numRef>
          </c:xVal>
          <c:yVal>
            <c:numRef>
              <c:f>'2 Assets'!$X$3:$X$13</c:f>
              <c:numCache>
                <c:formatCode>0.00%</c:formatCode>
                <c:ptCount val="11"/>
                <c:pt idx="0">
                  <c:v>3.9190836662607448E-3</c:v>
                </c:pt>
                <c:pt idx="1">
                  <c:v>8.4150684487345837E-3</c:v>
                </c:pt>
                <c:pt idx="2">
                  <c:v>1.2911053231208423E-2</c:v>
                </c:pt>
                <c:pt idx="3">
                  <c:v>1.740703801368227E-2</c:v>
                </c:pt>
                <c:pt idx="4">
                  <c:v>2.1903022796156107E-2</c:v>
                </c:pt>
                <c:pt idx="5">
                  <c:v>2.6399007578629948E-2</c:v>
                </c:pt>
                <c:pt idx="6">
                  <c:v>3.0894992361103789E-2</c:v>
                </c:pt>
                <c:pt idx="7">
                  <c:v>3.5390977143577633E-2</c:v>
                </c:pt>
                <c:pt idx="8">
                  <c:v>3.988696192605147E-2</c:v>
                </c:pt>
                <c:pt idx="9">
                  <c:v>4.4382946708525307E-2</c:v>
                </c:pt>
                <c:pt idx="10">
                  <c:v>4.8878931490999152E-2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 Assets'!$R$2</c:f>
              <c:strCache>
                <c:ptCount val="1"/>
                <c:pt idx="0">
                  <c:v>TGT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 Assets'!$R$19</c:f>
              <c:numCache>
                <c:formatCode>0.00%</c:formatCode>
                <c:ptCount val="1"/>
                <c:pt idx="0">
                  <c:v>5.74585645308614E-2</c:v>
                </c:pt>
              </c:numCache>
            </c:numRef>
          </c:xVal>
          <c:yVal>
            <c:numRef>
              <c:f>'2 Assets'!$R$17</c:f>
              <c:numCache>
                <c:formatCode>0.00%</c:formatCode>
                <c:ptCount val="1"/>
                <c:pt idx="0">
                  <c:v>3.9190836662607448E-3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 Assets'!$S$2</c:f>
              <c:strCache>
                <c:ptCount val="1"/>
                <c:pt idx="0">
                  <c:v>HPQ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 Assets'!$S$19</c:f>
              <c:numCache>
                <c:formatCode>0.00%</c:formatCode>
                <c:ptCount val="1"/>
                <c:pt idx="0">
                  <c:v>5.5689232624424073E-2</c:v>
                </c:pt>
              </c:numCache>
            </c:numRef>
          </c:xVal>
          <c:yVal>
            <c:numRef>
              <c:f>'2 Assets'!$S$17</c:f>
              <c:numCache>
                <c:formatCode>0.0%</c:formatCode>
                <c:ptCount val="1"/>
                <c:pt idx="0">
                  <c:v>4.8878931490999152E-2</c:v>
                </c:pt>
              </c:numCache>
            </c:numRef>
          </c:yVal>
          <c:smooth val="0"/>
        </c:ser>
        <c:ser>
          <c:idx val="3"/>
          <c:order val="3"/>
          <c:tx>
            <c:v>CAL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'2 Assets'!$Z$16:$Z$17</c:f>
              <c:numCache>
                <c:formatCode>0%</c:formatCode>
                <c:ptCount val="2"/>
                <c:pt idx="0" formatCode="0.00%">
                  <c:v>4.4277079311669625E-2</c:v>
                </c:pt>
                <c:pt idx="1">
                  <c:v>0</c:v>
                </c:pt>
              </c:numCache>
            </c:numRef>
          </c:xVal>
          <c:yVal>
            <c:numRef>
              <c:f>'2 Assets'!$X$16:$X$17</c:f>
              <c:numCache>
                <c:formatCode>0.000%</c:formatCode>
                <c:ptCount val="2"/>
                <c:pt idx="0" formatCode="0.00%">
                  <c:v>3.988696192605147E-2</c:v>
                </c:pt>
                <c:pt idx="1">
                  <c:v>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3811536"/>
        <c:axId val="-983819696"/>
      </c:scatterChart>
      <c:valAx>
        <c:axId val="-9838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St. Dev.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19696"/>
        <c:crosses val="autoZero"/>
        <c:crossBetween val="midCat"/>
      </c:valAx>
      <c:valAx>
        <c:axId val="-9838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Opportunite</a:t>
            </a:r>
            <a:r>
              <a:rPr lang="en-US" baseline="0"/>
              <a:t>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Opportunity Set 2 Assets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'3 Assets'!$AC$3:$AC$60</c:f>
              <c:numCache>
                <c:formatCode>0.00%</c:formatCode>
                <c:ptCount val="58"/>
                <c:pt idx="0">
                  <c:v>4.2520162653681116E-2</c:v>
                </c:pt>
                <c:pt idx="1">
                  <c:v>4.4312376495920201E-2</c:v>
                </c:pt>
                <c:pt idx="2">
                  <c:v>7.2416366041466715E-2</c:v>
                </c:pt>
                <c:pt idx="3">
                  <c:v>9.8873094995571245E-2</c:v>
                </c:pt>
                <c:pt idx="4">
                  <c:v>0.12721411756065884</c:v>
                </c:pt>
                <c:pt idx="5">
                  <c:v>5.0873914501269116E-2</c:v>
                </c:pt>
                <c:pt idx="6">
                  <c:v>6.067676350955347E-2</c:v>
                </c:pt>
                <c:pt idx="7">
                  <c:v>8.5296755498991197E-2</c:v>
                </c:pt>
                <c:pt idx="8">
                  <c:v>0.11289458497508818</c:v>
                </c:pt>
                <c:pt idx="9">
                  <c:v>4.3437579605327209E-2</c:v>
                </c:pt>
                <c:pt idx="10">
                  <c:v>4.1918730098299599E-2</c:v>
                </c:pt>
                <c:pt idx="11">
                  <c:v>4.5606108609728142E-2</c:v>
                </c:pt>
                <c:pt idx="12">
                  <c:v>5.3432527082048348E-2</c:v>
                </c:pt>
                <c:pt idx="13">
                  <c:v>6.3894705231408833E-2</c:v>
                </c:pt>
                <c:pt idx="14">
                  <c:v>4.2017306585664244E-2</c:v>
                </c:pt>
                <c:pt idx="15">
                  <c:v>4.3150909179185251E-2</c:v>
                </c:pt>
                <c:pt idx="16">
                  <c:v>4.9101206417461532E-2</c:v>
                </c:pt>
                <c:pt idx="17">
                  <c:v>5.841435250598364E-2</c:v>
                </c:pt>
                <c:pt idx="18">
                  <c:v>0.1297326116035932</c:v>
                </c:pt>
                <c:pt idx="19">
                  <c:v>0.10709252370097407</c:v>
                </c:pt>
                <c:pt idx="20">
                  <c:v>8.7473434628434363E-2</c:v>
                </c:pt>
                <c:pt idx="21">
                  <c:v>7.3341188377627348E-2</c:v>
                </c:pt>
                <c:pt idx="22">
                  <c:v>6.8196723333944845E-2</c:v>
                </c:pt>
                <c:pt idx="23">
                  <c:v>0.1181381085692893</c:v>
                </c:pt>
                <c:pt idx="24">
                  <c:v>9.6783977612166214E-2</c:v>
                </c:pt>
                <c:pt idx="25">
                  <c:v>7.951225668053799E-2</c:v>
                </c:pt>
                <c:pt idx="26">
                  <c:v>6.9439143257442174E-2</c:v>
                </c:pt>
                <c:pt idx="27">
                  <c:v>4.0883413568070584E-2</c:v>
                </c:pt>
                <c:pt idx="28">
                  <c:v>5.1454366510842883E-2</c:v>
                </c:pt>
                <c:pt idx="29">
                  <c:v>7.415816954637372E-2</c:v>
                </c:pt>
                <c:pt idx="30">
                  <c:v>0.1011291270469966</c:v>
                </c:pt>
                <c:pt idx="31">
                  <c:v>4.3875160117454105E-2</c:v>
                </c:pt>
                <c:pt idx="32">
                  <c:v>6.1959825516843113E-2</c:v>
                </c:pt>
                <c:pt idx="33">
                  <c:v>8.7342968979794572E-2</c:v>
                </c:pt>
                <c:pt idx="34">
                  <c:v>0.1153011380330454</c:v>
                </c:pt>
                <c:pt idx="35">
                  <c:v>4.0596033395593187E-2</c:v>
                </c:pt>
                <c:pt idx="36">
                  <c:v>4.4716527029098646E-2</c:v>
                </c:pt>
                <c:pt idx="37">
                  <c:v>5.3104083072563049E-2</c:v>
                </c:pt>
                <c:pt idx="38">
                  <c:v>6.4105112711521098E-2</c:v>
                </c:pt>
                <c:pt idx="39">
                  <c:v>7.6601783921012898E-2</c:v>
                </c:pt>
                <c:pt idx="40">
                  <c:v>8.9973035468143725E-2</c:v>
                </c:pt>
                <c:pt idx="41">
                  <c:v>0.10388169670431711</c:v>
                </c:pt>
                <c:pt idx="42">
                  <c:v>4.1685938870681047E-2</c:v>
                </c:pt>
                <c:pt idx="43">
                  <c:v>5.5728184920370648E-2</c:v>
                </c:pt>
                <c:pt idx="44">
                  <c:v>7.968266837205068E-2</c:v>
                </c:pt>
                <c:pt idx="45">
                  <c:v>4.6767521351380209E-2</c:v>
                </c:pt>
                <c:pt idx="46">
                  <c:v>6.7029889773382645E-2</c:v>
                </c:pt>
                <c:pt idx="47">
                  <c:v>9.3137506634514117E-2</c:v>
                </c:pt>
                <c:pt idx="48">
                  <c:v>4.7501179906037042E-2</c:v>
                </c:pt>
                <c:pt idx="49">
                  <c:v>5.3867922084990916E-2</c:v>
                </c:pt>
                <c:pt idx="50">
                  <c:v>6.3372627800882486E-2</c:v>
                </c:pt>
                <c:pt idx="51">
                  <c:v>7.4828957405334032E-2</c:v>
                </c:pt>
                <c:pt idx="52">
                  <c:v>5.6810098431392606E-2</c:v>
                </c:pt>
                <c:pt idx="53">
                  <c:v>6.3786249337461284E-2</c:v>
                </c:pt>
                <c:pt idx="54">
                  <c:v>6.2310052189335052E-2</c:v>
                </c:pt>
                <c:pt idx="55">
                  <c:v>4.6057439581683145E-2</c:v>
                </c:pt>
                <c:pt idx="56">
                  <c:v>0.14174139156972612</c:v>
                </c:pt>
                <c:pt idx="57">
                  <c:v>6.9756184558214973E-2</c:v>
                </c:pt>
              </c:numCache>
            </c:numRef>
          </c:xVal>
          <c:yVal>
            <c:numRef>
              <c:f>'3 Assets'!$AA$3:$AA$60</c:f>
              <c:numCache>
                <c:formatCode>0.00%</c:formatCode>
                <c:ptCount val="58"/>
                <c:pt idx="0">
                  <c:v>1.8510078293126168E-2</c:v>
                </c:pt>
                <c:pt idx="1">
                  <c:v>1.2790673318897706E-2</c:v>
                </c:pt>
                <c:pt idx="2">
                  <c:v>-4.3675416037876804E-3</c:v>
                </c:pt>
                <c:pt idx="3">
                  <c:v>-1.58063515522446E-2</c:v>
                </c:pt>
                <c:pt idx="4">
                  <c:v>-2.7245161500701529E-2</c:v>
                </c:pt>
                <c:pt idx="5">
                  <c:v>7.0712683446692414E-3</c:v>
                </c:pt>
                <c:pt idx="6">
                  <c:v>1.3518633704407805E-3</c:v>
                </c:pt>
                <c:pt idx="7">
                  <c:v>-1.0086946578016143E-2</c:v>
                </c:pt>
                <c:pt idx="8">
                  <c:v>-2.152575652647307E-2</c:v>
                </c:pt>
                <c:pt idx="9">
                  <c:v>2.3201101440005065E-2</c:v>
                </c:pt>
                <c:pt idx="10">
                  <c:v>2.1144337785305934E-2</c:v>
                </c:pt>
                <c:pt idx="11">
                  <c:v>1.9087574130606806E-2</c:v>
                </c:pt>
                <c:pt idx="12">
                  <c:v>1.7030810475907675E-2</c:v>
                </c:pt>
                <c:pt idx="13">
                  <c:v>1.4974046821208545E-2</c:v>
                </c:pt>
                <c:pt idx="14">
                  <c:v>2.2172719612655503E-2</c:v>
                </c:pt>
                <c:pt idx="15">
                  <c:v>2.0115955957956372E-2</c:v>
                </c:pt>
                <c:pt idx="16">
                  <c:v>1.805919230325724E-2</c:v>
                </c:pt>
                <c:pt idx="17">
                  <c:v>1.6002428648558109E-2</c:v>
                </c:pt>
                <c:pt idx="18">
                  <c:v>-2.8273543328051095E-2</c:v>
                </c:pt>
                <c:pt idx="19">
                  <c:v>-1.8891497034293298E-2</c:v>
                </c:pt>
                <c:pt idx="20">
                  <c:v>-9.5094507405355071E-3</c:v>
                </c:pt>
                <c:pt idx="21">
                  <c:v>-1.2740444677771315E-4</c:v>
                </c:pt>
                <c:pt idx="22">
                  <c:v>9.2546418469800825E-3</c:v>
                </c:pt>
                <c:pt idx="23">
                  <c:v>-2.3582520181172198E-2</c:v>
                </c:pt>
                <c:pt idx="24">
                  <c:v>-1.4200473887414404E-2</c:v>
                </c:pt>
                <c:pt idx="25">
                  <c:v>-4.8184275936566101E-3</c:v>
                </c:pt>
                <c:pt idx="26">
                  <c:v>4.5636187001011847E-3</c:v>
                </c:pt>
                <c:pt idx="27">
                  <c:v>1.7481696465776603E-2</c:v>
                </c:pt>
                <c:pt idx="28">
                  <c:v>6.0428865173196792E-3</c:v>
                </c:pt>
                <c:pt idx="29">
                  <c:v>-5.3959234311372461E-3</c:v>
                </c:pt>
                <c:pt idx="30">
                  <c:v>-1.6834733379594166E-2</c:v>
                </c:pt>
                <c:pt idx="31">
                  <c:v>1.1762291491548142E-2</c:v>
                </c:pt>
                <c:pt idx="32">
                  <c:v>3.2348154309121656E-4</c:v>
                </c:pt>
                <c:pt idx="33">
                  <c:v>-1.1115328405365709E-2</c:v>
                </c:pt>
                <c:pt idx="34">
                  <c:v>-2.2554138353822636E-2</c:v>
                </c:pt>
                <c:pt idx="35">
                  <c:v>1.6453314638427037E-2</c:v>
                </c:pt>
                <c:pt idx="36">
                  <c:v>1.0733909664198578E-2</c:v>
                </c:pt>
                <c:pt idx="37">
                  <c:v>5.0145046899701118E-3</c:v>
                </c:pt>
                <c:pt idx="38">
                  <c:v>-7.0490028425835086E-4</c:v>
                </c:pt>
                <c:pt idx="39">
                  <c:v>-6.4243052584868109E-3</c:v>
                </c:pt>
                <c:pt idx="40">
                  <c:v>-1.2143710232715273E-2</c:v>
                </c:pt>
                <c:pt idx="41">
                  <c:v>-1.7863115206943735E-2</c:v>
                </c:pt>
                <c:pt idx="42">
                  <c:v>1.5424932811077475E-2</c:v>
                </c:pt>
                <c:pt idx="43">
                  <c:v>3.986122862620547E-3</c:v>
                </c:pt>
                <c:pt idx="44">
                  <c:v>-7.4526870858363748E-3</c:v>
                </c:pt>
                <c:pt idx="45">
                  <c:v>9.7055278368490105E-3</c:v>
                </c:pt>
                <c:pt idx="46">
                  <c:v>-1.7332821116079157E-3</c:v>
                </c:pt>
                <c:pt idx="47">
                  <c:v>-1.3172092060064837E-2</c:v>
                </c:pt>
                <c:pt idx="48">
                  <c:v>1.3368169156378343E-2</c:v>
                </c:pt>
                <c:pt idx="49">
                  <c:v>7.6487641821498809E-3</c:v>
                </c:pt>
                <c:pt idx="50">
                  <c:v>1.9293592079214173E-3</c:v>
                </c:pt>
                <c:pt idx="51">
                  <c:v>-3.7900457663070453E-3</c:v>
                </c:pt>
                <c:pt idx="52">
                  <c:v>1.1311405501679212E-2</c:v>
                </c:pt>
                <c:pt idx="53">
                  <c:v>5.5920005274507512E-3</c:v>
                </c:pt>
                <c:pt idx="54">
                  <c:v>1.0283023674329646E-2</c:v>
                </c:pt>
                <c:pt idx="55">
                  <c:v>2.4229483267354631E-2</c:v>
                </c:pt>
                <c:pt idx="56">
                  <c:v>-3.2964566474929992E-2</c:v>
                </c:pt>
                <c:pt idx="57">
                  <c:v>1.3945664993858979E-2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 Assets'!$R$2</c:f>
              <c:strCache>
                <c:ptCount val="1"/>
                <c:pt idx="0">
                  <c:v>AAPL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 Assets'!$R$44</c:f>
              <c:numCache>
                <c:formatCode>0.00%</c:formatCode>
                <c:ptCount val="1"/>
                <c:pt idx="0">
                  <c:v>6.9756184558214973E-2</c:v>
                </c:pt>
              </c:numCache>
            </c:numRef>
          </c:xVal>
          <c:yVal>
            <c:numRef>
              <c:f>'3 Assets'!$R$42</c:f>
              <c:numCache>
                <c:formatCode>0.00%</c:formatCode>
                <c:ptCount val="1"/>
                <c:pt idx="0">
                  <c:v>1.3945664993858979E-2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 Assets'!$S$2</c:f>
              <c:strCache>
                <c:ptCount val="1"/>
                <c:pt idx="0">
                  <c:v>KGC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 Assets'!$S$44</c:f>
              <c:numCache>
                <c:formatCode>0.00%</c:formatCode>
                <c:ptCount val="1"/>
                <c:pt idx="0">
                  <c:v>0.14174139156972612</c:v>
                </c:pt>
              </c:numCache>
            </c:numRef>
          </c:xVal>
          <c:yVal>
            <c:numRef>
              <c:f>'3 Assets'!$S$42</c:f>
              <c:numCache>
                <c:formatCode>0.0%</c:formatCode>
                <c:ptCount val="1"/>
                <c:pt idx="0">
                  <c:v>-3.2964566474929992E-2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 Assets'!$T$2</c:f>
              <c:strCache>
                <c:ptCount val="1"/>
                <c:pt idx="0">
                  <c:v>HD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 Assets'!$T$44</c:f>
              <c:numCache>
                <c:formatCode>0.00%</c:formatCode>
                <c:ptCount val="1"/>
                <c:pt idx="0">
                  <c:v>4.6057439581683145E-2</c:v>
                </c:pt>
              </c:numCache>
            </c:numRef>
          </c:xVal>
          <c:yVal>
            <c:numRef>
              <c:f>'3 Assets'!$T$42</c:f>
              <c:numCache>
                <c:formatCode>0.0%</c:formatCode>
                <c:ptCount val="1"/>
                <c:pt idx="0">
                  <c:v>2.4229483267354631E-2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3825680"/>
        <c:axId val="-983812624"/>
      </c:scatterChart>
      <c:valAx>
        <c:axId val="-9838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12624"/>
        <c:crosses val="autoZero"/>
        <c:crossBetween val="midCat"/>
      </c:valAx>
      <c:valAx>
        <c:axId val="-9838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2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Set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4225721784776"/>
          <c:y val="0.18097222222222226"/>
          <c:w val="0.7696896325459318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Opportunity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Assets'!$AG$3:$AG$13</c:f>
              <c:numCache>
                <c:formatCode>0.00%</c:formatCode>
                <c:ptCount val="11"/>
                <c:pt idx="0">
                  <c:v>0.15596098247621903</c:v>
                </c:pt>
                <c:pt idx="1">
                  <c:v>0.13780509522694895</c:v>
                </c:pt>
                <c:pt idx="2">
                  <c:v>8.6490474986067309E-2</c:v>
                </c:pt>
                <c:pt idx="3">
                  <c:v>5.9582704819634895E-2</c:v>
                </c:pt>
                <c:pt idx="4">
                  <c:v>5.112404582335086E-2</c:v>
                </c:pt>
                <c:pt idx="5">
                  <c:v>0.12002157602041165</c:v>
                </c:pt>
                <c:pt idx="6">
                  <c:v>0.1028038490266414</c:v>
                </c:pt>
                <c:pt idx="7">
                  <c:v>7.1701404283965209E-2</c:v>
                </c:pt>
                <c:pt idx="8">
                  <c:v>5.2034837131568833E-2</c:v>
                </c:pt>
                <c:pt idx="9">
                  <c:v>0.15824493474637699</c:v>
                </c:pt>
                <c:pt idx="10">
                  <c:v>0.126898916337816</c:v>
                </c:pt>
              </c:numCache>
            </c:numRef>
          </c:xVal>
          <c:yVal>
            <c:numRef>
              <c:f>'4 Assets'!$AE$3:$AE$13</c:f>
              <c:numCache>
                <c:formatCode>0.00%</c:formatCode>
                <c:ptCount val="11"/>
                <c:pt idx="0">
                  <c:v>5.3089735650794313E-2</c:v>
                </c:pt>
                <c:pt idx="1">
                  <c:v>5.0761238714054219E-2</c:v>
                </c:pt>
                <c:pt idx="2">
                  <c:v>4.3775747903833914E-2</c:v>
                </c:pt>
                <c:pt idx="3">
                  <c:v>3.9118754030353711E-2</c:v>
                </c:pt>
                <c:pt idx="4">
                  <c:v>3.4461760156873508E-2</c:v>
                </c:pt>
                <c:pt idx="5">
                  <c:v>4.843274177731411E-2</c:v>
                </c:pt>
                <c:pt idx="6">
                  <c:v>4.6104244840574009E-2</c:v>
                </c:pt>
                <c:pt idx="7">
                  <c:v>4.1447250967093813E-2</c:v>
                </c:pt>
                <c:pt idx="8">
                  <c:v>3.679025709361361E-2</c:v>
                </c:pt>
                <c:pt idx="9">
                  <c:v>5.0189705208502938E-2</c:v>
                </c:pt>
                <c:pt idx="10">
                  <c:v>3.9732650450439985E-2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 Assets'!$R$2</c:f>
              <c:strCache>
                <c:ptCount val="1"/>
                <c:pt idx="0">
                  <c:v>WMT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Assets'!$R$19</c:f>
              <c:numCache>
                <c:formatCode>0.00%</c:formatCode>
                <c:ptCount val="1"/>
                <c:pt idx="0">
                  <c:v>3.4888280803908329E-2</c:v>
                </c:pt>
              </c:numCache>
            </c:numRef>
          </c:xVal>
          <c:yVal>
            <c:numRef>
              <c:f>'4 Assets'!$R$17</c:f>
              <c:numCache>
                <c:formatCode>0.00%</c:formatCode>
                <c:ptCount val="1"/>
                <c:pt idx="0">
                  <c:v>3.2118340777468612E-3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 Assets'!$S$2</c:f>
              <c:strCache>
                <c:ptCount val="1"/>
                <c:pt idx="0">
                  <c:v>TGT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Assets'!$S$19</c:f>
              <c:numCache>
                <c:formatCode>0.00%</c:formatCode>
                <c:ptCount val="1"/>
                <c:pt idx="0">
                  <c:v>6.0195330410701388E-2</c:v>
                </c:pt>
              </c:numCache>
            </c:numRef>
          </c:xVal>
          <c:yVal>
            <c:numRef>
              <c:f>'4 Assets'!$S$17</c:f>
              <c:numCache>
                <c:formatCode>0.0%</c:formatCode>
                <c:ptCount val="1"/>
                <c:pt idx="0">
                  <c:v>3.1329587972196375E-3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 Assets'!$T$2</c:f>
              <c:strCache>
                <c:ptCount val="1"/>
                <c:pt idx="0">
                  <c:v>AAPL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Assets'!$T$19</c:f>
              <c:numCache>
                <c:formatCode>0.00%</c:formatCode>
                <c:ptCount val="1"/>
                <c:pt idx="0">
                  <c:v>5.7168435974244501E-2</c:v>
                </c:pt>
              </c:numCache>
            </c:numRef>
          </c:xVal>
          <c:yVal>
            <c:numRef>
              <c:f>'4 Assets'!$T$17</c:f>
              <c:numCache>
                <c:formatCode>0.0%</c:formatCode>
                <c:ptCount val="1"/>
                <c:pt idx="0">
                  <c:v>3.2133263220133407E-2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 Assets'!$U$2</c:f>
              <c:strCache>
                <c:ptCount val="1"/>
                <c:pt idx="0">
                  <c:v>TSLA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Assets'!$U$19</c:f>
              <c:numCache>
                <c:formatCode>0.00%</c:formatCode>
                <c:ptCount val="1"/>
                <c:pt idx="0">
                  <c:v>0.17437296253645682</c:v>
                </c:pt>
              </c:numCache>
            </c:numRef>
          </c:xVal>
          <c:yVal>
            <c:numRef>
              <c:f>'4 Assets'!$U$17</c:f>
              <c:numCache>
                <c:formatCode>0.00%</c:formatCode>
                <c:ptCount val="1"/>
                <c:pt idx="0">
                  <c:v>5.5418232587534415E-2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539312"/>
        <c:axId val="-778539856"/>
      </c:scatterChart>
      <c:valAx>
        <c:axId val="-7785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539856"/>
        <c:crosses val="autoZero"/>
        <c:crossBetween val="midCat"/>
      </c:valAx>
      <c:valAx>
        <c:axId val="-7785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5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Opportunity 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Opportunity Set 2 Assets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'3 Assets (3 Years)'!$AC$3:$AC$60</c:f>
              <c:numCache>
                <c:formatCode>0.00%</c:formatCode>
                <c:ptCount val="58"/>
                <c:pt idx="0">
                  <c:v>4.8681720506793473E-2</c:v>
                </c:pt>
                <c:pt idx="1">
                  <c:v>5.5340474708371813E-2</c:v>
                </c:pt>
                <c:pt idx="2">
                  <c:v>8.8344548116329233E-2</c:v>
                </c:pt>
                <c:pt idx="3">
                  <c:v>0.11483205201361751</c:v>
                </c:pt>
                <c:pt idx="4">
                  <c:v>0.1426330445321097</c:v>
                </c:pt>
                <c:pt idx="5">
                  <c:v>6.4801716251651417E-2</c:v>
                </c:pt>
                <c:pt idx="6">
                  <c:v>7.6026263726007001E-2</c:v>
                </c:pt>
                <c:pt idx="7">
                  <c:v>0.10135857954009457</c:v>
                </c:pt>
                <c:pt idx="8">
                  <c:v>0.12862066222693719</c:v>
                </c:pt>
                <c:pt idx="9">
                  <c:v>4.4885816168055821E-2</c:v>
                </c:pt>
                <c:pt idx="10">
                  <c:v>4.409897482785375E-2</c:v>
                </c:pt>
                <c:pt idx="11">
                  <c:v>4.5447590105352535E-2</c:v>
                </c:pt>
                <c:pt idx="12">
                  <c:v>4.8754775044316218E-2</c:v>
                </c:pt>
                <c:pt idx="13">
                  <c:v>5.3659607812403025E-2</c:v>
                </c:pt>
                <c:pt idx="14">
                  <c:v>4.4225337079042484E-2</c:v>
                </c:pt>
                <c:pt idx="15">
                  <c:v>4.4511278530398879E-2</c:v>
                </c:pt>
                <c:pt idx="16">
                  <c:v>4.6876520463744416E-2</c:v>
                </c:pt>
                <c:pt idx="17">
                  <c:v>5.1032765973306124E-2</c:v>
                </c:pt>
                <c:pt idx="18">
                  <c:v>0.14349740574474165</c:v>
                </c:pt>
                <c:pt idx="19">
                  <c:v>0.11762453712860696</c:v>
                </c:pt>
                <c:pt idx="20">
                  <c:v>9.3444800553875523E-2</c:v>
                </c:pt>
                <c:pt idx="21">
                  <c:v>7.2668442277061526E-2</c:v>
                </c:pt>
                <c:pt idx="22">
                  <c:v>5.9007177461578159E-2</c:v>
                </c:pt>
                <c:pt idx="23">
                  <c:v>0.13041078177444423</c:v>
                </c:pt>
                <c:pt idx="24">
                  <c:v>0.10524820497549112</c:v>
                </c:pt>
                <c:pt idx="25">
                  <c:v>8.2460718131063995E-2</c:v>
                </c:pt>
                <c:pt idx="26">
                  <c:v>6.4612136285724889E-2</c:v>
                </c:pt>
                <c:pt idx="27">
                  <c:v>4.798622404688789E-2</c:v>
                </c:pt>
                <c:pt idx="28">
                  <c:v>6.4889662389205127E-2</c:v>
                </c:pt>
                <c:pt idx="29">
                  <c:v>8.8852704555082637E-2</c:v>
                </c:pt>
                <c:pt idx="30">
                  <c:v>0.11556419066294482</c:v>
                </c:pt>
                <c:pt idx="31">
                  <c:v>5.5087702459341706E-2</c:v>
                </c:pt>
                <c:pt idx="32">
                  <c:v>7.6359136103588174E-2</c:v>
                </c:pt>
                <c:pt idx="33">
                  <c:v>0.10199472832349976</c:v>
                </c:pt>
                <c:pt idx="34">
                  <c:v>0.12942671973029229</c:v>
                </c:pt>
                <c:pt idx="35">
                  <c:v>4.7782221374534341E-2</c:v>
                </c:pt>
                <c:pt idx="36">
                  <c:v>5.5266960998233874E-2</c:v>
                </c:pt>
                <c:pt idx="37">
                  <c:v>6.5343472017033347E-2</c:v>
                </c:pt>
                <c:pt idx="38">
                  <c:v>7.7000894483548438E-2</c:v>
                </c:pt>
                <c:pt idx="39">
                  <c:v>8.9624451050243636E-2</c:v>
                </c:pt>
                <c:pt idx="40">
                  <c:v>0.10285904315913935</c:v>
                </c:pt>
                <c:pt idx="41">
                  <c:v>0.11649660661124465</c:v>
                </c:pt>
                <c:pt idx="42">
                  <c:v>4.8075969622278163E-2</c:v>
                </c:pt>
                <c:pt idx="43">
                  <c:v>6.6155616389894964E-2</c:v>
                </c:pt>
                <c:pt idx="44">
                  <c:v>9.0653055876746644E-2</c:v>
                </c:pt>
                <c:pt idx="45">
                  <c:v>5.5874092280250656E-2</c:v>
                </c:pt>
                <c:pt idx="46">
                  <c:v>7.7943909514965548E-2</c:v>
                </c:pt>
                <c:pt idx="47">
                  <c:v>0.10394583256616488</c:v>
                </c:pt>
                <c:pt idx="48">
                  <c:v>5.0106893634385134E-2</c:v>
                </c:pt>
                <c:pt idx="49">
                  <c:v>5.8309126144680416E-2</c:v>
                </c:pt>
                <c:pt idx="50">
                  <c:v>6.8798573041816344E-2</c:v>
                </c:pt>
                <c:pt idx="51">
                  <c:v>8.0688098082612209E-2</c:v>
                </c:pt>
                <c:pt idx="52">
                  <c:v>5.3859850556553165E-2</c:v>
                </c:pt>
                <c:pt idx="53">
                  <c:v>6.2199477273461243E-2</c:v>
                </c:pt>
                <c:pt idx="54">
                  <c:v>5.6280704062431991E-2</c:v>
                </c:pt>
                <c:pt idx="55">
                  <c:v>4.6057439581683145E-2</c:v>
                </c:pt>
                <c:pt idx="56">
                  <c:v>0.15680922196116828</c:v>
                </c:pt>
                <c:pt idx="57">
                  <c:v>5.6586738841409613E-2</c:v>
                </c:pt>
              </c:numCache>
            </c:numRef>
          </c:xVal>
          <c:yVal>
            <c:numRef>
              <c:f>'3 Assets (3 Years)'!$AA$3:$AA$60</c:f>
              <c:numCache>
                <c:formatCode>0.00%</c:formatCode>
                <c:ptCount val="58"/>
                <c:pt idx="0">
                  <c:v>2.7932340857332389E-2</c:v>
                </c:pt>
                <c:pt idx="1">
                  <c:v>3.1635198447310151E-2</c:v>
                </c:pt>
                <c:pt idx="2">
                  <c:v>4.2743771217243418E-2</c:v>
                </c:pt>
                <c:pt idx="3">
                  <c:v>5.0149486397198927E-2</c:v>
                </c:pt>
                <c:pt idx="4">
                  <c:v>5.755520157715445E-2</c:v>
                </c:pt>
                <c:pt idx="5">
                  <c:v>3.5338056037287902E-2</c:v>
                </c:pt>
                <c:pt idx="6">
                  <c:v>3.904091362726566E-2</c:v>
                </c:pt>
                <c:pt idx="7">
                  <c:v>4.6446628807221169E-2</c:v>
                </c:pt>
                <c:pt idx="8">
                  <c:v>5.3852343987176692E-2</c:v>
                </c:pt>
                <c:pt idx="9">
                  <c:v>2.4184606302607162E-2</c:v>
                </c:pt>
                <c:pt idx="10">
                  <c:v>2.4094852373112218E-2</c:v>
                </c:pt>
                <c:pt idx="11">
                  <c:v>2.4005098443617281E-2</c:v>
                </c:pt>
                <c:pt idx="12">
                  <c:v>2.391534451412234E-2</c:v>
                </c:pt>
                <c:pt idx="13">
                  <c:v>2.3825590584627399E-2</c:v>
                </c:pt>
                <c:pt idx="14">
                  <c:v>2.413972933785969E-2</c:v>
                </c:pt>
                <c:pt idx="15">
                  <c:v>2.4049975408364753E-2</c:v>
                </c:pt>
                <c:pt idx="16">
                  <c:v>2.3960221478869809E-2</c:v>
                </c:pt>
                <c:pt idx="17">
                  <c:v>2.3870467549374871E-2</c:v>
                </c:pt>
                <c:pt idx="18">
                  <c:v>5.7510324612406974E-2</c:v>
                </c:pt>
                <c:pt idx="19">
                  <c:v>5.0014855502956514E-2</c:v>
                </c:pt>
                <c:pt idx="20">
                  <c:v>4.2519386393506067E-2</c:v>
                </c:pt>
                <c:pt idx="21">
                  <c:v>3.5023917284055614E-2</c:v>
                </c:pt>
                <c:pt idx="22">
                  <c:v>2.7528448174605157E-2</c:v>
                </c:pt>
                <c:pt idx="23">
                  <c:v>5.3762590057681754E-2</c:v>
                </c:pt>
                <c:pt idx="24">
                  <c:v>4.6267120948231294E-2</c:v>
                </c:pt>
                <c:pt idx="25">
                  <c:v>3.8771651838780841E-2</c:v>
                </c:pt>
                <c:pt idx="26">
                  <c:v>3.1276182729330387E-2</c:v>
                </c:pt>
                <c:pt idx="27">
                  <c:v>2.788746389258492E-2</c:v>
                </c:pt>
                <c:pt idx="28">
                  <c:v>3.5293179072540433E-2</c:v>
                </c:pt>
                <c:pt idx="29">
                  <c:v>4.2698894252495942E-2</c:v>
                </c:pt>
                <c:pt idx="30">
                  <c:v>5.0104609432451451E-2</c:v>
                </c:pt>
                <c:pt idx="31">
                  <c:v>3.1590321482562675E-2</c:v>
                </c:pt>
                <c:pt idx="32">
                  <c:v>3.8996036662518191E-2</c:v>
                </c:pt>
                <c:pt idx="33">
                  <c:v>4.64017518424737E-2</c:v>
                </c:pt>
                <c:pt idx="34">
                  <c:v>5.3807467022429216E-2</c:v>
                </c:pt>
                <c:pt idx="35">
                  <c:v>2.7842586927837448E-2</c:v>
                </c:pt>
                <c:pt idx="36">
                  <c:v>3.1545444517815213E-2</c:v>
                </c:pt>
                <c:pt idx="37">
                  <c:v>3.5248302107792964E-2</c:v>
                </c:pt>
                <c:pt idx="38">
                  <c:v>3.8951159697770722E-2</c:v>
                </c:pt>
                <c:pt idx="39">
                  <c:v>4.265401728774848E-2</c:v>
                </c:pt>
                <c:pt idx="40">
                  <c:v>4.6356874877726231E-2</c:v>
                </c:pt>
                <c:pt idx="41">
                  <c:v>5.0059732467703989E-2</c:v>
                </c:pt>
                <c:pt idx="42">
                  <c:v>2.779770996308998E-2</c:v>
                </c:pt>
                <c:pt idx="43">
                  <c:v>3.5203425143045489E-2</c:v>
                </c:pt>
                <c:pt idx="44">
                  <c:v>4.2609140323001005E-2</c:v>
                </c:pt>
                <c:pt idx="45">
                  <c:v>3.1500567553067738E-2</c:v>
                </c:pt>
                <c:pt idx="46">
                  <c:v>3.8906282733023254E-2</c:v>
                </c:pt>
                <c:pt idx="47">
                  <c:v>4.6311997912978763E-2</c:v>
                </c:pt>
                <c:pt idx="48">
                  <c:v>2.7707956033595035E-2</c:v>
                </c:pt>
                <c:pt idx="49">
                  <c:v>3.14108136235728E-2</c:v>
                </c:pt>
                <c:pt idx="50">
                  <c:v>3.5113671213550551E-2</c:v>
                </c:pt>
                <c:pt idx="51">
                  <c:v>3.8816528803528316E-2</c:v>
                </c:pt>
                <c:pt idx="52">
                  <c:v>2.7618202104100101E-2</c:v>
                </c:pt>
                <c:pt idx="53">
                  <c:v>3.1321059694077856E-2</c:v>
                </c:pt>
                <c:pt idx="54">
                  <c:v>2.7573325139352629E-2</c:v>
                </c:pt>
                <c:pt idx="55">
                  <c:v>2.4229483267354631E-2</c:v>
                </c:pt>
                <c:pt idx="56">
                  <c:v>6.1258059167132201E-2</c:v>
                </c:pt>
                <c:pt idx="57">
                  <c:v>2.3780713619879931E-2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 Assets (3 Years)'!$R$2</c:f>
              <c:strCache>
                <c:ptCount val="1"/>
                <c:pt idx="0">
                  <c:v>DIS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 Assets (3 Years)'!$R$55</c:f>
              <c:numCache>
                <c:formatCode>0.00%</c:formatCode>
                <c:ptCount val="1"/>
                <c:pt idx="0">
                  <c:v>5.6586738841409613E-2</c:v>
                </c:pt>
              </c:numCache>
            </c:numRef>
          </c:xVal>
          <c:yVal>
            <c:numRef>
              <c:f>'3 Assets (3 Years)'!$R$53</c:f>
              <c:numCache>
                <c:formatCode>0.00%</c:formatCode>
                <c:ptCount val="1"/>
                <c:pt idx="0">
                  <c:v>2.3780713619879931E-2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 Assets (3 Years)'!$S$2</c:f>
              <c:strCache>
                <c:ptCount val="1"/>
                <c:pt idx="0">
                  <c:v>RAD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 Assets (3 Years)'!$S$55</c:f>
              <c:numCache>
                <c:formatCode>0.00%</c:formatCode>
                <c:ptCount val="1"/>
                <c:pt idx="0">
                  <c:v>0.15680922196116828</c:v>
                </c:pt>
              </c:numCache>
            </c:numRef>
          </c:xVal>
          <c:yVal>
            <c:numRef>
              <c:f>'3 Assets (3 Years)'!$S$53</c:f>
              <c:numCache>
                <c:formatCode>0.0%</c:formatCode>
                <c:ptCount val="1"/>
                <c:pt idx="0">
                  <c:v>6.1258059167132201E-2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 Assets (3 Years)'!$T$2</c:f>
              <c:strCache>
                <c:ptCount val="1"/>
                <c:pt idx="0">
                  <c:v>HD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'3 Assets (3 Years)'!$T$55</c:f>
              <c:numCache>
                <c:formatCode>0.00%</c:formatCode>
                <c:ptCount val="1"/>
                <c:pt idx="0">
                  <c:v>4.6057439581683145E-2</c:v>
                </c:pt>
              </c:numCache>
            </c:numRef>
          </c:xVal>
          <c:yVal>
            <c:numRef>
              <c:f>'3 Assets (3 Years)'!$T$53</c:f>
              <c:numCache>
                <c:formatCode>0.0%</c:formatCode>
                <c:ptCount val="1"/>
                <c:pt idx="0">
                  <c:v>2.4229483267354631E-2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3824592"/>
        <c:axId val="-983822960"/>
      </c:scatterChart>
      <c:valAx>
        <c:axId val="-9838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22960"/>
        <c:crosses val="autoZero"/>
        <c:crossBetween val="midCat"/>
      </c:valAx>
      <c:valAx>
        <c:axId val="-983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8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522287</xdr:colOff>
      <xdr:row>20</xdr:row>
      <xdr:rowOff>23813</xdr:rowOff>
    </xdr:from>
    <xdr:to>
      <xdr:col>26</xdr:col>
      <xdr:colOff>360362</xdr:colOff>
      <xdr:row>38</xdr:row>
      <xdr:rowOff>68263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21</xdr:row>
      <xdr:rowOff>47625</xdr:rowOff>
    </xdr:from>
    <xdr:to>
      <xdr:col>17</xdr:col>
      <xdr:colOff>409575</xdr:colOff>
      <xdr:row>21</xdr:row>
      <xdr:rowOff>142875</xdr:rowOff>
    </xdr:to>
    <xdr:sp macro="" textlink="">
      <xdr:nvSpPr>
        <xdr:cNvPr id="2" name="Up Arrow 1"/>
        <xdr:cNvSpPr/>
      </xdr:nvSpPr>
      <xdr:spPr>
        <a:xfrm>
          <a:off x="10925175" y="4095750"/>
          <a:ext cx="47625" cy="95250"/>
        </a:xfrm>
        <a:prstGeom prst="up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123825</xdr:colOff>
      <xdr:row>15</xdr:row>
      <xdr:rowOff>52387</xdr:rowOff>
    </xdr:from>
    <xdr:to>
      <xdr:col>34</xdr:col>
      <xdr:colOff>504825</xdr:colOff>
      <xdr:row>29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747712</xdr:colOff>
      <xdr:row>18</xdr:row>
      <xdr:rowOff>157162</xdr:rowOff>
    </xdr:from>
    <xdr:to>
      <xdr:col>29</xdr:col>
      <xdr:colOff>376237</xdr:colOff>
      <xdr:row>32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123825</xdr:colOff>
      <xdr:row>15</xdr:row>
      <xdr:rowOff>52387</xdr:rowOff>
    </xdr:from>
    <xdr:to>
      <xdr:col>34</xdr:col>
      <xdr:colOff>504825</xdr:colOff>
      <xdr:row>29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tAncientOne/Dropbox/FIN136/Project/Tin_Hang_Portfolio_Project_Fall_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3-Stock Portfolio"/>
    </sheetNames>
    <sheetDataSet>
      <sheetData sheetId="0">
        <row r="2">
          <cell r="C2" t="str">
            <v>SPY</v>
          </cell>
          <cell r="D2" t="str">
            <v>MDY</v>
          </cell>
          <cell r="E2" t="str">
            <v>IWM</v>
          </cell>
          <cell r="F2" t="str">
            <v>IWC</v>
          </cell>
          <cell r="G2" t="str">
            <v>XLY</v>
          </cell>
          <cell r="H2" t="str">
            <v>XLP</v>
          </cell>
          <cell r="I2" t="str">
            <v>XLE</v>
          </cell>
          <cell r="J2" t="str">
            <v>IYZ</v>
          </cell>
          <cell r="K2" t="str">
            <v>XLF</v>
          </cell>
          <cell r="L2" t="str">
            <v>VNQ</v>
          </cell>
          <cell r="M2" t="str">
            <v>XLU</v>
          </cell>
          <cell r="N2" t="str">
            <v>XLB</v>
          </cell>
          <cell r="O2" t="str">
            <v>XME</v>
          </cell>
          <cell r="P2" t="str">
            <v>PBW</v>
          </cell>
          <cell r="Q2" t="str">
            <v>XLV</v>
          </cell>
          <cell r="R2" t="str">
            <v>XLI</v>
          </cell>
          <cell r="S2" t="str">
            <v>XLK</v>
          </cell>
          <cell r="T2" t="str">
            <v>SDY</v>
          </cell>
          <cell r="U2" t="str">
            <v>LQD</v>
          </cell>
          <cell r="V2" t="str">
            <v>SHY</v>
          </cell>
          <cell r="W2" t="str">
            <v>BND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5"/>
  <sheetViews>
    <sheetView topLeftCell="N1" zoomScaleNormal="100" workbookViewId="0">
      <selection activeCell="AD16" sqref="AD16"/>
    </sheetView>
  </sheetViews>
  <sheetFormatPr defaultRowHeight="15" x14ac:dyDescent="0.25"/>
  <cols>
    <col min="1" max="1" width="9.7109375" style="1" bestFit="1" customWidth="1"/>
    <col min="2" max="7" width="9.140625" style="1"/>
    <col min="9" max="9" width="9.7109375" style="1" bestFit="1" customWidth="1"/>
    <col min="17" max="17" width="11" bestFit="1" customWidth="1"/>
    <col min="18" max="19" width="12.7109375" bestFit="1" customWidth="1"/>
    <col min="20" max="20" width="21.85546875" bestFit="1" customWidth="1"/>
    <col min="21" max="21" width="12.140625" bestFit="1" customWidth="1"/>
    <col min="25" max="25" width="9.5703125" bestFit="1" customWidth="1"/>
    <col min="28" max="28" width="32.140625" bestFit="1" customWidth="1"/>
    <col min="29" max="29" width="6.140625" bestFit="1" customWidth="1"/>
    <col min="30" max="30" width="7.85546875" bestFit="1" customWidth="1"/>
    <col min="31" max="31" width="16.7109375" bestFit="1" customWidth="1"/>
  </cols>
  <sheetData>
    <row r="1" spans="1:32" ht="15.75" thickBot="1" x14ac:dyDescent="0.3">
      <c r="A1" s="3"/>
      <c r="B1" s="3" t="s">
        <v>7</v>
      </c>
      <c r="C1" s="3"/>
      <c r="D1" s="3"/>
      <c r="E1" s="3"/>
      <c r="F1" s="3"/>
      <c r="G1" s="3"/>
      <c r="I1" s="3"/>
      <c r="J1" s="3" t="s">
        <v>8</v>
      </c>
      <c r="K1" s="3"/>
      <c r="L1" s="3"/>
      <c r="M1" s="3"/>
      <c r="N1" s="3"/>
      <c r="O1" s="3"/>
      <c r="P1" s="5" t="s">
        <v>9</v>
      </c>
      <c r="V1" s="11" t="s">
        <v>15</v>
      </c>
      <c r="W1" s="11" t="s">
        <v>15</v>
      </c>
    </row>
    <row r="2" spans="1:32" ht="15.7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I2" s="4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5">
        <v>1</v>
      </c>
      <c r="R2" s="14" t="s">
        <v>2</v>
      </c>
      <c r="S2" s="4" t="s">
        <v>4</v>
      </c>
      <c r="U2" s="34" t="s">
        <v>19</v>
      </c>
      <c r="V2" s="8" t="str">
        <f>R2</f>
        <v>TGT</v>
      </c>
      <c r="W2" s="9" t="str">
        <f>S2</f>
        <v>HPQ</v>
      </c>
      <c r="X2" s="9" t="s">
        <v>16</v>
      </c>
      <c r="Y2" s="9" t="s">
        <v>17</v>
      </c>
      <c r="Z2" s="10" t="s">
        <v>18</v>
      </c>
      <c r="AB2" s="62" t="s">
        <v>24</v>
      </c>
      <c r="AD2" s="63">
        <v>30</v>
      </c>
    </row>
    <row r="3" spans="1:32" ht="15.75" thickBot="1" x14ac:dyDescent="0.3">
      <c r="A3" s="2">
        <v>41884</v>
      </c>
      <c r="B3" s="1">
        <v>252.14</v>
      </c>
      <c r="C3" s="1">
        <v>63.88</v>
      </c>
      <c r="D3" s="1">
        <v>16.41</v>
      </c>
      <c r="E3" s="1">
        <v>35.950000000000003</v>
      </c>
      <c r="F3" s="1">
        <v>77.08</v>
      </c>
      <c r="G3" s="1">
        <v>101.75</v>
      </c>
      <c r="I3" s="2">
        <v>41884</v>
      </c>
      <c r="J3">
        <f t="shared" ref="J3:J14" si="0">(B3-B4)/B4</f>
        <v>-6.5109380793474239E-2</v>
      </c>
      <c r="K3">
        <f t="shared" ref="K3:K14" si="1">(C3-C4)/C4</f>
        <v>6.3426002996504111E-2</v>
      </c>
      <c r="L3">
        <f t="shared" ref="L3:L14" si="2">(D3-D4)/D4</f>
        <v>-5.7438253877082138E-2</v>
      </c>
      <c r="M3">
        <f t="shared" ref="M3:M14" si="3">(E3-E4)/E4</f>
        <v>-4.9947145877378446E-2</v>
      </c>
      <c r="N3">
        <f t="shared" ref="N3:N14" si="4">(F3-F4)/F4</f>
        <v>2.0927152317880771E-2</v>
      </c>
      <c r="O3">
        <f t="shared" ref="O3:O14" si="5">(G3-G4)/G4</f>
        <v>-7.3170731707317077E-3</v>
      </c>
      <c r="P3" s="5">
        <v>2</v>
      </c>
      <c r="R3">
        <f t="shared" ref="R3:R14" si="6">HLOOKUP($R$2,Returns,P3,FALSE)</f>
        <v>6.3426002996504111E-2</v>
      </c>
      <c r="S3">
        <f t="shared" ref="S3:S14" si="7">HLOOKUP($S$2,Returns,P3,FALSE)</f>
        <v>-4.9947145877378446E-2</v>
      </c>
      <c r="U3" s="23">
        <f>(X3-$R$25)/Z3</f>
        <v>6.6466743425333721E-2</v>
      </c>
      <c r="V3">
        <v>1</v>
      </c>
      <c r="W3">
        <f>1-V3</f>
        <v>0</v>
      </c>
      <c r="X3" s="6">
        <f>V3*$R$17+W3*$S$17</f>
        <v>3.9190836662607448E-3</v>
      </c>
      <c r="Y3" s="22">
        <f>V3^2*$R$18+W3^2*$S$18+2*V3*W3*$R$20</f>
        <v>3.3014866379471636E-3</v>
      </c>
      <c r="Z3" s="6">
        <f>SQRT(Y3)</f>
        <v>5.74585645308614E-2</v>
      </c>
      <c r="AB3" s="64"/>
      <c r="AC3" s="65"/>
      <c r="AD3" s="66"/>
    </row>
    <row r="4" spans="1:32" x14ac:dyDescent="0.25">
      <c r="A4" s="2">
        <v>41852</v>
      </c>
      <c r="B4" s="1">
        <v>269.7</v>
      </c>
      <c r="C4" s="1">
        <v>60.07</v>
      </c>
      <c r="D4" s="1">
        <v>17.41</v>
      </c>
      <c r="E4" s="1">
        <v>37.840000000000003</v>
      </c>
      <c r="F4" s="1">
        <v>75.5</v>
      </c>
      <c r="G4" s="1">
        <v>102.5</v>
      </c>
      <c r="I4" s="2">
        <v>41852</v>
      </c>
      <c r="J4">
        <f t="shared" si="0"/>
        <v>0.20779220779220767</v>
      </c>
      <c r="K4">
        <f t="shared" si="1"/>
        <v>1.7101252963088349E-2</v>
      </c>
      <c r="L4">
        <f t="shared" si="2"/>
        <v>2.2914218566392513E-2</v>
      </c>
      <c r="M4">
        <f t="shared" si="3"/>
        <v>6.7117879300620492E-2</v>
      </c>
      <c r="N4">
        <f t="shared" si="4"/>
        <v>3.2831737346101314E-2</v>
      </c>
      <c r="O4">
        <f t="shared" si="5"/>
        <v>7.7472931777567589E-2</v>
      </c>
      <c r="P4" s="5">
        <v>3</v>
      </c>
      <c r="R4">
        <f t="shared" si="6"/>
        <v>1.7101252963088349E-2</v>
      </c>
      <c r="S4">
        <f t="shared" si="7"/>
        <v>6.7117879300620492E-2</v>
      </c>
      <c r="U4" s="23">
        <f>(X4-$R$25)/Z4</f>
        <v>0.16253432104992638</v>
      </c>
      <c r="V4">
        <v>0.9</v>
      </c>
      <c r="W4">
        <f t="shared" ref="W4:W13" si="8">1-V4</f>
        <v>9.9999999999999978E-2</v>
      </c>
      <c r="X4" s="6">
        <f t="shared" ref="X4:X13" si="9">V4*$R$17+W4*$S$17</f>
        <v>8.4150684487345837E-3</v>
      </c>
      <c r="Y4" s="22">
        <f t="shared" ref="Y4:Y13" si="10">V4^2*$R$18+W4^2*$S$18+2*V4*W4*$R$20</f>
        <v>2.6172276174885483E-3</v>
      </c>
      <c r="Z4" s="6">
        <f t="shared" ref="Z4:Z13" si="11">SQRT(Y4)</f>
        <v>5.1158846913203083E-2</v>
      </c>
      <c r="AB4" s="67" t="s">
        <v>25</v>
      </c>
      <c r="AD4" s="79">
        <f>(X16-X17)/(AD2*Y16)</f>
        <v>0.67649032967759737</v>
      </c>
    </row>
    <row r="5" spans="1:32" ht="15.75" thickBot="1" x14ac:dyDescent="0.3">
      <c r="A5" s="2">
        <v>41821</v>
      </c>
      <c r="B5" s="1">
        <v>223.3</v>
      </c>
      <c r="C5" s="1">
        <v>59.06</v>
      </c>
      <c r="D5" s="1">
        <v>17.02</v>
      </c>
      <c r="E5" s="1">
        <v>35.46</v>
      </c>
      <c r="F5" s="1">
        <v>73.099999999999994</v>
      </c>
      <c r="G5" s="1">
        <v>95.13</v>
      </c>
      <c r="I5" s="2">
        <v>41821</v>
      </c>
      <c r="J5">
        <f t="shared" si="0"/>
        <v>-6.9815879363492428E-2</v>
      </c>
      <c r="K5">
        <f t="shared" si="1"/>
        <v>2.8382378547797363E-2</v>
      </c>
      <c r="L5">
        <f t="shared" si="2"/>
        <v>-5.8411214953271859E-3</v>
      </c>
      <c r="M5">
        <f t="shared" si="3"/>
        <v>5.7245080500894503E-2</v>
      </c>
      <c r="N5">
        <f t="shared" si="4"/>
        <v>-1.9844462322338483E-2</v>
      </c>
      <c r="O5">
        <f t="shared" si="5"/>
        <v>2.8766086298258858E-2</v>
      </c>
      <c r="P5" s="5">
        <v>4</v>
      </c>
      <c r="R5">
        <f t="shared" si="6"/>
        <v>2.8382378547797363E-2</v>
      </c>
      <c r="S5">
        <f t="shared" si="7"/>
        <v>5.7245080500894503E-2</v>
      </c>
      <c r="U5" s="23">
        <f t="shared" ref="U5:U13" si="12">(X5-$R$25)/Z5</f>
        <v>0.28086194681724225</v>
      </c>
      <c r="V5">
        <v>0.8</v>
      </c>
      <c r="W5">
        <f t="shared" si="8"/>
        <v>0.19999999999999996</v>
      </c>
      <c r="X5" s="6">
        <f t="shared" si="9"/>
        <v>1.2911053231208423E-2</v>
      </c>
      <c r="Y5" s="22">
        <f t="shared" si="10"/>
        <v>2.0805773569618491E-3</v>
      </c>
      <c r="Z5" s="6">
        <f t="shared" si="11"/>
        <v>4.5613346259201909E-2</v>
      </c>
      <c r="AB5" s="67" t="s">
        <v>26</v>
      </c>
      <c r="AC5" s="68"/>
      <c r="AD5" s="80">
        <f>1-AD4</f>
        <v>0.32350967032240263</v>
      </c>
    </row>
    <row r="6" spans="1:32" ht="15.75" thickBot="1" x14ac:dyDescent="0.3">
      <c r="A6" s="2">
        <v>41792</v>
      </c>
      <c r="B6" s="1">
        <v>240.06</v>
      </c>
      <c r="C6" s="1">
        <v>57.43</v>
      </c>
      <c r="D6" s="1">
        <v>17.12</v>
      </c>
      <c r="E6" s="1">
        <v>33.54</v>
      </c>
      <c r="F6" s="1">
        <v>74.58</v>
      </c>
      <c r="G6" s="1">
        <v>92.47</v>
      </c>
      <c r="I6" s="2">
        <v>41792</v>
      </c>
      <c r="J6">
        <f t="shared" si="0"/>
        <v>0.15541223468258167</v>
      </c>
      <c r="K6">
        <f t="shared" si="1"/>
        <v>2.0977777777777772E-2</v>
      </c>
      <c r="L6">
        <f t="shared" si="2"/>
        <v>4.9019607843137296E-2</v>
      </c>
      <c r="M6">
        <f t="shared" si="3"/>
        <v>1.0240963855421574E-2</v>
      </c>
      <c r="N6">
        <f t="shared" si="4"/>
        <v>-2.2158122459682676E-2</v>
      </c>
      <c r="O6">
        <f t="shared" si="5"/>
        <v>2.7672816181373582E-2</v>
      </c>
      <c r="P6" s="5">
        <v>5</v>
      </c>
      <c r="R6">
        <f t="shared" si="6"/>
        <v>2.0977777777777772E-2</v>
      </c>
      <c r="S6">
        <f t="shared" si="7"/>
        <v>1.0240963855421574E-2</v>
      </c>
      <c r="U6" s="23">
        <f t="shared" si="12"/>
        <v>0.42080621313672179</v>
      </c>
      <c r="V6">
        <v>0.7</v>
      </c>
      <c r="W6">
        <f t="shared" si="8"/>
        <v>0.30000000000000004</v>
      </c>
      <c r="X6" s="6">
        <f t="shared" si="9"/>
        <v>1.740703801368227E-2</v>
      </c>
      <c r="Y6" s="22">
        <f t="shared" si="10"/>
        <v>1.6915358563670644E-3</v>
      </c>
      <c r="Z6" s="6">
        <f t="shared" si="11"/>
        <v>4.1128285356516678E-2</v>
      </c>
      <c r="AB6" s="65"/>
      <c r="AC6" s="65"/>
      <c r="AD6" s="66"/>
    </row>
    <row r="7" spans="1:32" x14ac:dyDescent="0.25">
      <c r="A7" s="2">
        <v>41760</v>
      </c>
      <c r="B7" s="1">
        <v>207.77</v>
      </c>
      <c r="C7" s="1">
        <v>56.25</v>
      </c>
      <c r="D7" s="1">
        <v>16.32</v>
      </c>
      <c r="E7" s="1">
        <v>33.200000000000003</v>
      </c>
      <c r="F7" s="1">
        <v>76.27</v>
      </c>
      <c r="G7" s="1">
        <v>89.98</v>
      </c>
      <c r="I7" s="2">
        <v>41760</v>
      </c>
      <c r="J7">
        <f t="shared" si="0"/>
        <v>-5.7722834191147303E-4</v>
      </c>
      <c r="K7">
        <f t="shared" si="1"/>
        <v>-7.407407407407407E-2</v>
      </c>
      <c r="L7">
        <f t="shared" si="2"/>
        <v>1.7456359102244461E-2</v>
      </c>
      <c r="M7">
        <f t="shared" si="3"/>
        <v>1.3431013431013579E-2</v>
      </c>
      <c r="N7">
        <f t="shared" si="4"/>
        <v>-3.0876747141042018E-2</v>
      </c>
      <c r="O7">
        <f t="shared" si="5"/>
        <v>7.8638216255094734E-2</v>
      </c>
      <c r="P7" s="5">
        <v>6</v>
      </c>
      <c r="R7">
        <f t="shared" si="6"/>
        <v>-7.407407407407407E-2</v>
      </c>
      <c r="S7">
        <f t="shared" si="7"/>
        <v>1.3431013431013579E-2</v>
      </c>
      <c r="U7" s="23">
        <f t="shared" si="12"/>
        <v>0.57255507172593811</v>
      </c>
      <c r="V7">
        <v>0.6</v>
      </c>
      <c r="W7">
        <f t="shared" si="8"/>
        <v>0.4</v>
      </c>
      <c r="X7" s="6">
        <f t="shared" si="9"/>
        <v>2.1903022796156107E-2</v>
      </c>
      <c r="Y7" s="22">
        <f t="shared" si="10"/>
        <v>1.4501031157041966E-3</v>
      </c>
      <c r="Z7" s="6">
        <f t="shared" si="11"/>
        <v>3.8080219480777638E-2</v>
      </c>
      <c r="AB7" s="69" t="s">
        <v>27</v>
      </c>
      <c r="AC7" s="70"/>
      <c r="AD7" s="82">
        <f>AD4*X16+AD5*X17</f>
        <v>2.7015494990224573E-2</v>
      </c>
    </row>
    <row r="8" spans="1:32" x14ac:dyDescent="0.25">
      <c r="A8" s="2">
        <v>41730</v>
      </c>
      <c r="B8" s="1">
        <v>207.89</v>
      </c>
      <c r="C8" s="1">
        <v>60.75</v>
      </c>
      <c r="D8" s="1">
        <v>16.04</v>
      </c>
      <c r="E8" s="1">
        <v>32.76</v>
      </c>
      <c r="F8" s="1">
        <v>78.7</v>
      </c>
      <c r="G8" s="1">
        <v>83.42</v>
      </c>
      <c r="I8" s="2">
        <v>41730</v>
      </c>
      <c r="J8">
        <f t="shared" si="0"/>
        <v>-2.6864955624850196E-3</v>
      </c>
      <c r="K8">
        <f t="shared" si="1"/>
        <v>2.0493868637661665E-2</v>
      </c>
      <c r="L8">
        <f t="shared" si="2"/>
        <v>4.3591411841249185E-2</v>
      </c>
      <c r="M8">
        <f t="shared" si="3"/>
        <v>2.1515434985968123E-2</v>
      </c>
      <c r="N8">
        <f t="shared" si="4"/>
        <v>4.2936655181553263E-2</v>
      </c>
      <c r="O8">
        <f t="shared" si="5"/>
        <v>9.9512323711611922E-2</v>
      </c>
      <c r="P8" s="5">
        <v>7</v>
      </c>
      <c r="R8">
        <f t="shared" si="6"/>
        <v>2.0493868637661665E-2</v>
      </c>
      <c r="S8">
        <f t="shared" si="7"/>
        <v>2.1515434985968123E-2</v>
      </c>
      <c r="U8" s="23">
        <f t="shared" si="12"/>
        <v>0.7141095152409398</v>
      </c>
      <c r="V8">
        <v>0.5</v>
      </c>
      <c r="W8">
        <f t="shared" si="8"/>
        <v>0.5</v>
      </c>
      <c r="X8" s="6">
        <f t="shared" si="9"/>
        <v>2.6399007578629948E-2</v>
      </c>
      <c r="Y8" s="22">
        <f t="shared" si="10"/>
        <v>1.3562791349732439E-3</v>
      </c>
      <c r="Z8" s="6">
        <f t="shared" si="11"/>
        <v>3.6827695216687724E-2</v>
      </c>
      <c r="AB8" s="69" t="s">
        <v>28</v>
      </c>
      <c r="AC8" s="71"/>
      <c r="AD8" s="83">
        <f>AD4^2*Y16</f>
        <v>8.9718316634081901E-4</v>
      </c>
    </row>
    <row r="9" spans="1:32" ht="15.75" thickBot="1" x14ac:dyDescent="0.3">
      <c r="A9" s="2">
        <v>41701</v>
      </c>
      <c r="B9" s="1">
        <v>208.45</v>
      </c>
      <c r="C9" s="1">
        <v>59.53</v>
      </c>
      <c r="D9" s="1">
        <v>15.37</v>
      </c>
      <c r="E9" s="1">
        <v>32.07</v>
      </c>
      <c r="F9" s="1">
        <v>75.459999999999994</v>
      </c>
      <c r="G9" s="1">
        <v>75.87</v>
      </c>
      <c r="I9" s="2">
        <v>41701</v>
      </c>
      <c r="J9">
        <f t="shared" si="0"/>
        <v>-0.14852334463461464</v>
      </c>
      <c r="K9">
        <f t="shared" si="1"/>
        <v>-3.2504469364537623E-2</v>
      </c>
      <c r="L9">
        <f t="shared" si="2"/>
        <v>1.3852242744063263E-2</v>
      </c>
      <c r="M9">
        <f t="shared" si="3"/>
        <v>8.8225313878520575E-2</v>
      </c>
      <c r="N9">
        <f t="shared" si="4"/>
        <v>2.9748908296943131E-2</v>
      </c>
      <c r="O9">
        <f t="shared" si="5"/>
        <v>1.9895147197203977E-2</v>
      </c>
      <c r="P9" s="5">
        <v>8</v>
      </c>
      <c r="R9">
        <f t="shared" si="6"/>
        <v>-3.2504469364537623E-2</v>
      </c>
      <c r="S9">
        <f t="shared" si="7"/>
        <v>8.8225313878520575E-2</v>
      </c>
      <c r="U9" s="23">
        <f t="shared" si="12"/>
        <v>0.82008846147849734</v>
      </c>
      <c r="V9">
        <v>0.4</v>
      </c>
      <c r="W9">
        <f t="shared" si="8"/>
        <v>0.6</v>
      </c>
      <c r="X9" s="6">
        <f t="shared" si="9"/>
        <v>3.0894992361103789E-2</v>
      </c>
      <c r="Y9" s="22">
        <f t="shared" si="10"/>
        <v>1.4100639141742077E-3</v>
      </c>
      <c r="Z9" s="6">
        <f t="shared" si="11"/>
        <v>3.7550817756397896E-2</v>
      </c>
      <c r="AB9" s="69" t="s">
        <v>29</v>
      </c>
      <c r="AC9" s="72"/>
      <c r="AD9" s="84">
        <f>AD4*Z16</f>
        <v>2.9953015980712511E-2</v>
      </c>
    </row>
    <row r="10" spans="1:32" ht="15.75" thickBot="1" x14ac:dyDescent="0.3">
      <c r="A10" s="2">
        <v>41673</v>
      </c>
      <c r="B10" s="1">
        <v>244.81</v>
      </c>
      <c r="C10" s="1">
        <v>61.53</v>
      </c>
      <c r="D10" s="1">
        <v>15.16</v>
      </c>
      <c r="E10" s="1">
        <v>29.47</v>
      </c>
      <c r="F10" s="1">
        <v>73.28</v>
      </c>
      <c r="G10" s="1">
        <v>74.39</v>
      </c>
      <c r="I10" s="2">
        <v>41673</v>
      </c>
      <c r="J10">
        <f t="shared" si="0"/>
        <v>0.34948459291108541</v>
      </c>
      <c r="K10">
        <f t="shared" si="1"/>
        <v>0.11265822784810134</v>
      </c>
      <c r="L10">
        <f t="shared" si="2"/>
        <v>2.8493894165535952E-2</v>
      </c>
      <c r="M10">
        <f t="shared" si="3"/>
        <v>3.0419580419580327E-2</v>
      </c>
      <c r="N10">
        <f t="shared" si="4"/>
        <v>2.7300027300021864E-4</v>
      </c>
      <c r="O10">
        <f t="shared" si="5"/>
        <v>5.7577480807506354E-2</v>
      </c>
      <c r="P10" s="5">
        <v>9</v>
      </c>
      <c r="R10">
        <f t="shared" si="6"/>
        <v>0.11265822784810134</v>
      </c>
      <c r="S10">
        <f t="shared" si="7"/>
        <v>3.0419580419580327E-2</v>
      </c>
      <c r="U10" s="23">
        <f t="shared" si="12"/>
        <v>0.87913235050829663</v>
      </c>
      <c r="V10">
        <v>0.3</v>
      </c>
      <c r="W10">
        <f t="shared" si="8"/>
        <v>0.7</v>
      </c>
      <c r="X10" s="6">
        <f t="shared" si="9"/>
        <v>3.5390977143577633E-2</v>
      </c>
      <c r="Y10" s="22">
        <f t="shared" si="10"/>
        <v>1.6114574533070865E-3</v>
      </c>
      <c r="Z10" s="6">
        <f t="shared" si="11"/>
        <v>4.0142962687214387E-2</v>
      </c>
      <c r="AB10" s="69" t="s">
        <v>30</v>
      </c>
      <c r="AC10" s="73"/>
      <c r="AD10" s="85">
        <f>(AD7-X17)/AD9</f>
        <v>0.89859047942137538</v>
      </c>
    </row>
    <row r="11" spans="1:32" x14ac:dyDescent="0.25">
      <c r="A11" s="2">
        <v>41641</v>
      </c>
      <c r="B11" s="1">
        <v>181.41</v>
      </c>
      <c r="C11" s="1">
        <v>55.3</v>
      </c>
      <c r="D11" s="1">
        <v>14.74</v>
      </c>
      <c r="E11" s="1">
        <v>28.6</v>
      </c>
      <c r="F11" s="1">
        <v>73.260000000000005</v>
      </c>
      <c r="G11" s="1">
        <v>70.34</v>
      </c>
      <c r="I11" s="2">
        <v>41641</v>
      </c>
      <c r="J11">
        <f t="shared" si="0"/>
        <v>0.20594296350462002</v>
      </c>
      <c r="K11">
        <f t="shared" si="1"/>
        <v>-0.10474340294641421</v>
      </c>
      <c r="L11">
        <f t="shared" si="2"/>
        <v>-2.2546419098143228E-2</v>
      </c>
      <c r="M11">
        <f t="shared" si="3"/>
        <v>3.6231884057971016E-2</v>
      </c>
      <c r="N11">
        <f t="shared" si="4"/>
        <v>-5.1036269430051781E-2</v>
      </c>
      <c r="O11">
        <f t="shared" si="5"/>
        <v>-0.10770011416973227</v>
      </c>
      <c r="P11" s="5">
        <v>10</v>
      </c>
      <c r="R11">
        <f t="shared" si="6"/>
        <v>-0.10474340294641421</v>
      </c>
      <c r="S11">
        <f t="shared" si="7"/>
        <v>3.6231884057971016E-2</v>
      </c>
      <c r="U11" s="23">
        <f t="shared" si="12"/>
        <v>0.89859047942137538</v>
      </c>
      <c r="V11">
        <v>0.2</v>
      </c>
      <c r="W11">
        <f t="shared" si="8"/>
        <v>0.8</v>
      </c>
      <c r="X11" s="6">
        <f t="shared" si="9"/>
        <v>3.988696192605147E-2</v>
      </c>
      <c r="Y11" s="22">
        <f t="shared" si="10"/>
        <v>1.9604597523718821E-3</v>
      </c>
      <c r="Z11" s="6">
        <f t="shared" si="11"/>
        <v>4.4277079311669625E-2</v>
      </c>
    </row>
    <row r="12" spans="1:32" x14ac:dyDescent="0.25">
      <c r="A12" s="2">
        <v>41610</v>
      </c>
      <c r="B12" s="1">
        <v>150.43</v>
      </c>
      <c r="C12" s="1">
        <v>61.77</v>
      </c>
      <c r="D12" s="1">
        <v>15.08</v>
      </c>
      <c r="E12" s="1">
        <v>27.6</v>
      </c>
      <c r="F12" s="1">
        <v>77.2</v>
      </c>
      <c r="G12" s="1">
        <v>78.83</v>
      </c>
      <c r="I12" s="2">
        <v>41610</v>
      </c>
      <c r="J12">
        <f t="shared" si="0"/>
        <v>0.18188246385920809</v>
      </c>
      <c r="K12">
        <f t="shared" si="1"/>
        <v>-1.0413329061198311E-2</v>
      </c>
      <c r="L12">
        <f t="shared" si="2"/>
        <v>-9.6464949071300252E-2</v>
      </c>
      <c r="M12">
        <f t="shared" si="3"/>
        <v>2.8699217294073917E-2</v>
      </c>
      <c r="N12">
        <f t="shared" si="4"/>
        <v>-2.2908492595873967E-2</v>
      </c>
      <c r="O12">
        <f t="shared" si="5"/>
        <v>8.8303045815203186E-3</v>
      </c>
      <c r="P12" s="5">
        <v>11</v>
      </c>
      <c r="R12">
        <f t="shared" si="6"/>
        <v>-1.0413329061198311E-2</v>
      </c>
      <c r="S12">
        <f t="shared" si="7"/>
        <v>2.8699217294073917E-2</v>
      </c>
      <c r="U12" s="23">
        <f t="shared" si="12"/>
        <v>0.89336241248293902</v>
      </c>
      <c r="V12">
        <v>0.1</v>
      </c>
      <c r="W12">
        <f t="shared" si="8"/>
        <v>0.9</v>
      </c>
      <c r="X12" s="6">
        <f t="shared" si="9"/>
        <v>4.4382946708525307E-2</v>
      </c>
      <c r="Y12" s="22">
        <f t="shared" si="10"/>
        <v>2.4570708113685925E-3</v>
      </c>
      <c r="Z12" s="6">
        <f t="shared" si="11"/>
        <v>4.9568849203593508E-2</v>
      </c>
    </row>
    <row r="13" spans="1:32" x14ac:dyDescent="0.25">
      <c r="A13" s="2">
        <v>41579</v>
      </c>
      <c r="B13" s="1">
        <v>127.28</v>
      </c>
      <c r="C13" s="1">
        <v>62.42</v>
      </c>
      <c r="D13" s="1">
        <v>16.690000000000001</v>
      </c>
      <c r="E13" s="1">
        <v>26.83</v>
      </c>
      <c r="F13" s="1">
        <v>79.010000000000005</v>
      </c>
      <c r="G13" s="1">
        <v>78.14</v>
      </c>
      <c r="I13" s="2">
        <v>41579</v>
      </c>
      <c r="J13">
        <f t="shared" si="0"/>
        <v>-0.20420157559084656</v>
      </c>
      <c r="K13">
        <f t="shared" si="1"/>
        <v>-6.8416865552903688E-3</v>
      </c>
      <c r="L13">
        <f t="shared" si="2"/>
        <v>-1.7942583732055972E-3</v>
      </c>
      <c r="M13">
        <f t="shared" si="3"/>
        <v>0.12212463404433284</v>
      </c>
      <c r="N13">
        <f t="shared" si="4"/>
        <v>5.5436815388725698E-2</v>
      </c>
      <c r="O13">
        <f t="shared" si="5"/>
        <v>7.0117775951794095E-2</v>
      </c>
      <c r="P13" s="5">
        <v>12</v>
      </c>
      <c r="R13">
        <f t="shared" si="6"/>
        <v>-6.8416865552903688E-3</v>
      </c>
      <c r="S13">
        <f t="shared" si="7"/>
        <v>0.12212463404433284</v>
      </c>
      <c r="U13" s="23">
        <f t="shared" si="12"/>
        <v>0.875913155779521</v>
      </c>
      <c r="V13">
        <v>0</v>
      </c>
      <c r="W13">
        <f t="shared" si="8"/>
        <v>1</v>
      </c>
      <c r="X13" s="6">
        <f t="shared" si="9"/>
        <v>4.8878931490999152E-2</v>
      </c>
      <c r="Y13" s="22">
        <f t="shared" si="10"/>
        <v>3.1012906302972185E-3</v>
      </c>
      <c r="Z13" s="6">
        <f t="shared" si="11"/>
        <v>5.5689232624424073E-2</v>
      </c>
      <c r="AB13" s="69" t="s">
        <v>39</v>
      </c>
      <c r="AD13" s="98">
        <f>X16-X17</f>
        <v>3.9786961926051467E-2</v>
      </c>
    </row>
    <row r="14" spans="1:32" x14ac:dyDescent="0.25">
      <c r="A14" s="2">
        <v>41548</v>
      </c>
      <c r="B14" s="1">
        <v>159.94</v>
      </c>
      <c r="C14" s="1">
        <v>62.85</v>
      </c>
      <c r="D14" s="1">
        <v>16.72</v>
      </c>
      <c r="E14" s="1">
        <v>23.91</v>
      </c>
      <c r="F14" s="1">
        <v>74.86</v>
      </c>
      <c r="G14" s="1">
        <v>73.02</v>
      </c>
      <c r="I14" s="2">
        <v>41548</v>
      </c>
      <c r="J14">
        <f t="shared" si="0"/>
        <v>-0.17288100532657602</v>
      </c>
      <c r="K14">
        <f t="shared" si="1"/>
        <v>1.2566457225712924E-2</v>
      </c>
      <c r="L14">
        <f t="shared" si="2"/>
        <v>2.0134228187919358E-2</v>
      </c>
      <c r="M14">
        <f t="shared" si="3"/>
        <v>0.16124332200097136</v>
      </c>
      <c r="N14">
        <f t="shared" si="4"/>
        <v>3.7704463543110599E-2</v>
      </c>
      <c r="O14">
        <f t="shared" si="5"/>
        <v>9.6396396396396425E-2</v>
      </c>
      <c r="P14" s="5">
        <v>13</v>
      </c>
      <c r="R14">
        <f t="shared" si="6"/>
        <v>1.2566457225712924E-2</v>
      </c>
      <c r="S14">
        <f t="shared" si="7"/>
        <v>0.16124332200097136</v>
      </c>
      <c r="AB14" s="69" t="s">
        <v>38</v>
      </c>
      <c r="AD14" s="99">
        <f>X16/(Z16^2)</f>
        <v>20.34571833356631</v>
      </c>
    </row>
    <row r="15" spans="1:32" x14ac:dyDescent="0.25">
      <c r="A15" s="2">
        <v>41542</v>
      </c>
      <c r="B15" s="1">
        <v>193.37</v>
      </c>
      <c r="C15" s="1">
        <v>62.07</v>
      </c>
      <c r="D15" s="1">
        <v>16.39</v>
      </c>
      <c r="E15" s="1">
        <v>20.59</v>
      </c>
      <c r="F15" s="1">
        <v>72.14</v>
      </c>
      <c r="G15" s="1">
        <v>66.599999999999994</v>
      </c>
      <c r="I15" s="2"/>
      <c r="AB15" s="69" t="s">
        <v>40</v>
      </c>
      <c r="AC15" s="74"/>
      <c r="AD15" s="77">
        <f>X16-((AD10)^2/2)</f>
        <v>-0.36384546292731718</v>
      </c>
      <c r="AE15" s="74"/>
      <c r="AF15" s="74"/>
    </row>
    <row r="16" spans="1:32" ht="15.75" thickBot="1" x14ac:dyDescent="0.3">
      <c r="T16" s="29" t="s">
        <v>22</v>
      </c>
      <c r="U16" s="24">
        <f>MAX(U3:U13)</f>
        <v>0.89859047942137538</v>
      </c>
      <c r="V16" s="25">
        <f>VLOOKUP($U$16,Opportunity_Set,2,FALSE)</f>
        <v>0.2</v>
      </c>
      <c r="W16" s="25">
        <f>VLOOKUP($U$16,Opportunity_Set,3,FALSE)</f>
        <v>0.8</v>
      </c>
      <c r="X16" s="26">
        <f>VLOOKUP($U$16,Opportunity_Set,4,FALSE)</f>
        <v>3.988696192605147E-2</v>
      </c>
      <c r="Y16" s="25">
        <f>VLOOKUP($U$16,Opportunity_Set,5,FALSE)</f>
        <v>1.9604597523718821E-3</v>
      </c>
      <c r="Z16" s="26">
        <f>VLOOKUP($U$16,Opportunity_Set,6,FALSE)</f>
        <v>4.4277079311669625E-2</v>
      </c>
      <c r="AB16" s="75"/>
      <c r="AC16" s="75"/>
      <c r="AD16" s="75"/>
      <c r="AE16" s="75"/>
      <c r="AF16" s="74"/>
    </row>
    <row r="17" spans="17:32" x14ac:dyDescent="0.25">
      <c r="Q17" s="19" t="s">
        <v>10</v>
      </c>
      <c r="R17" s="18">
        <f>AVERAGE(R3:R14)</f>
        <v>3.9190836662607448E-3</v>
      </c>
      <c r="S17" s="15">
        <f>AVERAGE(S3:S14)</f>
        <v>4.8878931490999152E-2</v>
      </c>
      <c r="T17" s="30" t="s">
        <v>23</v>
      </c>
      <c r="U17" s="28"/>
      <c r="V17" s="28"/>
      <c r="W17" s="28"/>
      <c r="X17" s="31">
        <f>R25</f>
        <v>1E-4</v>
      </c>
      <c r="Y17" s="28"/>
      <c r="Z17" s="33">
        <v>0</v>
      </c>
      <c r="AB17" s="76"/>
      <c r="AC17" s="77"/>
      <c r="AD17" s="77"/>
      <c r="AE17" s="78"/>
      <c r="AF17" s="74"/>
    </row>
    <row r="18" spans="17:32" x14ac:dyDescent="0.25">
      <c r="Q18" s="20" t="s">
        <v>11</v>
      </c>
      <c r="R18" s="12">
        <f>_xlfn.VAR.S(R3:R14)</f>
        <v>3.3014866379471636E-3</v>
      </c>
      <c r="S18" s="16">
        <f>_xlfn.VAR.S(S3:S14)</f>
        <v>3.1012906302972185E-3</v>
      </c>
      <c r="AB18" s="74"/>
      <c r="AC18" s="74"/>
      <c r="AD18" s="74"/>
      <c r="AE18" s="74"/>
      <c r="AF18" s="74"/>
    </row>
    <row r="19" spans="17:32" ht="15.75" thickBot="1" x14ac:dyDescent="0.3">
      <c r="Q19" s="20" t="s">
        <v>12</v>
      </c>
      <c r="R19" s="7">
        <f>_xlfn.STDEV.S(R3:R14)</f>
        <v>5.74585645308614E-2</v>
      </c>
      <c r="S19" s="17">
        <f>_xlfn.STDEV.S(S3:S14)</f>
        <v>5.5689232624424073E-2</v>
      </c>
      <c r="AB19" s="74"/>
      <c r="AC19" s="74"/>
      <c r="AD19" s="74"/>
      <c r="AE19" s="74"/>
      <c r="AF19" s="74"/>
    </row>
    <row r="20" spans="17:32" x14ac:dyDescent="0.25">
      <c r="Q20" s="20" t="s">
        <v>14</v>
      </c>
      <c r="R20" s="12">
        <f>_xlfn.COVARIANCE.S(R3:R14,S3:S14)</f>
        <v>-4.8883036417570293E-4</v>
      </c>
      <c r="AB20" s="74"/>
      <c r="AC20" s="74"/>
      <c r="AD20" s="74"/>
      <c r="AE20" s="74"/>
      <c r="AF20" s="74"/>
    </row>
    <row r="21" spans="17:32" ht="15.75" thickBot="1" x14ac:dyDescent="0.3">
      <c r="Q21" s="21" t="s">
        <v>13</v>
      </c>
      <c r="R21" s="13">
        <f>CORREL(R3:R14,S3:S14)</f>
        <v>-0.15276792128745093</v>
      </c>
      <c r="AB21" s="74"/>
      <c r="AC21" s="74"/>
      <c r="AD21" s="74"/>
      <c r="AE21" s="74"/>
      <c r="AF21" s="74"/>
    </row>
    <row r="22" spans="17:32" ht="15.75" thickBot="1" x14ac:dyDescent="0.3"/>
    <row r="23" spans="17:32" ht="15.75" thickBot="1" x14ac:dyDescent="0.3">
      <c r="Q23" s="95" t="s">
        <v>20</v>
      </c>
      <c r="R23" s="96"/>
      <c r="S23" s="97"/>
    </row>
    <row r="24" spans="17:32" ht="15.75" thickBot="1" x14ac:dyDescent="0.3"/>
    <row r="25" spans="17:32" ht="15.75" thickBot="1" x14ac:dyDescent="0.3">
      <c r="Q25" s="32" t="s">
        <v>21</v>
      </c>
      <c r="R25" s="27">
        <v>1E-4</v>
      </c>
    </row>
  </sheetData>
  <mergeCells count="1">
    <mergeCell ref="Q23:S23"/>
  </mergeCells>
  <dataValidations disablePrompts="1" count="1">
    <dataValidation type="list" allowBlank="1" showInputMessage="1" showErrorMessage="1" sqref="R2:S2">
      <formula1>Companies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96"/>
  <sheetViews>
    <sheetView topLeftCell="P7" workbookViewId="0">
      <selection activeCell="AH33" sqref="AH33"/>
    </sheetView>
  </sheetViews>
  <sheetFormatPr defaultRowHeight="15" x14ac:dyDescent="0.25"/>
  <cols>
    <col min="1" max="1" width="10.42578125" bestFit="1" customWidth="1"/>
    <col min="9" max="9" width="9.7109375" bestFit="1" customWidth="1"/>
    <col min="11" max="11" width="9.42578125" customWidth="1"/>
    <col min="17" max="17" width="11" bestFit="1" customWidth="1"/>
    <col min="22" max="22" width="21.85546875" bestFit="1" customWidth="1"/>
    <col min="23" max="23" width="12.140625" bestFit="1" customWidth="1"/>
    <col min="27" max="27" width="9.5703125" bestFit="1" customWidth="1"/>
    <col min="31" max="31" width="28" bestFit="1" customWidth="1"/>
    <col min="34" max="34" width="16.5703125" bestFit="1" customWidth="1"/>
  </cols>
  <sheetData>
    <row r="1" spans="1:34" ht="15.75" thickBot="1" x14ac:dyDescent="0.3">
      <c r="A1" s="3"/>
      <c r="B1" s="3" t="s">
        <v>7</v>
      </c>
      <c r="C1" s="3"/>
      <c r="D1" s="3"/>
      <c r="E1" s="3"/>
      <c r="F1" s="3"/>
      <c r="G1" s="3"/>
      <c r="I1" s="3"/>
      <c r="J1" s="3" t="s">
        <v>8</v>
      </c>
      <c r="K1" s="3"/>
      <c r="L1" s="3"/>
      <c r="M1" s="3"/>
      <c r="N1" s="3"/>
      <c r="O1" s="3"/>
      <c r="P1" s="89" t="s">
        <v>31</v>
      </c>
      <c r="W1" s="11" t="s">
        <v>15</v>
      </c>
      <c r="X1" s="11" t="s">
        <v>15</v>
      </c>
      <c r="Y1" s="11" t="s">
        <v>15</v>
      </c>
      <c r="Z1" s="11" t="s">
        <v>15</v>
      </c>
    </row>
    <row r="2" spans="1:34" ht="15.75" thickBot="1" x14ac:dyDescent="0.3">
      <c r="A2" s="92" t="s">
        <v>0</v>
      </c>
      <c r="B2" s="92" t="s">
        <v>6</v>
      </c>
      <c r="C2" s="92" t="s">
        <v>33</v>
      </c>
      <c r="D2" s="92" t="s">
        <v>34</v>
      </c>
      <c r="E2" s="92" t="s">
        <v>35</v>
      </c>
      <c r="F2" s="92" t="s">
        <v>36</v>
      </c>
      <c r="G2" s="92" t="s">
        <v>37</v>
      </c>
      <c r="I2" s="4" t="s">
        <v>0</v>
      </c>
      <c r="J2" s="4" t="str">
        <f>B2</f>
        <v>AAPL</v>
      </c>
      <c r="K2" s="4" t="str">
        <f t="shared" ref="K2:O2" si="0">C2</f>
        <v>DIS</v>
      </c>
      <c r="L2" s="4" t="str">
        <f t="shared" si="0"/>
        <v>HD</v>
      </c>
      <c r="M2" s="4" t="str">
        <f t="shared" si="0"/>
        <v>KGC</v>
      </c>
      <c r="N2" s="4" t="str">
        <f t="shared" si="0"/>
        <v>AUY</v>
      </c>
      <c r="O2" s="4" t="str">
        <f t="shared" si="0"/>
        <v>RAD</v>
      </c>
      <c r="P2" s="90">
        <v>1</v>
      </c>
      <c r="R2" s="4" t="s">
        <v>6</v>
      </c>
      <c r="S2" s="4" t="s">
        <v>35</v>
      </c>
      <c r="T2" s="4" t="s">
        <v>34</v>
      </c>
      <c r="W2" s="34" t="s">
        <v>19</v>
      </c>
      <c r="X2" s="8" t="str">
        <f>R2</f>
        <v>AAPL</v>
      </c>
      <c r="Y2" s="9" t="str">
        <f>S2</f>
        <v>KGC</v>
      </c>
      <c r="Z2" s="9" t="str">
        <f>T2</f>
        <v>HD</v>
      </c>
      <c r="AA2" s="9" t="s">
        <v>16</v>
      </c>
      <c r="AB2" s="9" t="s">
        <v>17</v>
      </c>
      <c r="AC2" s="10" t="s">
        <v>18</v>
      </c>
      <c r="AE2" s="62" t="s">
        <v>24</v>
      </c>
      <c r="AG2" s="63">
        <v>30</v>
      </c>
    </row>
    <row r="3" spans="1:34" ht="15.75" thickBot="1" x14ac:dyDescent="0.3">
      <c r="A3" s="93">
        <v>42339</v>
      </c>
      <c r="B3">
        <v>108.029999</v>
      </c>
      <c r="C3">
        <v>105.860001</v>
      </c>
      <c r="D3">
        <v>132.89999399999999</v>
      </c>
      <c r="E3">
        <v>1.95</v>
      </c>
      <c r="F3">
        <v>1.99</v>
      </c>
      <c r="G3">
        <v>7.86</v>
      </c>
      <c r="I3" s="2">
        <v>42339</v>
      </c>
      <c r="J3">
        <f>(B3-B4)/B4</f>
        <v>-8.6813218424009672E-2</v>
      </c>
      <c r="K3">
        <f t="shared" ref="K3:O13" si="1">(C3-C4)/C4</f>
        <v>-6.1085829836699961E-2</v>
      </c>
      <c r="L3">
        <f t="shared" si="1"/>
        <v>-2.9260632730545117E-3</v>
      </c>
      <c r="M3">
        <f t="shared" si="1"/>
        <v>1.5625000000000014E-2</v>
      </c>
      <c r="N3">
        <f t="shared" si="1"/>
        <v>-5.2380952380952424E-2</v>
      </c>
      <c r="O3">
        <f t="shared" si="1"/>
        <v>-2.5380710659897937E-3</v>
      </c>
      <c r="P3" s="90">
        <v>2</v>
      </c>
      <c r="R3">
        <f t="shared" ref="R3:R13" si="2">HLOOKUP($R$2,Returns3,P3,FALSE)</f>
        <v>-8.6813218424009672E-2</v>
      </c>
      <c r="S3">
        <f t="shared" ref="S3:S13" si="3">HLOOKUP($S$2,Returns3,P3,FALSE)</f>
        <v>1.5625000000000014E-2</v>
      </c>
      <c r="T3">
        <f t="shared" ref="T3:T13" si="4">HLOOKUP($T$2,Returns3,P3,FALSE)</f>
        <v>-2.9260632730545117E-3</v>
      </c>
      <c r="W3" s="23">
        <f t="shared" ref="W3:W13" si="5">(AA3-$R$48)/AC3</f>
        <v>0.43297290377444841</v>
      </c>
      <c r="X3" s="87">
        <v>0</v>
      </c>
      <c r="Y3" s="87">
        <v>0.1</v>
      </c>
      <c r="Z3" s="87">
        <f t="shared" ref="Z3:Z60" si="6">1-Y3-X3</f>
        <v>0.9</v>
      </c>
      <c r="AA3" s="6">
        <f t="shared" ref="AA3:AA13" si="7">X3*$R$42+Y3*$S$42+Z3*$T$42</f>
        <v>1.8510078293126168E-2</v>
      </c>
      <c r="AB3" s="22">
        <f t="shared" ref="AB3:AB13" si="8">X3^2*$R$43+Y3^2*$S$43+Z3^2*$T$43+2*X3*Y3*$R$45+2*X3*Z3*$T$45+2*Y3*Z3*$S$45</f>
        <v>1.8079642320954984E-3</v>
      </c>
      <c r="AC3" s="6">
        <f>SQRT(AB3)</f>
        <v>4.2520162653681116E-2</v>
      </c>
      <c r="AE3" s="64"/>
      <c r="AF3" s="65"/>
      <c r="AG3" s="66"/>
    </row>
    <row r="4" spans="1:34" x14ac:dyDescent="0.25">
      <c r="A4" s="93">
        <v>42310</v>
      </c>
      <c r="B4">
        <v>118.300003</v>
      </c>
      <c r="C4">
        <v>112.74726099999999</v>
      </c>
      <c r="D4">
        <v>133.290009</v>
      </c>
      <c r="E4">
        <v>1.92</v>
      </c>
      <c r="F4">
        <v>2.1</v>
      </c>
      <c r="G4">
        <v>7.88</v>
      </c>
      <c r="I4" s="2">
        <v>42310</v>
      </c>
      <c r="J4">
        <f t="shared" ref="J4:J14" si="9">(B4-B5)/B5</f>
        <v>-5.8043126106819762E-3</v>
      </c>
      <c r="K4">
        <f t="shared" si="1"/>
        <v>-2.3738328164973725E-3</v>
      </c>
      <c r="L4">
        <f t="shared" si="1"/>
        <v>8.2821201616574178E-2</v>
      </c>
      <c r="M4">
        <f t="shared" si="1"/>
        <v>-4.477611940298501E-2</v>
      </c>
      <c r="N4">
        <f t="shared" si="1"/>
        <v>-4.1095890410958839E-2</v>
      </c>
      <c r="O4">
        <f t="shared" si="1"/>
        <v>0</v>
      </c>
      <c r="P4" s="90">
        <v>3</v>
      </c>
      <c r="R4">
        <f t="shared" si="2"/>
        <v>-5.8043126106819762E-3</v>
      </c>
      <c r="S4">
        <f t="shared" si="3"/>
        <v>-4.477611940298501E-2</v>
      </c>
      <c r="T4">
        <f t="shared" si="4"/>
        <v>8.2821201616574178E-2</v>
      </c>
      <c r="W4" s="23">
        <f t="shared" si="5"/>
        <v>0.28639116929479341</v>
      </c>
      <c r="X4" s="87">
        <v>0</v>
      </c>
      <c r="Y4" s="87">
        <v>0.2</v>
      </c>
      <c r="Z4" s="87">
        <f t="shared" si="6"/>
        <v>0.8</v>
      </c>
      <c r="AA4" s="6">
        <f t="shared" si="7"/>
        <v>1.2790673318897706E-2</v>
      </c>
      <c r="AB4" s="22">
        <f t="shared" si="8"/>
        <v>1.963586710716181E-3</v>
      </c>
      <c r="AC4" s="6">
        <f t="shared" ref="AC4:AC13" si="10">SQRT(AB4)</f>
        <v>4.4312376495920201E-2</v>
      </c>
      <c r="AE4" s="67" t="s">
        <v>25</v>
      </c>
      <c r="AG4" s="79">
        <f>(AA74-AA75)/(AG2*AB74)</f>
        <v>0.4081127817856337</v>
      </c>
    </row>
    <row r="5" spans="1:34" ht="15.75" thickBot="1" x14ac:dyDescent="0.3">
      <c r="A5" s="93">
        <v>42278</v>
      </c>
      <c r="B5">
        <v>118.990662</v>
      </c>
      <c r="C5">
        <v>113.015541</v>
      </c>
      <c r="D5">
        <v>123.095123</v>
      </c>
      <c r="E5">
        <v>2.0099999999999998</v>
      </c>
      <c r="F5">
        <v>2.19</v>
      </c>
      <c r="G5">
        <v>7.88</v>
      </c>
      <c r="I5" s="2">
        <v>42278</v>
      </c>
      <c r="J5">
        <f t="shared" si="9"/>
        <v>8.3408910828922808E-2</v>
      </c>
      <c r="K5">
        <f t="shared" si="1"/>
        <v>0.11291587566133808</v>
      </c>
      <c r="L5">
        <f t="shared" si="1"/>
        <v>7.0568868827687828E-2</v>
      </c>
      <c r="M5">
        <f t="shared" si="1"/>
        <v>0.16860465116279058</v>
      </c>
      <c r="N5">
        <f t="shared" si="1"/>
        <v>0.28823529411764703</v>
      </c>
      <c r="O5">
        <f t="shared" si="1"/>
        <v>0.29818780889621077</v>
      </c>
      <c r="P5" s="90">
        <v>4</v>
      </c>
      <c r="R5">
        <f t="shared" si="2"/>
        <v>8.3408910828922808E-2</v>
      </c>
      <c r="S5">
        <f t="shared" si="3"/>
        <v>0.16860465116279058</v>
      </c>
      <c r="T5">
        <f t="shared" si="4"/>
        <v>7.0568868827687828E-2</v>
      </c>
      <c r="W5" s="23">
        <f t="shared" si="5"/>
        <v>-6.1692430150796278E-2</v>
      </c>
      <c r="X5" s="87">
        <v>0</v>
      </c>
      <c r="Y5" s="87">
        <v>0.5</v>
      </c>
      <c r="Z5" s="87">
        <f t="shared" si="6"/>
        <v>0.5</v>
      </c>
      <c r="AA5" s="6">
        <f t="shared" si="7"/>
        <v>-4.3675416037876804E-3</v>
      </c>
      <c r="AB5" s="22">
        <f t="shared" si="8"/>
        <v>5.2441300706516933E-3</v>
      </c>
      <c r="AC5" s="6">
        <f t="shared" si="10"/>
        <v>7.2416366041466715E-2</v>
      </c>
      <c r="AE5" s="67" t="s">
        <v>26</v>
      </c>
      <c r="AF5" s="68"/>
      <c r="AG5" s="80">
        <f>1-AG4</f>
        <v>0.5918872182143663</v>
      </c>
    </row>
    <row r="6" spans="1:34" ht="15.75" thickBot="1" x14ac:dyDescent="0.3">
      <c r="A6" s="93">
        <v>42248</v>
      </c>
      <c r="B6">
        <v>109.82987199999999</v>
      </c>
      <c r="C6">
        <v>101.549042</v>
      </c>
      <c r="D6">
        <v>114.981041</v>
      </c>
      <c r="E6">
        <v>1.72</v>
      </c>
      <c r="F6">
        <v>1.7</v>
      </c>
      <c r="G6">
        <v>6.07</v>
      </c>
      <c r="I6" s="2">
        <v>42248</v>
      </c>
      <c r="J6">
        <f t="shared" si="9"/>
        <v>-2.1816257138843709E-2</v>
      </c>
      <c r="K6">
        <f t="shared" si="1"/>
        <v>3.1409622730585139E-3</v>
      </c>
      <c r="L6">
        <f t="shared" si="1"/>
        <v>-3.2795429607376508E-3</v>
      </c>
      <c r="M6">
        <f t="shared" si="1"/>
        <v>-3.9106145251396683E-2</v>
      </c>
      <c r="N6">
        <f t="shared" si="1"/>
        <v>-8.7971579048453943E-2</v>
      </c>
      <c r="O6">
        <f t="shared" si="1"/>
        <v>-0.26424242424242422</v>
      </c>
      <c r="P6" s="90">
        <v>5</v>
      </c>
      <c r="R6">
        <f t="shared" si="2"/>
        <v>-2.1816257138843709E-2</v>
      </c>
      <c r="S6">
        <f t="shared" si="3"/>
        <v>-3.9106145251396683E-2</v>
      </c>
      <c r="T6">
        <f t="shared" si="4"/>
        <v>-3.2795429607376508E-3</v>
      </c>
      <c r="W6" s="23">
        <f t="shared" si="5"/>
        <v>-0.16087644017775596</v>
      </c>
      <c r="X6" s="87">
        <v>0</v>
      </c>
      <c r="Y6" s="87">
        <v>0.7</v>
      </c>
      <c r="Z6" s="87">
        <f t="shared" si="6"/>
        <v>0.30000000000000004</v>
      </c>
      <c r="AA6" s="6">
        <f t="shared" si="7"/>
        <v>-1.58063515522446E-2</v>
      </c>
      <c r="AB6" s="22">
        <f t="shared" si="8"/>
        <v>9.775888914003255E-3</v>
      </c>
      <c r="AC6" s="6">
        <f t="shared" si="10"/>
        <v>9.8873094995571245E-2</v>
      </c>
      <c r="AE6" s="65"/>
      <c r="AF6" s="65"/>
      <c r="AG6" s="66"/>
    </row>
    <row r="7" spans="1:34" x14ac:dyDescent="0.25">
      <c r="A7" s="93">
        <v>42219</v>
      </c>
      <c r="B7">
        <v>112.279388</v>
      </c>
      <c r="C7">
        <v>101.23107899999999</v>
      </c>
      <c r="D7">
        <v>115.35936700000001</v>
      </c>
      <c r="E7">
        <v>1.79</v>
      </c>
      <c r="F7">
        <v>1.863977</v>
      </c>
      <c r="G7">
        <v>8.25</v>
      </c>
      <c r="I7" s="2">
        <v>42219</v>
      </c>
      <c r="J7">
        <f t="shared" si="9"/>
        <v>-6.6196166025737607E-2</v>
      </c>
      <c r="K7">
        <f t="shared" si="1"/>
        <v>-0.15100005474871647</v>
      </c>
      <c r="L7">
        <f t="shared" si="1"/>
        <v>-4.8705539192964026E-3</v>
      </c>
      <c r="M7">
        <f t="shared" si="1"/>
        <v>-1.6483516483516498E-2</v>
      </c>
      <c r="N7">
        <f t="shared" si="1"/>
        <v>-4.0816242515932993E-2</v>
      </c>
      <c r="O7">
        <f t="shared" si="1"/>
        <v>-7.4074074074074084E-2</v>
      </c>
      <c r="P7" s="90">
        <v>6</v>
      </c>
      <c r="R7">
        <f t="shared" si="2"/>
        <v>-6.6196166025737607E-2</v>
      </c>
      <c r="S7">
        <f t="shared" si="3"/>
        <v>-1.6483516483516498E-2</v>
      </c>
      <c r="T7">
        <f t="shared" si="4"/>
        <v>-4.8705539192964026E-3</v>
      </c>
      <c r="W7" s="23">
        <f t="shared" si="5"/>
        <v>-0.21495382764937765</v>
      </c>
      <c r="X7" s="87">
        <v>0</v>
      </c>
      <c r="Y7" s="87">
        <v>0.9</v>
      </c>
      <c r="Z7" s="87">
        <f t="shared" si="6"/>
        <v>9.9999999999999978E-2</v>
      </c>
      <c r="AA7" s="6">
        <f t="shared" si="7"/>
        <v>-2.7245161500701529E-2</v>
      </c>
      <c r="AB7" s="22">
        <f t="shared" si="8"/>
        <v>1.6183431706737129E-2</v>
      </c>
      <c r="AC7" s="6">
        <f t="shared" si="10"/>
        <v>0.12721411756065884</v>
      </c>
      <c r="AE7" s="69" t="s">
        <v>27</v>
      </c>
      <c r="AF7" s="70"/>
      <c r="AG7" s="82">
        <f>AG4*AA74+AG5*AA75</f>
        <v>9.5278547709925759E-3</v>
      </c>
    </row>
    <row r="8" spans="1:34" x14ac:dyDescent="0.25">
      <c r="A8" s="93">
        <v>42186</v>
      </c>
      <c r="B8">
        <v>120.238731</v>
      </c>
      <c r="C8">
        <v>119.23567199999999</v>
      </c>
      <c r="D8">
        <v>115.923981</v>
      </c>
      <c r="E8">
        <v>1.82</v>
      </c>
      <c r="F8">
        <v>1.943295</v>
      </c>
      <c r="G8">
        <v>8.91</v>
      </c>
      <c r="I8" s="2">
        <v>42186</v>
      </c>
      <c r="J8">
        <f t="shared" si="9"/>
        <v>-3.2926723415314149E-2</v>
      </c>
      <c r="K8">
        <f t="shared" si="1"/>
        <v>5.7455043980250475E-2</v>
      </c>
      <c r="L8">
        <f t="shared" si="1"/>
        <v>5.3091025337224859E-2</v>
      </c>
      <c r="M8">
        <f t="shared" si="1"/>
        <v>-0.21551724137931028</v>
      </c>
      <c r="N8">
        <f t="shared" si="1"/>
        <v>-0.34666685942055497</v>
      </c>
      <c r="O8">
        <f t="shared" si="1"/>
        <v>6.7065868263473119E-2</v>
      </c>
      <c r="P8" s="90">
        <v>7</v>
      </c>
      <c r="R8">
        <f t="shared" si="2"/>
        <v>-3.2926723415314149E-2</v>
      </c>
      <c r="S8">
        <f t="shared" si="3"/>
        <v>-0.21551724137931028</v>
      </c>
      <c r="T8">
        <f t="shared" si="4"/>
        <v>5.3091025337224859E-2</v>
      </c>
      <c r="W8" s="23">
        <f t="shared" si="5"/>
        <v>0.13703031136900884</v>
      </c>
      <c r="X8" s="87">
        <v>0</v>
      </c>
      <c r="Y8" s="88">
        <v>0.3</v>
      </c>
      <c r="Z8" s="88">
        <f t="shared" si="6"/>
        <v>0.7</v>
      </c>
      <c r="AA8" s="6">
        <f t="shared" si="7"/>
        <v>7.0712683446692414E-3</v>
      </c>
      <c r="AB8" s="22">
        <f t="shared" si="8"/>
        <v>2.5881551766824403E-3</v>
      </c>
      <c r="AC8" s="6">
        <f t="shared" si="10"/>
        <v>5.0873914501269116E-2</v>
      </c>
      <c r="AE8" s="69" t="s">
        <v>28</v>
      </c>
      <c r="AF8" s="71"/>
      <c r="AG8" s="83">
        <f>AG4^2*AB75</f>
        <v>0</v>
      </c>
    </row>
    <row r="9" spans="1:34" ht="15.75" thickBot="1" x14ac:dyDescent="0.3">
      <c r="A9" s="93">
        <v>42156</v>
      </c>
      <c r="B9">
        <v>124.332596</v>
      </c>
      <c r="C9">
        <v>112.75720200000001</v>
      </c>
      <c r="D9">
        <v>110.079735</v>
      </c>
      <c r="E9">
        <v>2.3199999999999998</v>
      </c>
      <c r="F9">
        <v>2.9744320000000002</v>
      </c>
      <c r="G9">
        <v>8.35</v>
      </c>
      <c r="I9" s="2">
        <v>42156</v>
      </c>
      <c r="J9">
        <f t="shared" si="9"/>
        <v>-3.7227542070624675E-2</v>
      </c>
      <c r="K9">
        <f t="shared" si="1"/>
        <v>3.4157835423490414E-2</v>
      </c>
      <c r="L9">
        <f t="shared" si="1"/>
        <v>2.6948673576690785E-3</v>
      </c>
      <c r="M9">
        <f t="shared" si="1"/>
        <v>-1.2765957446808616E-2</v>
      </c>
      <c r="N9">
        <f t="shared" si="1"/>
        <v>-0.16025577141495548</v>
      </c>
      <c r="O9">
        <f t="shared" si="1"/>
        <v>-4.2431192660550572E-2</v>
      </c>
      <c r="P9" s="90">
        <v>8</v>
      </c>
      <c r="R9">
        <f t="shared" si="2"/>
        <v>-3.7227542070624675E-2</v>
      </c>
      <c r="S9">
        <f t="shared" si="3"/>
        <v>-1.2765957446808616E-2</v>
      </c>
      <c r="T9">
        <f t="shared" si="4"/>
        <v>2.6948673576690785E-3</v>
      </c>
      <c r="W9" s="23">
        <f t="shared" si="5"/>
        <v>2.0631676741355468E-2</v>
      </c>
      <c r="X9" s="87">
        <v>0</v>
      </c>
      <c r="Y9" s="88">
        <v>0.4</v>
      </c>
      <c r="Z9" s="88">
        <f t="shared" si="6"/>
        <v>0.6</v>
      </c>
      <c r="AA9" s="6">
        <f t="shared" si="7"/>
        <v>1.3518633704407805E-3</v>
      </c>
      <c r="AB9" s="22">
        <f t="shared" si="8"/>
        <v>3.6816696299942792E-3</v>
      </c>
      <c r="AC9" s="6">
        <f t="shared" si="10"/>
        <v>6.067676350955347E-2</v>
      </c>
      <c r="AE9" s="69" t="s">
        <v>29</v>
      </c>
      <c r="AF9" s="72"/>
      <c r="AG9" s="84">
        <f>AG4*AC74</f>
        <v>1.7727431446764995E-2</v>
      </c>
    </row>
    <row r="10" spans="1:34" ht="15.75" thickBot="1" x14ac:dyDescent="0.3">
      <c r="A10" s="93">
        <v>42125</v>
      </c>
      <c r="B10">
        <v>129.14016699999999</v>
      </c>
      <c r="C10">
        <v>109.032875</v>
      </c>
      <c r="D10">
        <v>109.78388200000001</v>
      </c>
      <c r="E10">
        <v>2.35</v>
      </c>
      <c r="F10">
        <v>3.5420690000000001</v>
      </c>
      <c r="G10">
        <v>8.7200000000000006</v>
      </c>
      <c r="I10" s="2">
        <v>42125</v>
      </c>
      <c r="J10">
        <f t="shared" si="9"/>
        <v>4.533911743850115E-2</v>
      </c>
      <c r="K10">
        <f t="shared" si="1"/>
        <v>1.5176615915722915E-2</v>
      </c>
      <c r="L10">
        <f t="shared" si="1"/>
        <v>4.1503005888828187E-2</v>
      </c>
      <c r="M10">
        <f t="shared" si="1"/>
        <v>-3.2921810699588501E-2</v>
      </c>
      <c r="N10">
        <f t="shared" si="1"/>
        <v>-6.0209371297092681E-2</v>
      </c>
      <c r="O10">
        <f t="shared" si="1"/>
        <v>0.13099870298313887</v>
      </c>
      <c r="P10" s="90">
        <v>9</v>
      </c>
      <c r="R10">
        <f t="shared" si="2"/>
        <v>4.533911743850115E-2</v>
      </c>
      <c r="S10">
        <f t="shared" si="3"/>
        <v>-3.2921810699588501E-2</v>
      </c>
      <c r="T10">
        <f t="shared" si="4"/>
        <v>4.1503005888828187E-2</v>
      </c>
      <c r="W10" s="23">
        <f t="shared" si="5"/>
        <v>-0.11942947323637208</v>
      </c>
      <c r="X10" s="87">
        <v>0</v>
      </c>
      <c r="Y10" s="88">
        <v>0.6</v>
      </c>
      <c r="Z10" s="88">
        <f t="shared" si="6"/>
        <v>0.4</v>
      </c>
      <c r="AA10" s="6">
        <f t="shared" si="7"/>
        <v>-1.0086946578016143E-2</v>
      </c>
      <c r="AB10" s="22">
        <f t="shared" si="8"/>
        <v>7.2755364986546852E-3</v>
      </c>
      <c r="AC10" s="6">
        <f t="shared" si="10"/>
        <v>8.5296755498991197E-2</v>
      </c>
      <c r="AE10" s="69" t="s">
        <v>30</v>
      </c>
      <c r="AF10" s="73"/>
      <c r="AG10" s="81">
        <f>(AG7-AA75)/AG9</f>
        <v>0.53182294340295</v>
      </c>
    </row>
    <row r="11" spans="1:34" x14ac:dyDescent="0.25">
      <c r="A11" s="93">
        <v>42095</v>
      </c>
      <c r="B11">
        <v>123.539017</v>
      </c>
      <c r="C11">
        <v>107.402863</v>
      </c>
      <c r="D11">
        <v>105.409088</v>
      </c>
      <c r="E11">
        <v>2.4300000000000002</v>
      </c>
      <c r="F11">
        <v>3.7689979999999998</v>
      </c>
      <c r="G11">
        <v>7.71</v>
      </c>
      <c r="I11" s="2">
        <v>42095</v>
      </c>
      <c r="J11">
        <f t="shared" si="9"/>
        <v>5.7864443886448021E-3</v>
      </c>
      <c r="K11">
        <f t="shared" si="1"/>
        <v>3.6514446160459492E-2</v>
      </c>
      <c r="L11">
        <f t="shared" si="1"/>
        <v>-5.835749702164237E-2</v>
      </c>
      <c r="M11">
        <f t="shared" si="1"/>
        <v>8.4821428571428534E-2</v>
      </c>
      <c r="N11">
        <f t="shared" si="1"/>
        <v>6.4066792600595779E-2</v>
      </c>
      <c r="O11">
        <f t="shared" si="1"/>
        <v>-0.11277330264672032</v>
      </c>
      <c r="P11" s="90">
        <v>10</v>
      </c>
      <c r="R11">
        <f t="shared" si="2"/>
        <v>5.7864443886448021E-3</v>
      </c>
      <c r="S11">
        <f t="shared" si="3"/>
        <v>8.4821428571428534E-2</v>
      </c>
      <c r="T11">
        <f t="shared" si="4"/>
        <v>-5.835749702164237E-2</v>
      </c>
      <c r="W11" s="23">
        <f t="shared" si="5"/>
        <v>-0.19155707540131445</v>
      </c>
      <c r="X11" s="87">
        <v>0</v>
      </c>
      <c r="Y11" s="88">
        <v>0.8</v>
      </c>
      <c r="Z11" s="88">
        <f t="shared" si="6"/>
        <v>0.19999999999999996</v>
      </c>
      <c r="AA11" s="6">
        <f t="shared" si="7"/>
        <v>-2.152575652647307E-2</v>
      </c>
      <c r="AB11" s="22">
        <f t="shared" si="8"/>
        <v>1.2745187316697406E-2</v>
      </c>
      <c r="AC11" s="6">
        <f t="shared" si="10"/>
        <v>0.11289458497508818</v>
      </c>
    </row>
    <row r="12" spans="1:34" x14ac:dyDescent="0.25">
      <c r="A12" s="93">
        <v>42065</v>
      </c>
      <c r="B12">
        <v>122.828278</v>
      </c>
      <c r="C12">
        <v>103.619263</v>
      </c>
      <c r="D12">
        <v>111.941727</v>
      </c>
      <c r="E12">
        <v>2.2400000000000002</v>
      </c>
      <c r="F12">
        <v>3.5420690000000001</v>
      </c>
      <c r="G12">
        <v>8.69</v>
      </c>
      <c r="I12" s="2">
        <v>42065</v>
      </c>
      <c r="J12">
        <f t="shared" si="9"/>
        <v>-3.1371710130872539E-2</v>
      </c>
      <c r="K12">
        <f t="shared" si="1"/>
        <v>7.782466282983758E-3</v>
      </c>
      <c r="L12">
        <f t="shared" si="1"/>
        <v>-4.8400706476195909E-3</v>
      </c>
      <c r="M12">
        <f t="shared" si="1"/>
        <v>-0.2112676056338027</v>
      </c>
      <c r="N12">
        <f t="shared" si="1"/>
        <v>-0.15599593399073181</v>
      </c>
      <c r="O12">
        <f t="shared" si="1"/>
        <v>8.897243107769412E-2</v>
      </c>
      <c r="P12" s="90">
        <v>11</v>
      </c>
      <c r="R12">
        <f t="shared" si="2"/>
        <v>-3.1371710130872539E-2</v>
      </c>
      <c r="S12">
        <f t="shared" si="3"/>
        <v>-0.2112676056338027</v>
      </c>
      <c r="T12">
        <f t="shared" si="4"/>
        <v>-4.8400706476195909E-3</v>
      </c>
      <c r="W12" s="23">
        <f t="shared" si="5"/>
        <v>0.53182294340295</v>
      </c>
      <c r="X12" s="87">
        <v>0.1</v>
      </c>
      <c r="Y12" s="87">
        <v>0</v>
      </c>
      <c r="Z12" s="87">
        <f t="shared" si="6"/>
        <v>0.9</v>
      </c>
      <c r="AA12" s="6">
        <f t="shared" si="7"/>
        <v>2.3201101440005065E-2</v>
      </c>
      <c r="AB12" s="22">
        <f t="shared" si="8"/>
        <v>1.8868233219691386E-3</v>
      </c>
      <c r="AC12" s="6">
        <f t="shared" si="10"/>
        <v>4.3437579605327209E-2</v>
      </c>
    </row>
    <row r="13" spans="1:34" x14ac:dyDescent="0.25">
      <c r="A13" s="93">
        <v>42037</v>
      </c>
      <c r="B13">
        <v>126.80641199999999</v>
      </c>
      <c r="C13">
        <v>102.81907699999999</v>
      </c>
      <c r="D13">
        <v>112.48616800000001</v>
      </c>
      <c r="E13">
        <v>2.84</v>
      </c>
      <c r="F13">
        <v>4.1967439999999998</v>
      </c>
      <c r="G13">
        <v>7.98</v>
      </c>
      <c r="I13" s="2">
        <v>42037</v>
      </c>
      <c r="J13">
        <f t="shared" si="9"/>
        <v>0.10077652471433006</v>
      </c>
      <c r="K13">
        <f t="shared" si="1"/>
        <v>0.14423922626832714</v>
      </c>
      <c r="L13">
        <f t="shared" si="1"/>
        <v>9.8927410699898563E-2</v>
      </c>
      <c r="M13">
        <f t="shared" si="1"/>
        <v>-0.16224188790560479</v>
      </c>
      <c r="N13">
        <f t="shared" si="1"/>
        <v>3.8929428945096808E-2</v>
      </c>
      <c r="O13">
        <f t="shared" si="1"/>
        <v>0.14326647564469913</v>
      </c>
      <c r="P13" s="90">
        <v>12</v>
      </c>
      <c r="R13">
        <f t="shared" si="2"/>
        <v>0.10077652471433006</v>
      </c>
      <c r="S13">
        <f t="shared" si="3"/>
        <v>-0.16224188790560479</v>
      </c>
      <c r="T13">
        <f t="shared" si="4"/>
        <v>9.8927410699898563E-2</v>
      </c>
      <c r="W13" s="23">
        <f t="shared" si="5"/>
        <v>0.50202708278511476</v>
      </c>
      <c r="X13" s="87">
        <v>0.3</v>
      </c>
      <c r="Y13" s="87">
        <v>0</v>
      </c>
      <c r="Z13" s="87">
        <f t="shared" si="6"/>
        <v>0.7</v>
      </c>
      <c r="AA13" s="6">
        <f t="shared" si="7"/>
        <v>2.1144337785305934E-2</v>
      </c>
      <c r="AB13" s="22">
        <f t="shared" si="8"/>
        <v>1.7571799330540886E-3</v>
      </c>
      <c r="AC13" s="6">
        <f t="shared" si="10"/>
        <v>4.1918730098299599E-2</v>
      </c>
    </row>
    <row r="14" spans="1:34" x14ac:dyDescent="0.25">
      <c r="A14" s="93">
        <v>42006</v>
      </c>
      <c r="B14">
        <v>115.19723500000001</v>
      </c>
      <c r="C14">
        <v>89.858024999999998</v>
      </c>
      <c r="D14">
        <v>102.359962</v>
      </c>
      <c r="E14">
        <v>3.39</v>
      </c>
      <c r="F14">
        <v>4.0394889999999997</v>
      </c>
      <c r="G14">
        <v>6.98</v>
      </c>
      <c r="I14" s="2">
        <v>42006</v>
      </c>
      <c r="J14">
        <f t="shared" si="9"/>
        <v>6.1424213943293449E-2</v>
      </c>
      <c r="K14">
        <f t="shared" ref="K14:K38" si="11">(C14-C15)/C15</f>
        <v>-3.4292421542621819E-2</v>
      </c>
      <c r="L14">
        <f t="shared" ref="L14:L38" si="12">(D14-D15)/D15</f>
        <v>-5.2396465170834071E-3</v>
      </c>
      <c r="M14">
        <f t="shared" ref="M14:M38" si="13">(E14-E15)/E15</f>
        <v>0.20212765957446821</v>
      </c>
      <c r="N14">
        <f t="shared" ref="N14:N38" si="14">(F14-F15)/F15</f>
        <v>2.2388069145461421E-2</v>
      </c>
      <c r="O14">
        <f t="shared" ref="O14:O38" si="15">(G14-G15)/G15</f>
        <v>-7.1808510638297768E-2</v>
      </c>
      <c r="P14" s="90">
        <v>13</v>
      </c>
      <c r="R14">
        <f t="shared" ref="R14:R38" si="16">HLOOKUP($R$2,Returns3,P14,FALSE)</f>
        <v>6.1424213943293449E-2</v>
      </c>
      <c r="S14">
        <f t="shared" ref="S14:S38" si="17">HLOOKUP($S$2,Returns3,P14,FALSE)</f>
        <v>0.20212765957446821</v>
      </c>
      <c r="T14">
        <f t="shared" ref="T14:T38" si="18">HLOOKUP($T$2,Returns3,P14,FALSE)</f>
        <v>-5.2396465170834071E-3</v>
      </c>
      <c r="W14" s="23">
        <f t="shared" ref="W14:W72" si="19">(AA14-$R$48)/AC14</f>
        <v>0.41633839653130605</v>
      </c>
      <c r="X14" s="87">
        <v>0.5</v>
      </c>
      <c r="Y14" s="87">
        <v>0</v>
      </c>
      <c r="Z14" s="87">
        <f t="shared" si="6"/>
        <v>0.5</v>
      </c>
      <c r="AA14" s="6">
        <f t="shared" ref="AA14:AA72" si="20">X14*$R$42+Y14*$S$42+Z14*$T$42</f>
        <v>1.9087574130606806E-2</v>
      </c>
      <c r="AB14" s="22">
        <f t="shared" ref="AB14:AB72" si="21">X14^2*$R$43+Y14^2*$S$43+Z14^2*$T$43+2*X14*Y14*$R$45+2*X14*Z14*$T$45+2*Y14*Z14*$S$45</f>
        <v>2.0799171425223196E-3</v>
      </c>
      <c r="AC14" s="6">
        <f t="shared" ref="AC14:AC72" si="22">SQRT(AB14)</f>
        <v>4.5606108609728142E-2</v>
      </c>
      <c r="AE14" s="74"/>
      <c r="AF14" s="74"/>
      <c r="AG14" s="74"/>
      <c r="AH14" s="74"/>
    </row>
    <row r="15" spans="1:34" x14ac:dyDescent="0.25">
      <c r="A15" s="93">
        <v>41974</v>
      </c>
      <c r="B15">
        <v>108.530815</v>
      </c>
      <c r="C15">
        <v>93.048896999999997</v>
      </c>
      <c r="D15">
        <v>102.899117</v>
      </c>
      <c r="E15">
        <v>2.82</v>
      </c>
      <c r="F15">
        <v>3.9510329999999998</v>
      </c>
      <c r="G15">
        <v>7.52</v>
      </c>
      <c r="I15" s="2">
        <v>41974</v>
      </c>
      <c r="J15">
        <f t="shared" ref="J15:J38" si="23">(B15-B16)/B16</f>
        <v>-7.1891014741061521E-2</v>
      </c>
      <c r="K15">
        <f t="shared" si="11"/>
        <v>3.1101092499186307E-2</v>
      </c>
      <c r="L15">
        <f t="shared" si="12"/>
        <v>6.1079782407276205E-2</v>
      </c>
      <c r="M15">
        <f t="shared" si="13"/>
        <v>7.1428571428571496E-3</v>
      </c>
      <c r="N15">
        <f t="shared" si="14"/>
        <v>6.7465065869690352E-2</v>
      </c>
      <c r="O15">
        <f t="shared" si="15"/>
        <v>0.37226277372262756</v>
      </c>
      <c r="P15" s="90">
        <v>14</v>
      </c>
      <c r="R15">
        <f t="shared" si="16"/>
        <v>-7.1891014741061521E-2</v>
      </c>
      <c r="S15">
        <f t="shared" si="17"/>
        <v>7.1428571428571496E-3</v>
      </c>
      <c r="T15">
        <f t="shared" si="18"/>
        <v>6.1079782407276205E-2</v>
      </c>
      <c r="W15" s="23">
        <f t="shared" si="19"/>
        <v>0.31686336769940826</v>
      </c>
      <c r="X15" s="87">
        <v>0.7</v>
      </c>
      <c r="Y15" s="87">
        <v>0</v>
      </c>
      <c r="Z15" s="87">
        <f t="shared" si="6"/>
        <v>0.30000000000000004</v>
      </c>
      <c r="AA15" s="6">
        <f t="shared" si="20"/>
        <v>1.7030810475907675E-2</v>
      </c>
      <c r="AB15" s="22">
        <f t="shared" si="21"/>
        <v>2.8550349503738302E-3</v>
      </c>
      <c r="AC15" s="6">
        <f t="shared" si="22"/>
        <v>5.3432527082048348E-2</v>
      </c>
      <c r="AE15" s="75"/>
      <c r="AF15" s="75"/>
      <c r="AG15" s="75"/>
      <c r="AH15" s="75"/>
    </row>
    <row r="16" spans="1:34" x14ac:dyDescent="0.25">
      <c r="A16" s="93">
        <v>41946</v>
      </c>
      <c r="B16">
        <v>116.93757600000001</v>
      </c>
      <c r="C16">
        <v>90.242264000000006</v>
      </c>
      <c r="D16">
        <v>96.975853000000001</v>
      </c>
      <c r="E16">
        <v>2.8</v>
      </c>
      <c r="F16">
        <v>3.7013229999999999</v>
      </c>
      <c r="G16">
        <v>5.48</v>
      </c>
      <c r="I16" s="2">
        <v>41946</v>
      </c>
      <c r="J16">
        <f t="shared" si="23"/>
        <v>0.10597875720140079</v>
      </c>
      <c r="K16">
        <f t="shared" si="11"/>
        <v>1.2365980281279304E-2</v>
      </c>
      <c r="L16">
        <f t="shared" si="12"/>
        <v>1.9278193840843227E-2</v>
      </c>
      <c r="M16">
        <f t="shared" si="13"/>
        <v>0.30232558139534882</v>
      </c>
      <c r="N16">
        <f t="shared" si="14"/>
        <v>-5.0251208572396316E-2</v>
      </c>
      <c r="O16">
        <f t="shared" si="15"/>
        <v>4.3809523809523888E-2</v>
      </c>
      <c r="P16" s="90">
        <v>15</v>
      </c>
      <c r="R16">
        <f t="shared" si="16"/>
        <v>0.10597875720140079</v>
      </c>
      <c r="S16">
        <f t="shared" si="17"/>
        <v>0.30232558139534882</v>
      </c>
      <c r="T16">
        <f t="shared" si="18"/>
        <v>1.9278193840843227E-2</v>
      </c>
      <c r="W16" s="23">
        <f t="shared" si="19"/>
        <v>0.23278997480838029</v>
      </c>
      <c r="X16" s="87">
        <v>0.9</v>
      </c>
      <c r="Y16" s="87">
        <v>0</v>
      </c>
      <c r="Z16" s="87">
        <f t="shared" si="6"/>
        <v>9.9999999999999978E-2</v>
      </c>
      <c r="AA16" s="6">
        <f t="shared" si="20"/>
        <v>1.4974046821208545E-2</v>
      </c>
      <c r="AB16" s="22">
        <f t="shared" si="21"/>
        <v>4.082533356608623E-3</v>
      </c>
      <c r="AC16" s="6">
        <f t="shared" si="22"/>
        <v>6.3894705231408833E-2</v>
      </c>
      <c r="AE16" s="76"/>
      <c r="AF16" s="77"/>
      <c r="AG16" s="77"/>
      <c r="AH16" s="78"/>
    </row>
    <row r="17" spans="1:29" x14ac:dyDescent="0.25">
      <c r="A17" s="93">
        <v>41913</v>
      </c>
      <c r="B17">
        <v>105.732208</v>
      </c>
      <c r="C17">
        <v>89.139961</v>
      </c>
      <c r="D17">
        <v>95.141693000000004</v>
      </c>
      <c r="E17">
        <v>2.15</v>
      </c>
      <c r="F17">
        <v>3.89716</v>
      </c>
      <c r="G17">
        <v>5.25</v>
      </c>
      <c r="I17" s="2">
        <v>41913</v>
      </c>
      <c r="J17">
        <f t="shared" si="23"/>
        <v>7.1960287301256684E-2</v>
      </c>
      <c r="K17">
        <f t="shared" si="11"/>
        <v>2.6395545059106545E-2</v>
      </c>
      <c r="L17">
        <f t="shared" si="12"/>
        <v>6.300414216762619E-2</v>
      </c>
      <c r="M17">
        <f t="shared" si="13"/>
        <v>-0.34848484848484845</v>
      </c>
      <c r="N17">
        <f t="shared" si="14"/>
        <v>-0.33666660141971688</v>
      </c>
      <c r="O17">
        <f t="shared" si="15"/>
        <v>8.471074380165293E-2</v>
      </c>
      <c r="P17" s="90">
        <v>16</v>
      </c>
      <c r="R17">
        <f t="shared" si="16"/>
        <v>7.1960287301256684E-2</v>
      </c>
      <c r="S17">
        <f t="shared" si="17"/>
        <v>-0.34848484848484845</v>
      </c>
      <c r="T17">
        <f t="shared" si="18"/>
        <v>6.300414216762619E-2</v>
      </c>
      <c r="W17" s="23">
        <f t="shared" si="19"/>
        <v>0.52532447713310659</v>
      </c>
      <c r="X17" s="88">
        <v>0.2</v>
      </c>
      <c r="Y17" s="87">
        <v>0</v>
      </c>
      <c r="Z17" s="87">
        <f t="shared" si="6"/>
        <v>0.8</v>
      </c>
      <c r="AA17" s="6">
        <f t="shared" si="20"/>
        <v>2.2172719612655503E-2</v>
      </c>
      <c r="AB17" s="22">
        <f t="shared" si="21"/>
        <v>1.7654540527137039E-3</v>
      </c>
      <c r="AC17" s="6">
        <f t="shared" si="22"/>
        <v>4.2017306585664244E-2</v>
      </c>
    </row>
    <row r="18" spans="1:29" x14ac:dyDescent="0.25">
      <c r="A18" s="93">
        <v>41884</v>
      </c>
      <c r="B18">
        <v>98.634444999999999</v>
      </c>
      <c r="C18">
        <v>86.847572</v>
      </c>
      <c r="D18">
        <v>89.502655000000004</v>
      </c>
      <c r="E18">
        <v>3.3</v>
      </c>
      <c r="F18">
        <v>5.8751150000000001</v>
      </c>
      <c r="G18">
        <v>4.84</v>
      </c>
      <c r="I18" s="2">
        <v>41884</v>
      </c>
      <c r="J18">
        <f t="shared" si="23"/>
        <v>-1.7073206120853657E-2</v>
      </c>
      <c r="K18">
        <f t="shared" si="11"/>
        <v>-9.4569565764013996E-3</v>
      </c>
      <c r="L18">
        <f t="shared" si="12"/>
        <v>-1.3866640029735965E-2</v>
      </c>
      <c r="M18">
        <f t="shared" si="13"/>
        <v>-0.1624365482233503</v>
      </c>
      <c r="N18">
        <f t="shared" si="14"/>
        <v>-0.28990810563398245</v>
      </c>
      <c r="O18">
        <f t="shared" si="15"/>
        <v>-0.22186495176848875</v>
      </c>
      <c r="P18" s="90">
        <v>17</v>
      </c>
      <c r="R18">
        <f t="shared" si="16"/>
        <v>-1.7073206120853657E-2</v>
      </c>
      <c r="S18">
        <f t="shared" si="17"/>
        <v>-0.1624365482233503</v>
      </c>
      <c r="T18">
        <f t="shared" si="18"/>
        <v>-1.3866640029735965E-2</v>
      </c>
      <c r="W18" s="23">
        <f t="shared" si="19"/>
        <v>0.46385942587767048</v>
      </c>
      <c r="X18" s="88">
        <v>0.4</v>
      </c>
      <c r="Y18" s="87">
        <v>0</v>
      </c>
      <c r="Z18" s="87">
        <f t="shared" si="6"/>
        <v>0.6</v>
      </c>
      <c r="AA18" s="6">
        <f t="shared" si="20"/>
        <v>2.0115955957956372E-2</v>
      </c>
      <c r="AB18" s="22">
        <f t="shared" si="21"/>
        <v>1.8620009629902942E-3</v>
      </c>
      <c r="AC18" s="6">
        <f t="shared" si="22"/>
        <v>4.3150909179185251E-2</v>
      </c>
    </row>
    <row r="19" spans="1:29" x14ac:dyDescent="0.25">
      <c r="A19" s="93">
        <v>41852</v>
      </c>
      <c r="B19">
        <v>100.347702</v>
      </c>
      <c r="C19">
        <v>87.676727</v>
      </c>
      <c r="D19">
        <v>90.761207999999996</v>
      </c>
      <c r="E19">
        <v>3.94</v>
      </c>
      <c r="F19">
        <v>8.2737390000000008</v>
      </c>
      <c r="G19">
        <v>6.22</v>
      </c>
      <c r="I19" s="2">
        <v>41852</v>
      </c>
      <c r="J19">
        <f t="shared" si="23"/>
        <v>7.750881472862324E-2</v>
      </c>
      <c r="K19">
        <f t="shared" si="11"/>
        <v>4.6576530877046191E-2</v>
      </c>
      <c r="L19">
        <f t="shared" si="12"/>
        <v>0.15646269476966129</v>
      </c>
      <c r="M19">
        <f t="shared" si="13"/>
        <v>-1.2531328320802072E-2</v>
      </c>
      <c r="N19">
        <f t="shared" si="14"/>
        <v>-2.347463411922531E-3</v>
      </c>
      <c r="O19">
        <f t="shared" si="15"/>
        <v>-7.0254110612855095E-2</v>
      </c>
      <c r="P19" s="90">
        <v>18</v>
      </c>
      <c r="R19">
        <f t="shared" si="16"/>
        <v>7.750881472862324E-2</v>
      </c>
      <c r="S19">
        <f t="shared" si="17"/>
        <v>-1.2531328320802072E-2</v>
      </c>
      <c r="T19">
        <f t="shared" si="18"/>
        <v>0.15646269476966129</v>
      </c>
      <c r="W19" s="23">
        <f t="shared" si="19"/>
        <v>0.36575867709984689</v>
      </c>
      <c r="X19" s="88">
        <v>0.6</v>
      </c>
      <c r="Y19" s="87">
        <v>0</v>
      </c>
      <c r="Z19" s="87">
        <f t="shared" si="6"/>
        <v>0.4</v>
      </c>
      <c r="AA19" s="6">
        <f t="shared" si="20"/>
        <v>1.805919230325724E-2</v>
      </c>
      <c r="AB19" s="22">
        <f t="shared" si="21"/>
        <v>2.4109284716501652E-3</v>
      </c>
      <c r="AC19" s="6">
        <f t="shared" si="22"/>
        <v>4.9101206417461532E-2</v>
      </c>
    </row>
    <row r="20" spans="1:29" x14ac:dyDescent="0.25">
      <c r="A20" s="93">
        <v>41821</v>
      </c>
      <c r="B20">
        <v>93.129356000000001</v>
      </c>
      <c r="C20">
        <v>83.774788000000001</v>
      </c>
      <c r="D20">
        <v>78.481742999999994</v>
      </c>
      <c r="E20">
        <v>3.99</v>
      </c>
      <c r="F20">
        <v>8.2932070000000007</v>
      </c>
      <c r="G20">
        <v>6.69</v>
      </c>
      <c r="I20" s="2">
        <v>41821</v>
      </c>
      <c r="J20">
        <f t="shared" si="23"/>
        <v>2.8731306492933453E-2</v>
      </c>
      <c r="K20">
        <f t="shared" si="11"/>
        <v>1.6329138735554057E-3</v>
      </c>
      <c r="L20">
        <f t="shared" si="12"/>
        <v>-1.3587352779397184E-3</v>
      </c>
      <c r="M20">
        <f t="shared" si="13"/>
        <v>-3.6231884057970891E-2</v>
      </c>
      <c r="N20">
        <f t="shared" si="14"/>
        <v>3.6496437030882525E-2</v>
      </c>
      <c r="O20">
        <f t="shared" si="15"/>
        <v>-6.6945606694560608E-2</v>
      </c>
      <c r="P20" s="90">
        <v>19</v>
      </c>
      <c r="R20">
        <f t="shared" si="16"/>
        <v>2.8731306492933453E-2</v>
      </c>
      <c r="S20">
        <f t="shared" si="17"/>
        <v>-3.6231884057970891E-2</v>
      </c>
      <c r="T20">
        <f t="shared" si="18"/>
        <v>-1.3587352779397184E-3</v>
      </c>
      <c r="W20" s="23">
        <f t="shared" si="19"/>
        <v>0.27223495538924536</v>
      </c>
      <c r="X20" s="88">
        <v>0.8</v>
      </c>
      <c r="Y20" s="87">
        <v>0</v>
      </c>
      <c r="Z20" s="87">
        <f t="shared" si="6"/>
        <v>0.19999999999999996</v>
      </c>
      <c r="AA20" s="6">
        <f t="shared" si="20"/>
        <v>1.6002428648558109E-2</v>
      </c>
      <c r="AB20" s="22">
        <f t="shared" si="21"/>
        <v>3.4122365786933171E-3</v>
      </c>
      <c r="AC20" s="6">
        <f t="shared" si="22"/>
        <v>5.841435250598364E-2</v>
      </c>
    </row>
    <row r="21" spans="1:29" x14ac:dyDescent="0.25">
      <c r="A21" s="93">
        <v>41792</v>
      </c>
      <c r="B21">
        <v>90.528357999999997</v>
      </c>
      <c r="C21">
        <v>83.638214000000005</v>
      </c>
      <c r="D21">
        <v>78.588524000000007</v>
      </c>
      <c r="E21">
        <v>4.1399999999999997</v>
      </c>
      <c r="F21">
        <v>8.0011919999999996</v>
      </c>
      <c r="G21">
        <v>7.17</v>
      </c>
      <c r="I21" s="2">
        <v>41792</v>
      </c>
      <c r="J21">
        <f t="shared" si="23"/>
        <v>2.7661918547126386E-2</v>
      </c>
      <c r="K21">
        <f t="shared" si="11"/>
        <v>2.05926909896849E-2</v>
      </c>
      <c r="L21">
        <f t="shared" si="12"/>
        <v>1.4999911400557772E-2</v>
      </c>
      <c r="M21">
        <f t="shared" si="13"/>
        <v>9.5238095238095205E-2</v>
      </c>
      <c r="N21">
        <f t="shared" si="14"/>
        <v>0.12199074327263422</v>
      </c>
      <c r="O21">
        <f t="shared" si="15"/>
        <v>-0.14234449760765544</v>
      </c>
      <c r="P21" s="90">
        <v>20</v>
      </c>
      <c r="R21">
        <f t="shared" si="16"/>
        <v>2.7661918547126386E-2</v>
      </c>
      <c r="S21">
        <f t="shared" si="17"/>
        <v>9.5238095238095205E-2</v>
      </c>
      <c r="T21">
        <f t="shared" si="18"/>
        <v>1.4999911400557772E-2</v>
      </c>
      <c r="W21" s="23">
        <f t="shared" si="19"/>
        <v>-0.21870787134655381</v>
      </c>
      <c r="X21" s="87">
        <v>0.1</v>
      </c>
      <c r="Y21" s="87">
        <v>0.9</v>
      </c>
      <c r="Z21" s="87">
        <f t="shared" si="6"/>
        <v>0</v>
      </c>
      <c r="AA21" s="6">
        <f t="shared" si="20"/>
        <v>-2.8273543328051095E-2</v>
      </c>
      <c r="AB21" s="22">
        <f t="shared" si="21"/>
        <v>1.6830550513488765E-2</v>
      </c>
      <c r="AC21" s="6">
        <f t="shared" si="22"/>
        <v>0.1297326116035932</v>
      </c>
    </row>
    <row r="22" spans="1:29" x14ac:dyDescent="0.25">
      <c r="A22" s="93">
        <v>41760</v>
      </c>
      <c r="B22">
        <v>88.091576000000003</v>
      </c>
      <c r="C22">
        <v>81.950630000000004</v>
      </c>
      <c r="D22">
        <v>77.427124000000006</v>
      </c>
      <c r="E22">
        <v>3.78</v>
      </c>
      <c r="F22">
        <v>7.131246</v>
      </c>
      <c r="G22">
        <v>8.36</v>
      </c>
      <c r="I22" s="2">
        <v>41760</v>
      </c>
      <c r="J22">
        <f t="shared" si="23"/>
        <v>7.8709273055286993E-2</v>
      </c>
      <c r="K22">
        <f t="shared" si="11"/>
        <v>5.8860662024055932E-2</v>
      </c>
      <c r="L22">
        <f t="shared" si="12"/>
        <v>9.0555773868749266E-3</v>
      </c>
      <c r="M22">
        <f t="shared" si="13"/>
        <v>-6.8965517241379268E-2</v>
      </c>
      <c r="N22">
        <f t="shared" si="14"/>
        <v>-1.6042737953251857E-2</v>
      </c>
      <c r="O22">
        <f t="shared" si="15"/>
        <v>0.14520547945205475</v>
      </c>
      <c r="P22" s="90">
        <v>21</v>
      </c>
      <c r="R22">
        <f t="shared" si="16"/>
        <v>7.8709273055286993E-2</v>
      </c>
      <c r="S22">
        <f t="shared" si="17"/>
        <v>-6.8965517241379268E-2</v>
      </c>
      <c r="T22">
        <f t="shared" si="18"/>
        <v>9.0555773868749266E-3</v>
      </c>
      <c r="W22" s="23">
        <f t="shared" si="19"/>
        <v>-0.17733728161381035</v>
      </c>
      <c r="X22" s="87">
        <v>0.3</v>
      </c>
      <c r="Y22" s="87">
        <v>0.7</v>
      </c>
      <c r="Z22" s="87">
        <f t="shared" si="6"/>
        <v>0</v>
      </c>
      <c r="AA22" s="6">
        <f t="shared" si="20"/>
        <v>-1.8891497034293298E-2</v>
      </c>
      <c r="AB22" s="22">
        <f t="shared" si="21"/>
        <v>1.1468808632643693E-2</v>
      </c>
      <c r="AC22" s="6">
        <f t="shared" si="22"/>
        <v>0.10709252370097407</v>
      </c>
    </row>
    <row r="23" spans="1:29" x14ac:dyDescent="0.25">
      <c r="A23" s="93">
        <v>41730</v>
      </c>
      <c r="B23">
        <v>81.663871999999998</v>
      </c>
      <c r="C23">
        <v>77.395103000000006</v>
      </c>
      <c r="D23">
        <v>76.732269000000002</v>
      </c>
      <c r="E23">
        <v>4.0599999999999996</v>
      </c>
      <c r="F23">
        <v>7.2475160000000001</v>
      </c>
      <c r="G23">
        <v>7.3</v>
      </c>
      <c r="I23" s="2">
        <v>41730</v>
      </c>
      <c r="J23">
        <f t="shared" si="23"/>
        <v>9.9396347476617908E-2</v>
      </c>
      <c r="K23">
        <f t="shared" si="11"/>
        <v>-9.1170202883195366E-3</v>
      </c>
      <c r="L23">
        <f t="shared" si="12"/>
        <v>4.802191752780815E-3</v>
      </c>
      <c r="M23">
        <f t="shared" si="13"/>
        <v>-1.9323671497584561E-2</v>
      </c>
      <c r="N23">
        <f t="shared" si="14"/>
        <v>-0.14806377864353715</v>
      </c>
      <c r="O23">
        <f t="shared" si="15"/>
        <v>0.16427432216905907</v>
      </c>
      <c r="P23" s="90">
        <v>22</v>
      </c>
      <c r="R23">
        <f t="shared" si="16"/>
        <v>9.9396347476617908E-2</v>
      </c>
      <c r="S23">
        <f t="shared" si="17"/>
        <v>-1.9323671497584561E-2</v>
      </c>
      <c r="T23">
        <f t="shared" si="18"/>
        <v>4.802191752780815E-3</v>
      </c>
      <c r="W23" s="23">
        <f t="shared" si="19"/>
        <v>-0.10985564681842082</v>
      </c>
      <c r="X23" s="87">
        <v>0.5</v>
      </c>
      <c r="Y23" s="87">
        <v>0.5</v>
      </c>
      <c r="Z23" s="87">
        <f t="shared" si="6"/>
        <v>0</v>
      </c>
      <c r="AA23" s="6">
        <f t="shared" si="20"/>
        <v>-9.5094507405355071E-3</v>
      </c>
      <c r="AB23" s="22">
        <f t="shared" si="21"/>
        <v>7.6516017656949806E-3</v>
      </c>
      <c r="AC23" s="6">
        <f t="shared" si="22"/>
        <v>8.7473434628434363E-2</v>
      </c>
    </row>
    <row r="24" spans="1:29" x14ac:dyDescent="0.25">
      <c r="A24" s="93">
        <v>41701</v>
      </c>
      <c r="B24">
        <v>74.280647000000002</v>
      </c>
      <c r="C24">
        <v>78.107208</v>
      </c>
      <c r="D24">
        <v>76.365547000000007</v>
      </c>
      <c r="E24">
        <v>4.1399999999999997</v>
      </c>
      <c r="F24">
        <v>8.5071110000000001</v>
      </c>
      <c r="G24">
        <v>6.27</v>
      </c>
      <c r="I24" s="2">
        <v>41701</v>
      </c>
      <c r="J24">
        <f t="shared" si="23"/>
        <v>1.9952852993915984E-2</v>
      </c>
      <c r="K24">
        <f t="shared" si="11"/>
        <v>-9.157319639096077E-3</v>
      </c>
      <c r="L24">
        <f t="shared" si="12"/>
        <v>-2.9804191584304886E-2</v>
      </c>
      <c r="M24">
        <f t="shared" si="13"/>
        <v>-0.20689655172413796</v>
      </c>
      <c r="N24">
        <f t="shared" si="14"/>
        <v>-0.12173536715308353</v>
      </c>
      <c r="O24">
        <f t="shared" si="15"/>
        <v>-4.8558421851289876E-2</v>
      </c>
      <c r="P24" s="90">
        <v>23</v>
      </c>
      <c r="R24">
        <f t="shared" si="16"/>
        <v>1.9952852993915984E-2</v>
      </c>
      <c r="S24">
        <f t="shared" si="17"/>
        <v>-0.20689655172413796</v>
      </c>
      <c r="T24">
        <f t="shared" si="18"/>
        <v>-2.9804191584304886E-2</v>
      </c>
      <c r="W24" s="23">
        <f t="shared" si="19"/>
        <v>-3.100637606345122E-3</v>
      </c>
      <c r="X24" s="87">
        <v>0.7</v>
      </c>
      <c r="Y24" s="87">
        <v>0.3</v>
      </c>
      <c r="Z24" s="87">
        <f t="shared" si="6"/>
        <v>0</v>
      </c>
      <c r="AA24" s="6">
        <f t="shared" si="20"/>
        <v>-1.2740444677771315E-4</v>
      </c>
      <c r="AB24" s="22">
        <f t="shared" si="21"/>
        <v>5.3789299126426214E-3</v>
      </c>
      <c r="AC24" s="6">
        <f t="shared" si="22"/>
        <v>7.3341188377627348E-2</v>
      </c>
    </row>
    <row r="25" spans="1:29" x14ac:dyDescent="0.25">
      <c r="A25" s="93">
        <v>41673</v>
      </c>
      <c r="B25">
        <v>72.827529999999996</v>
      </c>
      <c r="C25">
        <v>78.829070999999999</v>
      </c>
      <c r="D25">
        <v>78.711478999999997</v>
      </c>
      <c r="E25">
        <v>5.22</v>
      </c>
      <c r="F25">
        <v>9.6862729999999999</v>
      </c>
      <c r="G25">
        <v>6.59</v>
      </c>
      <c r="I25" s="2">
        <v>41673</v>
      </c>
      <c r="J25">
        <f t="shared" si="23"/>
        <v>5.751094342410619E-2</v>
      </c>
      <c r="K25">
        <f t="shared" si="11"/>
        <v>0.11293215009589568</v>
      </c>
      <c r="L25">
        <f t="shared" si="12"/>
        <v>6.7404044437401792E-2</v>
      </c>
      <c r="M25">
        <f t="shared" si="13"/>
        <v>0.13973799126637548</v>
      </c>
      <c r="N25">
        <f t="shared" si="14"/>
        <v>7.150483668031804E-2</v>
      </c>
      <c r="O25">
        <f t="shared" si="15"/>
        <v>0.18738738738738739</v>
      </c>
      <c r="P25" s="90">
        <v>24</v>
      </c>
      <c r="R25">
        <f t="shared" si="16"/>
        <v>5.751094342410619E-2</v>
      </c>
      <c r="S25">
        <f t="shared" si="17"/>
        <v>0.13973799126637548</v>
      </c>
      <c r="T25">
        <f t="shared" si="18"/>
        <v>6.7404044437401792E-2</v>
      </c>
      <c r="W25" s="23">
        <f t="shared" si="19"/>
        <v>0.13423873464054498</v>
      </c>
      <c r="X25" s="87">
        <v>0.9</v>
      </c>
      <c r="Y25" s="87">
        <v>0.1</v>
      </c>
      <c r="Z25" s="87">
        <f t="shared" si="6"/>
        <v>0</v>
      </c>
      <c r="AA25" s="6">
        <f t="shared" si="20"/>
        <v>9.2546418469800825E-3</v>
      </c>
      <c r="AB25" s="22">
        <f t="shared" si="21"/>
        <v>4.6507930734866181E-3</v>
      </c>
      <c r="AC25" s="6">
        <f t="shared" si="22"/>
        <v>6.8196723333944845E-2</v>
      </c>
    </row>
    <row r="26" spans="1:29" x14ac:dyDescent="0.25">
      <c r="A26" s="93">
        <v>41641</v>
      </c>
      <c r="B26">
        <v>68.866928000000001</v>
      </c>
      <c r="C26">
        <v>70.830078</v>
      </c>
      <c r="D26">
        <v>73.741034999999997</v>
      </c>
      <c r="E26">
        <v>4.58</v>
      </c>
      <c r="F26">
        <v>9.0398779999999999</v>
      </c>
      <c r="G26">
        <v>5.55</v>
      </c>
      <c r="I26" s="2">
        <v>41641</v>
      </c>
      <c r="J26">
        <f t="shared" si="23"/>
        <v>-0.10769669191551517</v>
      </c>
      <c r="K26">
        <f t="shared" si="11"/>
        <v>-4.9607380802943572E-2</v>
      </c>
      <c r="L26">
        <f t="shared" si="12"/>
        <v>-6.6674725670896912E-2</v>
      </c>
      <c r="M26">
        <f t="shared" si="13"/>
        <v>4.5662100456621044E-2</v>
      </c>
      <c r="N26">
        <f t="shared" si="14"/>
        <v>8.7006941306364244E-2</v>
      </c>
      <c r="O26">
        <f t="shared" si="15"/>
        <v>9.6837944664031672E-2</v>
      </c>
      <c r="P26" s="90">
        <v>25</v>
      </c>
      <c r="R26">
        <f t="shared" si="16"/>
        <v>-0.10769669191551517</v>
      </c>
      <c r="S26">
        <f t="shared" si="17"/>
        <v>4.5662100456621044E-2</v>
      </c>
      <c r="T26">
        <f t="shared" si="18"/>
        <v>-6.6674725670896912E-2</v>
      </c>
      <c r="W26" s="23">
        <f t="shared" si="19"/>
        <v>-0.20046469736124256</v>
      </c>
      <c r="X26" s="88">
        <v>0.2</v>
      </c>
      <c r="Y26" s="88">
        <v>0.8</v>
      </c>
      <c r="Z26" s="88">
        <f t="shared" si="6"/>
        <v>0</v>
      </c>
      <c r="AA26" s="6">
        <f t="shared" si="20"/>
        <v>-2.3582520181172198E-2</v>
      </c>
      <c r="AB26" s="22">
        <f t="shared" si="21"/>
        <v>1.3956612696329187E-2</v>
      </c>
      <c r="AC26" s="6">
        <f t="shared" si="22"/>
        <v>0.1181381085692893</v>
      </c>
    </row>
    <row r="27" spans="1:29" x14ac:dyDescent="0.25">
      <c r="A27" s="93">
        <v>41610</v>
      </c>
      <c r="B27">
        <v>77.178832999999997</v>
      </c>
      <c r="C27">
        <v>74.527175999999997</v>
      </c>
      <c r="D27">
        <v>79.008933999999996</v>
      </c>
      <c r="E27">
        <v>4.38</v>
      </c>
      <c r="F27">
        <v>8.3163020000000003</v>
      </c>
      <c r="G27">
        <v>5.0599999999999996</v>
      </c>
      <c r="I27" s="2">
        <v>41610</v>
      </c>
      <c r="J27">
        <f t="shared" si="23"/>
        <v>8.9017117875083585E-3</v>
      </c>
      <c r="K27">
        <f t="shared" si="11"/>
        <v>9.6444648294071678E-2</v>
      </c>
      <c r="L27">
        <f t="shared" si="12"/>
        <v>2.5716358168886816E-2</v>
      </c>
      <c r="M27">
        <f t="shared" si="13"/>
        <v>-7.0063694267515936E-2</v>
      </c>
      <c r="N27">
        <f t="shared" si="14"/>
        <v>-4.4648647145933994E-2</v>
      </c>
      <c r="O27">
        <f t="shared" si="15"/>
        <v>-0.14527027027027031</v>
      </c>
      <c r="P27" s="90">
        <v>26</v>
      </c>
      <c r="R27">
        <f t="shared" si="16"/>
        <v>8.9017117875083585E-3</v>
      </c>
      <c r="S27">
        <f t="shared" si="17"/>
        <v>-7.0063694267515936E-2</v>
      </c>
      <c r="T27">
        <f t="shared" si="18"/>
        <v>2.5716358168886816E-2</v>
      </c>
      <c r="W27" s="23">
        <f t="shared" si="19"/>
        <v>-0.14775662501410528</v>
      </c>
      <c r="X27" s="88">
        <v>0.4</v>
      </c>
      <c r="Y27" s="88">
        <v>0.6</v>
      </c>
      <c r="Z27" s="88">
        <f t="shared" si="6"/>
        <v>0</v>
      </c>
      <c r="AA27" s="6">
        <f t="shared" si="20"/>
        <v>-1.4200473887414404E-2</v>
      </c>
      <c r="AB27" s="22">
        <f t="shared" si="21"/>
        <v>9.3671383224322915E-3</v>
      </c>
      <c r="AC27" s="6">
        <f t="shared" si="22"/>
        <v>9.6783977612166214E-2</v>
      </c>
    </row>
    <row r="28" spans="1:29" x14ac:dyDescent="0.25">
      <c r="A28" s="93">
        <v>41579</v>
      </c>
      <c r="B28">
        <v>76.497871000000004</v>
      </c>
      <c r="C28">
        <v>67.971671999999998</v>
      </c>
      <c r="D28">
        <v>77.028053</v>
      </c>
      <c r="E28">
        <v>4.71</v>
      </c>
      <c r="F28">
        <v>8.7049669999999999</v>
      </c>
      <c r="G28">
        <v>5.92</v>
      </c>
      <c r="I28" s="2">
        <v>41579</v>
      </c>
      <c r="J28">
        <f t="shared" si="23"/>
        <v>7.0052720097261559E-2</v>
      </c>
      <c r="K28">
        <f t="shared" si="11"/>
        <v>2.8429855917298543E-2</v>
      </c>
      <c r="L28">
        <f t="shared" si="12"/>
        <v>3.569138106852434E-2</v>
      </c>
      <c r="M28">
        <f t="shared" si="13"/>
        <v>-7.1005917159763371E-2</v>
      </c>
      <c r="N28">
        <f t="shared" si="14"/>
        <v>-8.4592203472211233E-2</v>
      </c>
      <c r="O28">
        <f t="shared" si="15"/>
        <v>0.11069418386491554</v>
      </c>
      <c r="P28" s="90">
        <v>27</v>
      </c>
      <c r="R28">
        <f t="shared" si="16"/>
        <v>7.0052720097261559E-2</v>
      </c>
      <c r="S28">
        <f t="shared" si="17"/>
        <v>-7.1005917159763371E-2</v>
      </c>
      <c r="T28">
        <f t="shared" si="18"/>
        <v>3.569138106852434E-2</v>
      </c>
      <c r="W28" s="23">
        <f t="shared" si="19"/>
        <v>-6.185747706064644E-2</v>
      </c>
      <c r="X28" s="88">
        <v>0.6</v>
      </c>
      <c r="Y28" s="88">
        <v>0.4</v>
      </c>
      <c r="Z28" s="88">
        <f t="shared" si="6"/>
        <v>0</v>
      </c>
      <c r="AA28" s="6">
        <f t="shared" si="20"/>
        <v>-4.8184275936566101E-3</v>
      </c>
      <c r="AB28" s="22">
        <f t="shared" si="21"/>
        <v>6.3221989624317578E-3</v>
      </c>
      <c r="AC28" s="6">
        <f t="shared" si="22"/>
        <v>7.951225668053799E-2</v>
      </c>
    </row>
    <row r="29" spans="1:29" x14ac:dyDescent="0.25">
      <c r="A29" s="93">
        <v>41548</v>
      </c>
      <c r="B29">
        <v>71.489814999999993</v>
      </c>
      <c r="C29">
        <v>66.092667000000006</v>
      </c>
      <c r="D29">
        <v>74.373558000000003</v>
      </c>
      <c r="E29">
        <v>5.07</v>
      </c>
      <c r="F29">
        <v>9.5093870000000003</v>
      </c>
      <c r="G29">
        <v>5.33</v>
      </c>
      <c r="I29" s="2">
        <v>41548</v>
      </c>
      <c r="J29">
        <f t="shared" si="23"/>
        <v>9.6381726966871792E-2</v>
      </c>
      <c r="K29">
        <f t="shared" si="11"/>
        <v>6.357576995699131E-2</v>
      </c>
      <c r="L29">
        <f t="shared" si="12"/>
        <v>2.6895150515648145E-2</v>
      </c>
      <c r="M29">
        <f t="shared" si="13"/>
        <v>3.9603960396040524E-3</v>
      </c>
      <c r="N29">
        <f t="shared" si="14"/>
        <v>-4.5192132076814821E-2</v>
      </c>
      <c r="O29">
        <f t="shared" si="15"/>
        <v>0.11974789915966393</v>
      </c>
      <c r="P29" s="90">
        <v>28</v>
      </c>
      <c r="R29">
        <f t="shared" si="16"/>
        <v>9.6381726966871792E-2</v>
      </c>
      <c r="S29">
        <f t="shared" si="17"/>
        <v>3.9603960396040524E-3</v>
      </c>
      <c r="T29">
        <f t="shared" si="18"/>
        <v>2.6895150515648145E-2</v>
      </c>
      <c r="W29" s="23">
        <f t="shared" si="19"/>
        <v>6.4281016307366295E-2</v>
      </c>
      <c r="X29" s="88">
        <v>0.8</v>
      </c>
      <c r="Y29" s="88">
        <v>0.2</v>
      </c>
      <c r="Z29" s="88">
        <f t="shared" si="6"/>
        <v>0</v>
      </c>
      <c r="AA29" s="6">
        <f t="shared" si="20"/>
        <v>4.5636187001011847E-3</v>
      </c>
      <c r="AB29" s="22">
        <f t="shared" si="21"/>
        <v>4.8217946163275766E-3</v>
      </c>
      <c r="AC29" s="6">
        <f t="shared" si="22"/>
        <v>6.9439143257442174E-2</v>
      </c>
    </row>
    <row r="30" spans="1:29" x14ac:dyDescent="0.25">
      <c r="A30" s="93">
        <v>41520</v>
      </c>
      <c r="B30">
        <v>65.205223000000004</v>
      </c>
      <c r="C30">
        <v>62.141945</v>
      </c>
      <c r="D30">
        <v>72.425658999999996</v>
      </c>
      <c r="E30">
        <v>5.05</v>
      </c>
      <c r="F30">
        <v>9.9594769999999997</v>
      </c>
      <c r="G30">
        <v>4.76</v>
      </c>
      <c r="I30" s="2">
        <v>41520</v>
      </c>
      <c r="J30">
        <f t="shared" si="23"/>
        <v>-2.1489373467963719E-2</v>
      </c>
      <c r="K30">
        <f t="shared" si="11"/>
        <v>6.016761042629068E-2</v>
      </c>
      <c r="L30">
        <f t="shared" si="12"/>
        <v>2.3616775951809367E-2</v>
      </c>
      <c r="M30">
        <f t="shared" si="13"/>
        <v>-8.1818181818181845E-2</v>
      </c>
      <c r="N30">
        <f t="shared" si="14"/>
        <v>-8.051993973211817E-2</v>
      </c>
      <c r="O30">
        <f t="shared" si="15"/>
        <v>0.37572254335260113</v>
      </c>
      <c r="P30" s="90">
        <v>29</v>
      </c>
      <c r="R30">
        <f t="shared" si="16"/>
        <v>-2.1489373467963719E-2</v>
      </c>
      <c r="S30">
        <f t="shared" si="17"/>
        <v>-8.1818181818181845E-2</v>
      </c>
      <c r="T30">
        <f t="shared" si="18"/>
        <v>2.3616775951809367E-2</v>
      </c>
      <c r="W30" s="23">
        <f t="shared" si="19"/>
        <v>0.42515276853866923</v>
      </c>
      <c r="X30" s="87">
        <v>0.1</v>
      </c>
      <c r="Y30" s="87">
        <v>0.1</v>
      </c>
      <c r="Z30" s="87">
        <f t="shared" si="6"/>
        <v>0.8</v>
      </c>
      <c r="AA30" s="6">
        <f t="shared" si="20"/>
        <v>1.7481696465776603E-2</v>
      </c>
      <c r="AB30" s="22">
        <f t="shared" si="21"/>
        <v>1.6714535049778981E-3</v>
      </c>
      <c r="AC30" s="6">
        <f t="shared" si="22"/>
        <v>4.0883413568070584E-2</v>
      </c>
    </row>
    <row r="31" spans="1:29" x14ac:dyDescent="0.25">
      <c r="A31" s="93">
        <v>41487</v>
      </c>
      <c r="B31">
        <v>66.637214999999998</v>
      </c>
      <c r="C31">
        <v>58.615208000000003</v>
      </c>
      <c r="D31">
        <v>70.754661999999996</v>
      </c>
      <c r="E31">
        <v>5.5</v>
      </c>
      <c r="F31">
        <v>10.83164</v>
      </c>
      <c r="G31">
        <v>3.46</v>
      </c>
      <c r="I31" s="2">
        <v>41487</v>
      </c>
      <c r="J31">
        <f t="shared" si="23"/>
        <v>8.3766890734752381E-2</v>
      </c>
      <c r="K31">
        <f t="shared" si="11"/>
        <v>-5.9087400044342993E-2</v>
      </c>
      <c r="L31">
        <f t="shared" si="12"/>
        <v>-5.7446533663973176E-2</v>
      </c>
      <c r="M31">
        <f t="shared" si="13"/>
        <v>5.1625239005736054E-2</v>
      </c>
      <c r="N31">
        <f t="shared" si="14"/>
        <v>8.380951694829436E-2</v>
      </c>
      <c r="O31">
        <f t="shared" si="15"/>
        <v>0.15333333333333332</v>
      </c>
      <c r="P31" s="90">
        <v>30</v>
      </c>
      <c r="R31">
        <f t="shared" si="16"/>
        <v>8.3766890734752381E-2</v>
      </c>
      <c r="S31">
        <f t="shared" si="17"/>
        <v>5.1625239005736054E-2</v>
      </c>
      <c r="T31">
        <f t="shared" si="18"/>
        <v>-5.7446533663973176E-2</v>
      </c>
      <c r="W31" s="23">
        <f t="shared" si="19"/>
        <v>0.1154981961748056</v>
      </c>
      <c r="X31" s="87">
        <v>0.1</v>
      </c>
      <c r="Y31" s="87">
        <v>0.3</v>
      </c>
      <c r="Z31" s="87">
        <f t="shared" si="6"/>
        <v>0.6</v>
      </c>
      <c r="AA31" s="6">
        <f t="shared" si="20"/>
        <v>6.0428865173196792E-3</v>
      </c>
      <c r="AB31" s="22">
        <f t="shared" si="21"/>
        <v>2.6475518330321495E-3</v>
      </c>
      <c r="AC31" s="6">
        <f t="shared" si="22"/>
        <v>5.1454366510842883E-2</v>
      </c>
    </row>
    <row r="32" spans="1:29" x14ac:dyDescent="0.25">
      <c r="A32" s="93">
        <v>41456</v>
      </c>
      <c r="B32">
        <v>61.486668000000002</v>
      </c>
      <c r="C32">
        <v>62.296123999999999</v>
      </c>
      <c r="D32">
        <v>75.067001000000005</v>
      </c>
      <c r="E32">
        <v>5.23</v>
      </c>
      <c r="F32">
        <v>9.9940440000000006</v>
      </c>
      <c r="G32">
        <v>3</v>
      </c>
      <c r="I32" s="2">
        <v>41456</v>
      </c>
      <c r="J32">
        <f t="shared" si="23"/>
        <v>0.14122503606635439</v>
      </c>
      <c r="K32">
        <f t="shared" si="11"/>
        <v>2.3752957215523739E-2</v>
      </c>
      <c r="L32">
        <f t="shared" si="12"/>
        <v>2.0136716011891435E-2</v>
      </c>
      <c r="M32">
        <f t="shared" si="13"/>
        <v>2.5490196078431528E-2</v>
      </c>
      <c r="N32">
        <f t="shared" si="14"/>
        <v>0.10410087597435606</v>
      </c>
      <c r="O32">
        <f t="shared" si="15"/>
        <v>4.8951048951048994E-2</v>
      </c>
      <c r="P32" s="90">
        <v>31</v>
      </c>
      <c r="R32">
        <f t="shared" si="16"/>
        <v>0.14122503606635439</v>
      </c>
      <c r="S32">
        <f t="shared" si="17"/>
        <v>2.5490196078431528E-2</v>
      </c>
      <c r="T32">
        <f t="shared" si="18"/>
        <v>2.0136716011891435E-2</v>
      </c>
      <c r="W32" s="23">
        <f t="shared" si="19"/>
        <v>-7.4110829120457883E-2</v>
      </c>
      <c r="X32" s="87">
        <v>0.1</v>
      </c>
      <c r="Y32" s="87">
        <v>0.5</v>
      </c>
      <c r="Z32" s="87">
        <f t="shared" si="6"/>
        <v>0.4</v>
      </c>
      <c r="AA32" s="6">
        <f t="shared" si="20"/>
        <v>-5.3959234311372461E-3</v>
      </c>
      <c r="AB32" s="22">
        <f t="shared" si="21"/>
        <v>5.4994341104687098E-3</v>
      </c>
      <c r="AC32" s="6">
        <f t="shared" si="22"/>
        <v>7.415816954637372E-2</v>
      </c>
    </row>
    <row r="33" spans="1:41" x14ac:dyDescent="0.25">
      <c r="A33" s="93">
        <v>41428</v>
      </c>
      <c r="B33">
        <v>53.877777000000002</v>
      </c>
      <c r="C33">
        <v>60.850738999999997</v>
      </c>
      <c r="D33">
        <v>73.585235999999995</v>
      </c>
      <c r="E33">
        <v>5.0999999999999996</v>
      </c>
      <c r="F33">
        <v>9.0517489999999992</v>
      </c>
      <c r="G33">
        <v>2.86</v>
      </c>
      <c r="I33" s="2">
        <v>41428</v>
      </c>
      <c r="J33">
        <f t="shared" si="23"/>
        <v>-0.11829325362427841</v>
      </c>
      <c r="K33">
        <f t="shared" si="11"/>
        <v>1.1097129380317299E-3</v>
      </c>
      <c r="L33">
        <f t="shared" si="12"/>
        <v>-1.0247180642619428E-2</v>
      </c>
      <c r="M33">
        <f t="shared" si="13"/>
        <v>-0.20436817472698915</v>
      </c>
      <c r="N33">
        <f t="shared" si="14"/>
        <v>-0.1699679816265503</v>
      </c>
      <c r="O33">
        <f t="shared" si="15"/>
        <v>-2.721088435374152E-2</v>
      </c>
      <c r="P33" s="90">
        <v>32</v>
      </c>
      <c r="R33">
        <f t="shared" si="16"/>
        <v>-0.11829325362427841</v>
      </c>
      <c r="S33">
        <f t="shared" si="17"/>
        <v>-0.20436817472698915</v>
      </c>
      <c r="T33">
        <f t="shared" si="18"/>
        <v>-1.0247180642619428E-2</v>
      </c>
      <c r="W33" s="23">
        <f t="shared" si="19"/>
        <v>-0.16745653674756114</v>
      </c>
      <c r="X33" s="87">
        <v>0.1</v>
      </c>
      <c r="Y33" s="87">
        <v>0.7</v>
      </c>
      <c r="Z33" s="87">
        <f t="shared" si="6"/>
        <v>0.20000000000000004</v>
      </c>
      <c r="AA33" s="6">
        <f t="shared" si="20"/>
        <v>-1.6834733379594166E-2</v>
      </c>
      <c r="AB33" s="22">
        <f t="shared" si="21"/>
        <v>1.0227100337287579E-2</v>
      </c>
      <c r="AC33" s="6">
        <f t="shared" si="22"/>
        <v>0.1011291270469966</v>
      </c>
    </row>
    <row r="34" spans="1:41" x14ac:dyDescent="0.25">
      <c r="A34" s="93">
        <v>41395</v>
      </c>
      <c r="B34">
        <v>61.106231999999999</v>
      </c>
      <c r="C34">
        <v>60.783287000000001</v>
      </c>
      <c r="D34">
        <v>74.347083999999995</v>
      </c>
      <c r="E34">
        <v>6.41</v>
      </c>
      <c r="F34">
        <v>10.905301</v>
      </c>
      <c r="G34">
        <v>2.94</v>
      </c>
      <c r="I34" s="2">
        <v>41395</v>
      </c>
      <c r="J34">
        <f t="shared" si="23"/>
        <v>2.2419318762717019E-2</v>
      </c>
      <c r="K34">
        <f t="shared" si="11"/>
        <v>3.8192281761014759E-3</v>
      </c>
      <c r="L34">
        <f t="shared" si="12"/>
        <v>7.2392738634123807E-2</v>
      </c>
      <c r="M34">
        <f t="shared" si="13"/>
        <v>0.17830882352941171</v>
      </c>
      <c r="N34">
        <f t="shared" si="14"/>
        <v>-6.1788693287100613E-2</v>
      </c>
      <c r="O34">
        <f t="shared" si="15"/>
        <v>0.10943396226415096</v>
      </c>
      <c r="P34" s="90">
        <v>33</v>
      </c>
      <c r="R34">
        <f t="shared" si="16"/>
        <v>2.2419318762717019E-2</v>
      </c>
      <c r="S34">
        <f t="shared" si="17"/>
        <v>0.17830882352941171</v>
      </c>
      <c r="T34">
        <f t="shared" si="18"/>
        <v>7.2392738634123807E-2</v>
      </c>
      <c r="W34" s="23">
        <f t="shared" si="19"/>
        <v>0.26580624344909759</v>
      </c>
      <c r="X34" s="88">
        <v>0.1</v>
      </c>
      <c r="Y34" s="88">
        <v>0.2</v>
      </c>
      <c r="Z34" s="88">
        <f t="shared" si="6"/>
        <v>0.70000000000000007</v>
      </c>
      <c r="AA34" s="6">
        <f t="shared" si="20"/>
        <v>1.1762291491548142E-2</v>
      </c>
      <c r="AB34" s="22">
        <f t="shared" si="21"/>
        <v>1.9250296753322354E-3</v>
      </c>
      <c r="AC34" s="6">
        <f t="shared" si="22"/>
        <v>4.3875160117454105E-2</v>
      </c>
    </row>
    <row r="35" spans="1:41" x14ac:dyDescent="0.25">
      <c r="A35" s="93">
        <v>41365</v>
      </c>
      <c r="B35">
        <v>59.766311999999999</v>
      </c>
      <c r="C35">
        <v>60.552025</v>
      </c>
      <c r="D35">
        <v>69.328224000000006</v>
      </c>
      <c r="E35">
        <v>5.44</v>
      </c>
      <c r="F35">
        <v>11.623502</v>
      </c>
      <c r="G35">
        <v>2.65</v>
      </c>
      <c r="I35" s="2">
        <v>41365</v>
      </c>
      <c r="J35">
        <f t="shared" si="23"/>
        <v>2.7102875344946952E-4</v>
      </c>
      <c r="K35">
        <f t="shared" si="11"/>
        <v>0.10633805998863147</v>
      </c>
      <c r="L35">
        <f t="shared" si="12"/>
        <v>5.1160709471751192E-2</v>
      </c>
      <c r="M35">
        <f t="shared" si="13"/>
        <v>-0.31399747793190408</v>
      </c>
      <c r="N35">
        <f t="shared" si="14"/>
        <v>-0.19869704100828411</v>
      </c>
      <c r="O35">
        <f t="shared" si="15"/>
        <v>0.39473684210526316</v>
      </c>
      <c r="P35" s="90">
        <v>34</v>
      </c>
      <c r="R35">
        <f t="shared" si="16"/>
        <v>2.7102875344946952E-4</v>
      </c>
      <c r="S35">
        <f t="shared" si="17"/>
        <v>-0.31399747793190408</v>
      </c>
      <c r="T35">
        <f t="shared" si="18"/>
        <v>5.1160709471751192E-2</v>
      </c>
      <c r="W35" s="23">
        <f t="shared" si="19"/>
        <v>3.606878186422031E-3</v>
      </c>
      <c r="X35" s="88">
        <v>0.1</v>
      </c>
      <c r="Y35" s="88">
        <v>0.4</v>
      </c>
      <c r="Z35" s="88">
        <f t="shared" si="6"/>
        <v>0.5</v>
      </c>
      <c r="AA35" s="6">
        <f t="shared" si="20"/>
        <v>3.2348154309121656E-4</v>
      </c>
      <c r="AB35" s="22">
        <f t="shared" si="21"/>
        <v>3.8390199780776427E-3</v>
      </c>
      <c r="AC35" s="6">
        <f t="shared" si="22"/>
        <v>6.1959825516843113E-2</v>
      </c>
    </row>
    <row r="36" spans="1:41" x14ac:dyDescent="0.25">
      <c r="A36" s="93">
        <v>41334</v>
      </c>
      <c r="B36">
        <v>59.750118000000001</v>
      </c>
      <c r="C36">
        <v>54.731937000000002</v>
      </c>
      <c r="D36">
        <v>65.953971999999993</v>
      </c>
      <c r="E36">
        <v>7.93</v>
      </c>
      <c r="F36">
        <v>14.505751999999999</v>
      </c>
      <c r="G36">
        <v>1.9</v>
      </c>
      <c r="I36" s="2">
        <v>41334</v>
      </c>
      <c r="J36">
        <f t="shared" si="23"/>
        <v>2.8545463981194713E-3</v>
      </c>
      <c r="K36">
        <f t="shared" si="11"/>
        <v>4.0483607573661831E-2</v>
      </c>
      <c r="L36">
        <f t="shared" si="12"/>
        <v>2.4287237634025564E-2</v>
      </c>
      <c r="M36">
        <f t="shared" si="13"/>
        <v>5.1220973939661997E-2</v>
      </c>
      <c r="N36">
        <f t="shared" si="14"/>
        <v>4.7995261182931299E-2</v>
      </c>
      <c r="O36">
        <f t="shared" si="15"/>
        <v>0.15853658536585366</v>
      </c>
      <c r="P36" s="90">
        <v>35</v>
      </c>
      <c r="R36">
        <f t="shared" si="16"/>
        <v>2.8545463981194713E-3</v>
      </c>
      <c r="S36">
        <f t="shared" si="17"/>
        <v>5.1220973939661997E-2</v>
      </c>
      <c r="T36">
        <f t="shared" si="18"/>
        <v>2.4287237634025564E-2</v>
      </c>
      <c r="W36" s="23">
        <f t="shared" si="19"/>
        <v>-0.12840562367372924</v>
      </c>
      <c r="X36" s="88">
        <v>0.1</v>
      </c>
      <c r="Y36" s="88">
        <v>0.6</v>
      </c>
      <c r="Z36" s="88">
        <f t="shared" si="6"/>
        <v>0.30000000000000004</v>
      </c>
      <c r="AA36" s="6">
        <f t="shared" si="20"/>
        <v>-1.1115328405365709E-2</v>
      </c>
      <c r="AB36" s="22">
        <f t="shared" si="21"/>
        <v>7.628794230205356E-3</v>
      </c>
      <c r="AC36" s="6">
        <f t="shared" si="22"/>
        <v>8.7342968979794572E-2</v>
      </c>
    </row>
    <row r="37" spans="1:41" x14ac:dyDescent="0.25">
      <c r="A37" s="93">
        <v>41306</v>
      </c>
      <c r="B37">
        <v>59.580044000000001</v>
      </c>
      <c r="C37">
        <v>52.602401999999998</v>
      </c>
      <c r="D37">
        <v>64.390113999999997</v>
      </c>
      <c r="E37">
        <v>7.543609</v>
      </c>
      <c r="F37">
        <v>13.841429</v>
      </c>
      <c r="G37">
        <v>1.64</v>
      </c>
      <c r="I37" s="2">
        <v>41306</v>
      </c>
      <c r="J37">
        <f t="shared" si="23"/>
        <v>-2.5286005872361128E-2</v>
      </c>
      <c r="K37">
        <f t="shared" si="11"/>
        <v>1.3177388184560436E-2</v>
      </c>
      <c r="L37">
        <f t="shared" si="12"/>
        <v>2.3610286961537844E-2</v>
      </c>
      <c r="M37">
        <f t="shared" si="13"/>
        <v>-7.4118995867808748E-2</v>
      </c>
      <c r="N37">
        <f t="shared" si="14"/>
        <v>-0.1003058059449477</v>
      </c>
      <c r="O37">
        <f t="shared" si="15"/>
        <v>2.4999999999999883E-2</v>
      </c>
      <c r="P37" s="90">
        <v>36</v>
      </c>
      <c r="R37">
        <f t="shared" si="16"/>
        <v>-2.5286005872361128E-2</v>
      </c>
      <c r="S37">
        <f t="shared" si="17"/>
        <v>-7.4118995867808748E-2</v>
      </c>
      <c r="T37">
        <f t="shared" si="18"/>
        <v>2.3610286961537844E-2</v>
      </c>
      <c r="W37" s="23">
        <f t="shared" si="19"/>
        <v>-0.19647801175500923</v>
      </c>
      <c r="X37" s="88">
        <v>0.1</v>
      </c>
      <c r="Y37" s="88">
        <v>0.8</v>
      </c>
      <c r="Z37" s="88">
        <f t="shared" si="6"/>
        <v>9.999999999999995E-2</v>
      </c>
      <c r="AA37" s="6">
        <f t="shared" si="20"/>
        <v>-2.2554138353822636E-2</v>
      </c>
      <c r="AB37" s="22">
        <f t="shared" si="21"/>
        <v>1.3294352431715386E-2</v>
      </c>
      <c r="AC37" s="6">
        <f t="shared" si="22"/>
        <v>0.1153011380330454</v>
      </c>
    </row>
    <row r="38" spans="1:41" x14ac:dyDescent="0.25">
      <c r="A38" s="93">
        <v>41276</v>
      </c>
      <c r="B38">
        <v>61.125667999999997</v>
      </c>
      <c r="C38">
        <v>51.918255000000002</v>
      </c>
      <c r="D38">
        <v>62.904910999999998</v>
      </c>
      <c r="E38">
        <v>8.1474930000000008</v>
      </c>
      <c r="F38">
        <v>15.384593000000001</v>
      </c>
      <c r="G38">
        <v>1.6</v>
      </c>
      <c r="I38" s="2">
        <v>41276</v>
      </c>
      <c r="J38">
        <f t="shared" si="23"/>
        <v>-0.14408927676495295</v>
      </c>
      <c r="K38">
        <f t="shared" si="11"/>
        <v>8.2145030274712511E-2</v>
      </c>
      <c r="L38">
        <f t="shared" si="12"/>
        <v>8.1972506524567459E-2</v>
      </c>
      <c r="M38">
        <f t="shared" si="13"/>
        <v>-0.15329231097306045</v>
      </c>
      <c r="N38">
        <f t="shared" si="14"/>
        <v>-4.997081909872849E-2</v>
      </c>
      <c r="O38">
        <f t="shared" si="15"/>
        <v>0.1764705882352941</v>
      </c>
      <c r="P38" s="90">
        <v>37</v>
      </c>
      <c r="R38">
        <f t="shared" si="16"/>
        <v>-0.14408927676495295</v>
      </c>
      <c r="S38">
        <f t="shared" si="17"/>
        <v>-0.15329231097306045</v>
      </c>
      <c r="T38">
        <f t="shared" si="18"/>
        <v>8.1972506524567459E-2</v>
      </c>
      <c r="W38" s="23">
        <f t="shared" si="19"/>
        <v>0.40283035731767419</v>
      </c>
      <c r="X38" s="88">
        <v>0.2</v>
      </c>
      <c r="Y38" s="88">
        <v>0.1</v>
      </c>
      <c r="Z38" s="88">
        <f t="shared" si="6"/>
        <v>0.7</v>
      </c>
      <c r="AA38" s="6">
        <f t="shared" si="20"/>
        <v>1.6453314638427037E-2</v>
      </c>
      <c r="AB38" s="22">
        <f t="shared" si="21"/>
        <v>1.6480379274561173E-3</v>
      </c>
      <c r="AC38" s="6">
        <f t="shared" si="22"/>
        <v>4.0596033395593187E-2</v>
      </c>
    </row>
    <row r="39" spans="1:41" ht="15.75" thickBot="1" x14ac:dyDescent="0.3">
      <c r="A39" s="93">
        <v>41246</v>
      </c>
      <c r="B39">
        <v>71.415938999999995</v>
      </c>
      <c r="C39">
        <v>47.977169000000004</v>
      </c>
      <c r="D39">
        <v>58.139102999999999</v>
      </c>
      <c r="E39">
        <v>9.6225570000000005</v>
      </c>
      <c r="F39">
        <v>16.193811</v>
      </c>
      <c r="G39">
        <v>1.36</v>
      </c>
      <c r="W39" s="23">
        <f t="shared" si="19"/>
        <v>0.23780714582952098</v>
      </c>
      <c r="X39" s="88">
        <v>0.2</v>
      </c>
      <c r="Y39" s="88">
        <v>0.2</v>
      </c>
      <c r="Z39" s="88">
        <f t="shared" si="6"/>
        <v>0.60000000000000009</v>
      </c>
      <c r="AA39" s="6">
        <f t="shared" si="20"/>
        <v>1.0733909664198578E-2</v>
      </c>
      <c r="AB39" s="22">
        <f t="shared" si="21"/>
        <v>1.9995677895441096E-3</v>
      </c>
      <c r="AC39" s="6">
        <f t="shared" si="22"/>
        <v>4.4716527029098646E-2</v>
      </c>
    </row>
    <row r="40" spans="1:41" ht="15.75" thickBot="1" x14ac:dyDescent="0.3">
      <c r="A40" s="91"/>
      <c r="Q40" s="95" t="s">
        <v>20</v>
      </c>
      <c r="R40" s="96"/>
      <c r="S40" s="96"/>
      <c r="T40" s="97"/>
      <c r="W40" s="23">
        <f t="shared" si="19"/>
        <v>9.2544761261667607E-2</v>
      </c>
      <c r="X40" s="88">
        <v>0.2</v>
      </c>
      <c r="Y40" s="88">
        <v>0.3</v>
      </c>
      <c r="Z40" s="88">
        <f t="shared" si="6"/>
        <v>0.49999999999999994</v>
      </c>
      <c r="AA40" s="6">
        <f t="shared" si="20"/>
        <v>5.0145046899701118E-3</v>
      </c>
      <c r="AB40" s="22">
        <f t="shared" si="21"/>
        <v>2.8200436389776771E-3</v>
      </c>
      <c r="AC40" s="6">
        <f t="shared" si="22"/>
        <v>5.3104083072563049E-2</v>
      </c>
    </row>
    <row r="41" spans="1:41" ht="15.75" thickBot="1" x14ac:dyDescent="0.3">
      <c r="A41" s="91"/>
      <c r="W41" s="23">
        <f t="shared" si="19"/>
        <v>-1.2555945231396382E-2</v>
      </c>
      <c r="X41" s="88">
        <v>0.2</v>
      </c>
      <c r="Y41" s="88">
        <v>0.4</v>
      </c>
      <c r="Z41" s="88">
        <f t="shared" si="6"/>
        <v>0.39999999999999997</v>
      </c>
      <c r="AA41" s="6">
        <f t="shared" si="20"/>
        <v>-7.0490028425835086E-4</v>
      </c>
      <c r="AB41" s="22">
        <f t="shared" si="21"/>
        <v>4.1094654757568242E-3</v>
      </c>
      <c r="AC41" s="6">
        <f t="shared" si="22"/>
        <v>6.4105112711521098E-2</v>
      </c>
    </row>
    <row r="42" spans="1:41" x14ac:dyDescent="0.25">
      <c r="A42" s="91"/>
      <c r="Q42" s="35" t="s">
        <v>10</v>
      </c>
      <c r="R42" s="40">
        <f>AVERAGE(R3:R38)</f>
        <v>1.3945664993858979E-2</v>
      </c>
      <c r="S42" s="41">
        <f>AVERAGE(S3:S38)</f>
        <v>-3.2964566474929992E-2</v>
      </c>
      <c r="T42" s="42">
        <f>AVERAGE(T3:T38)</f>
        <v>2.4229483267354631E-2</v>
      </c>
      <c r="W42" s="23">
        <f t="shared" si="19"/>
        <v>-8.5171714345638194E-2</v>
      </c>
      <c r="X42" s="88">
        <v>0.2</v>
      </c>
      <c r="Y42" s="88">
        <v>0.5</v>
      </c>
      <c r="Z42" s="88">
        <f t="shared" si="6"/>
        <v>0.3</v>
      </c>
      <c r="AA42" s="6">
        <f t="shared" si="20"/>
        <v>-6.4243052584868109E-3</v>
      </c>
      <c r="AB42" s="22">
        <f t="shared" si="21"/>
        <v>5.8678332998815495E-3</v>
      </c>
      <c r="AC42" s="6">
        <f t="shared" si="22"/>
        <v>7.6601783921012898E-2</v>
      </c>
      <c r="AO42" t="s">
        <v>32</v>
      </c>
    </row>
    <row r="43" spans="1:41" x14ac:dyDescent="0.25">
      <c r="A43" s="91"/>
      <c r="Q43" s="36" t="s">
        <v>11</v>
      </c>
      <c r="R43" s="43">
        <f>_xlfn.VAR.S(R3:R38)</f>
        <v>4.8659252841197487E-3</v>
      </c>
      <c r="S43" s="39">
        <f>_xlfn.VAR.S(S3:S38)</f>
        <v>2.009062208412243E-2</v>
      </c>
      <c r="T43" s="44">
        <f>_xlfn.VAR.S(T3:T38)</f>
        <v>2.1212877408203932E-3</v>
      </c>
      <c r="W43" s="23">
        <f t="shared" si="19"/>
        <v>-0.13608199577806104</v>
      </c>
      <c r="X43" s="88">
        <v>0.2</v>
      </c>
      <c r="Y43" s="88">
        <v>0.6</v>
      </c>
      <c r="Z43" s="88">
        <f t="shared" si="6"/>
        <v>0.2</v>
      </c>
      <c r="AA43" s="6">
        <f t="shared" si="20"/>
        <v>-1.2143710232715273E-2</v>
      </c>
      <c r="AB43" s="22">
        <f t="shared" si="21"/>
        <v>8.0951471113518483E-3</v>
      </c>
      <c r="AC43" s="6">
        <f t="shared" si="22"/>
        <v>8.9973035468143725E-2</v>
      </c>
    </row>
    <row r="44" spans="1:41" x14ac:dyDescent="0.25">
      <c r="A44" s="91"/>
      <c r="Q44" s="36" t="s">
        <v>12</v>
      </c>
      <c r="R44" s="45">
        <f>_xlfn.STDEV.S(R3:R38)</f>
        <v>6.9756184558214973E-2</v>
      </c>
      <c r="S44" s="38">
        <f>_xlfn.STDEV.S(S3:S38)</f>
        <v>0.14174139156972612</v>
      </c>
      <c r="T44" s="46">
        <f>_xlfn.STDEV.S(T3:T38)</f>
        <v>4.6057439581683145E-2</v>
      </c>
      <c r="W44" s="23">
        <f t="shared" si="19"/>
        <v>-0.17291896240463719</v>
      </c>
      <c r="X44" s="88">
        <v>0.2</v>
      </c>
      <c r="Y44" s="88">
        <v>0.7</v>
      </c>
      <c r="Z44" s="88">
        <f t="shared" si="6"/>
        <v>0.10000000000000003</v>
      </c>
      <c r="AA44" s="6">
        <f t="shared" si="20"/>
        <v>-1.7863115206943735E-2</v>
      </c>
      <c r="AB44" s="22">
        <f t="shared" si="21"/>
        <v>1.0791406910167729E-2</v>
      </c>
      <c r="AC44" s="6">
        <f t="shared" si="22"/>
        <v>0.10388169670431711</v>
      </c>
    </row>
    <row r="45" spans="1:41" x14ac:dyDescent="0.25">
      <c r="A45" s="91"/>
      <c r="Q45" s="36" t="s">
        <v>14</v>
      </c>
      <c r="R45" s="43">
        <f>_xlfn.COVARIANCE.S(R3:R38,S3:S38)</f>
        <v>2.8249298472688721E-3</v>
      </c>
      <c r="S45" s="39">
        <f>_xlfn.COVARIANCE.S(S3:S38,T3:T38)</f>
        <v>-6.1769477116802485E-4</v>
      </c>
      <c r="T45" s="44">
        <f>_xlfn.COVARIANCE.S(R3:R38,T3:T38)</f>
        <v>6.6622777257456837E-4</v>
      </c>
      <c r="W45" s="23">
        <f t="shared" si="19"/>
        <v>0.36762834726162191</v>
      </c>
      <c r="X45" s="87">
        <v>0.3</v>
      </c>
      <c r="Y45" s="87">
        <v>0.1</v>
      </c>
      <c r="Z45" s="87">
        <f t="shared" si="6"/>
        <v>0.60000000000000009</v>
      </c>
      <c r="AA45" s="6">
        <f t="shared" si="20"/>
        <v>1.5424932811077475E-2</v>
      </c>
      <c r="AB45" s="22">
        <f t="shared" si="21"/>
        <v>1.7377174995301572E-3</v>
      </c>
      <c r="AC45" s="6">
        <f t="shared" si="22"/>
        <v>4.1685938870681047E-2</v>
      </c>
    </row>
    <row r="46" spans="1:41" ht="15.75" thickBot="1" x14ac:dyDescent="0.3">
      <c r="A46" s="91"/>
      <c r="Q46" s="37" t="s">
        <v>13</v>
      </c>
      <c r="R46" s="47">
        <f>CORREL(R3:R38,S3:S38)</f>
        <v>0.28571185245991892</v>
      </c>
      <c r="S46" s="48">
        <f>CORREL(S3:S38,T3:T38)</f>
        <v>-9.4618801291330865E-2</v>
      </c>
      <c r="T46" s="49">
        <f>CORREL(R3:R38,T3:T38)</f>
        <v>0.20736727647168013</v>
      </c>
      <c r="W46" s="23">
        <f t="shared" si="19"/>
        <v>6.9733526548072272E-2</v>
      </c>
      <c r="X46" s="87">
        <v>0.3</v>
      </c>
      <c r="Y46" s="87">
        <v>0.3</v>
      </c>
      <c r="Z46" s="87">
        <f t="shared" si="6"/>
        <v>0.39999999999999997</v>
      </c>
      <c r="AA46" s="6">
        <f t="shared" si="20"/>
        <v>3.986122862620547E-3</v>
      </c>
      <c r="AB46" s="22">
        <f t="shared" si="21"/>
        <v>3.1056305945190263E-3</v>
      </c>
      <c r="AC46" s="6">
        <f t="shared" si="22"/>
        <v>5.5728184920370648E-2</v>
      </c>
    </row>
    <row r="47" spans="1:41" ht="15.75" thickBot="1" x14ac:dyDescent="0.3">
      <c r="A47" s="91"/>
      <c r="W47" s="23">
        <f t="shared" si="19"/>
        <v>-9.4784565328205547E-2</v>
      </c>
      <c r="X47" s="87">
        <v>0.3</v>
      </c>
      <c r="Y47" s="87">
        <v>0.5</v>
      </c>
      <c r="Z47" s="87">
        <f t="shared" si="6"/>
        <v>0.2</v>
      </c>
      <c r="AA47" s="6">
        <f t="shared" si="20"/>
        <v>-7.4526870858363748E-3</v>
      </c>
      <c r="AB47" s="22">
        <f t="shared" si="21"/>
        <v>6.3493276388902056E-3</v>
      </c>
      <c r="AC47" s="6">
        <f t="shared" si="22"/>
        <v>7.968266837205068E-2</v>
      </c>
    </row>
    <row r="48" spans="1:41" ht="15.75" thickBot="1" x14ac:dyDescent="0.3">
      <c r="A48" s="91"/>
      <c r="Q48" s="32" t="s">
        <v>21</v>
      </c>
      <c r="R48" s="27">
        <v>1E-4</v>
      </c>
      <c r="W48" s="23">
        <f t="shared" si="19"/>
        <v>0.2053888587483487</v>
      </c>
      <c r="X48" s="88">
        <v>0.3</v>
      </c>
      <c r="Y48" s="88">
        <v>0.2</v>
      </c>
      <c r="Z48" s="88">
        <f t="shared" si="6"/>
        <v>0.5</v>
      </c>
      <c r="AA48" s="6">
        <f t="shared" si="20"/>
        <v>9.7055278368490105E-3</v>
      </c>
      <c r="AB48" s="22">
        <f t="shared" si="21"/>
        <v>2.1872010533518036E-3</v>
      </c>
      <c r="AC48" s="6">
        <f t="shared" si="22"/>
        <v>4.6767521351380209E-2</v>
      </c>
    </row>
    <row r="49" spans="1:29" x14ac:dyDescent="0.25">
      <c r="A49" s="91"/>
      <c r="W49" s="23">
        <f t="shared" si="19"/>
        <v>-2.7350218205728069E-2</v>
      </c>
      <c r="X49" s="88">
        <v>0.3</v>
      </c>
      <c r="Y49" s="88">
        <v>0.4</v>
      </c>
      <c r="Z49" s="88">
        <f t="shared" si="6"/>
        <v>0.3</v>
      </c>
      <c r="AA49" s="6">
        <f t="shared" si="20"/>
        <v>-1.7332821116079157E-3</v>
      </c>
      <c r="AB49" s="22">
        <f t="shared" si="21"/>
        <v>4.4930061230318277E-3</v>
      </c>
      <c r="AC49" s="6">
        <f t="shared" si="22"/>
        <v>6.7029889773382645E-2</v>
      </c>
    </row>
    <row r="50" spans="1:29" x14ac:dyDescent="0.25">
      <c r="A50" s="91"/>
      <c r="W50" s="23">
        <f t="shared" si="19"/>
        <v>-0.14249997170470285</v>
      </c>
      <c r="X50" s="88">
        <v>0.3</v>
      </c>
      <c r="Y50" s="88">
        <v>0.6</v>
      </c>
      <c r="Z50" s="88">
        <f t="shared" si="6"/>
        <v>0.10000000000000003</v>
      </c>
      <c r="AA50" s="6">
        <f t="shared" si="20"/>
        <v>-1.3172092060064837E-2</v>
      </c>
      <c r="AB50" s="22">
        <f t="shared" si="21"/>
        <v>8.6745951420941613E-3</v>
      </c>
      <c r="AC50" s="6">
        <f t="shared" si="22"/>
        <v>9.3137506634514117E-2</v>
      </c>
    </row>
    <row r="51" spans="1:29" x14ac:dyDescent="0.25">
      <c r="A51" s="91"/>
      <c r="W51" s="23">
        <f t="shared" si="19"/>
        <v>0.27932293855909168</v>
      </c>
      <c r="X51" s="87">
        <v>0.5</v>
      </c>
      <c r="Y51" s="87">
        <v>0.1</v>
      </c>
      <c r="Z51" s="87">
        <f t="shared" si="6"/>
        <v>0.4</v>
      </c>
      <c r="AA51" s="6">
        <f t="shared" si="20"/>
        <v>1.3368169156378343E-2</v>
      </c>
      <c r="AB51" s="22">
        <f t="shared" si="21"/>
        <v>2.2563620924656975E-3</v>
      </c>
      <c r="AC51" s="6">
        <f t="shared" si="22"/>
        <v>4.7501179906037042E-2</v>
      </c>
    </row>
    <row r="52" spans="1:29" x14ac:dyDescent="0.25">
      <c r="A52" s="91"/>
      <c r="W52" s="23">
        <f t="shared" si="19"/>
        <v>0.14013468294247003</v>
      </c>
      <c r="X52" s="87">
        <v>0.5</v>
      </c>
      <c r="Y52" s="87">
        <v>0.2</v>
      </c>
      <c r="Z52" s="87">
        <f t="shared" si="6"/>
        <v>0.30000000000000004</v>
      </c>
      <c r="AA52" s="6">
        <f t="shared" si="20"/>
        <v>7.6487641821498809E-3</v>
      </c>
      <c r="AB52" s="22">
        <f t="shared" si="21"/>
        <v>2.9017530297546523E-3</v>
      </c>
      <c r="AC52" s="6">
        <f t="shared" si="22"/>
        <v>5.3867922084990916E-2</v>
      </c>
    </row>
    <row r="53" spans="1:29" x14ac:dyDescent="0.25">
      <c r="A53" s="91"/>
      <c r="W53" s="23">
        <f t="shared" si="19"/>
        <v>2.8866709041469523E-2</v>
      </c>
      <c r="X53" s="87">
        <v>0.5</v>
      </c>
      <c r="Y53" s="87">
        <v>0.3</v>
      </c>
      <c r="Z53" s="87">
        <f t="shared" si="6"/>
        <v>0.19999999999999996</v>
      </c>
      <c r="AA53" s="6">
        <f t="shared" si="20"/>
        <v>1.9293592079214173E-3</v>
      </c>
      <c r="AB53" s="22">
        <f t="shared" si="21"/>
        <v>4.0160899543891836E-3</v>
      </c>
      <c r="AC53" s="6">
        <f t="shared" si="22"/>
        <v>6.3372627800882486E-2</v>
      </c>
    </row>
    <row r="54" spans="1:29" x14ac:dyDescent="0.25">
      <c r="A54" s="91"/>
      <c r="W54" s="23">
        <f t="shared" si="19"/>
        <v>-5.1985834110121532E-2</v>
      </c>
      <c r="X54" s="88">
        <v>0.5</v>
      </c>
      <c r="Y54" s="88">
        <v>0.4</v>
      </c>
      <c r="Z54" s="88">
        <f t="shared" si="6"/>
        <v>9.9999999999999978E-2</v>
      </c>
      <c r="AA54" s="6">
        <f t="shared" si="20"/>
        <v>-3.7900457663070453E-3</v>
      </c>
      <c r="AB54" s="22">
        <f t="shared" si="21"/>
        <v>5.599372866369294E-3</v>
      </c>
      <c r="AC54" s="6">
        <f t="shared" si="22"/>
        <v>7.4828957405334032E-2</v>
      </c>
    </row>
    <row r="55" spans="1:29" x14ac:dyDescent="0.25">
      <c r="A55" s="91"/>
      <c r="W55" s="23">
        <f t="shared" si="19"/>
        <v>0.19734881317304528</v>
      </c>
      <c r="X55" s="88">
        <v>0.7</v>
      </c>
      <c r="Y55" s="88">
        <v>0.1</v>
      </c>
      <c r="Z55" s="88">
        <f t="shared" si="6"/>
        <v>0.20000000000000007</v>
      </c>
      <c r="AA55" s="6">
        <f t="shared" si="20"/>
        <v>1.1311405501679212E-2</v>
      </c>
      <c r="AB55" s="22">
        <f t="shared" si="21"/>
        <v>3.2273872837845167E-3</v>
      </c>
      <c r="AC55" s="6">
        <f t="shared" si="22"/>
        <v>5.6810098431392606E-2</v>
      </c>
    </row>
    <row r="56" spans="1:29" x14ac:dyDescent="0.25">
      <c r="A56" s="91"/>
      <c r="W56" s="23">
        <f t="shared" si="19"/>
        <v>8.6100069913114197E-2</v>
      </c>
      <c r="X56" s="88">
        <v>0.7</v>
      </c>
      <c r="Y56" s="88">
        <v>0.2</v>
      </c>
      <c r="Z56" s="88">
        <f t="shared" si="6"/>
        <v>0.10000000000000009</v>
      </c>
      <c r="AA56" s="6">
        <f t="shared" si="20"/>
        <v>5.5920005274507512E-3</v>
      </c>
      <c r="AB56" s="22">
        <f t="shared" si="21"/>
        <v>4.068685604540781E-3</v>
      </c>
      <c r="AC56" s="6">
        <f t="shared" si="22"/>
        <v>6.3786249337461284E-2</v>
      </c>
    </row>
    <row r="57" spans="1:29" x14ac:dyDescent="0.25">
      <c r="A57" s="91"/>
      <c r="W57" s="23">
        <f t="shared" si="19"/>
        <v>0.16342505449020578</v>
      </c>
      <c r="X57" s="87">
        <v>0.8</v>
      </c>
      <c r="Y57" s="87">
        <v>0.1</v>
      </c>
      <c r="Z57" s="87">
        <f t="shared" si="6"/>
        <v>9.9999999999999978E-2</v>
      </c>
      <c r="AA57" s="6">
        <f t="shared" si="20"/>
        <v>1.0283023674329646E-2</v>
      </c>
      <c r="AB57" s="22">
        <f t="shared" si="21"/>
        <v>3.8825426038376584E-3</v>
      </c>
      <c r="AC57" s="6">
        <f t="shared" si="22"/>
        <v>6.2310052189335052E-2</v>
      </c>
    </row>
    <row r="58" spans="1:29" x14ac:dyDescent="0.25">
      <c r="A58" s="91"/>
      <c r="W58" s="23">
        <f t="shared" si="19"/>
        <v>0.52389979743795456</v>
      </c>
      <c r="X58" s="87">
        <v>0</v>
      </c>
      <c r="Y58" s="87">
        <v>0</v>
      </c>
      <c r="Z58" s="87">
        <f t="shared" si="6"/>
        <v>1</v>
      </c>
      <c r="AA58" s="6">
        <f t="shared" si="20"/>
        <v>2.4229483267354631E-2</v>
      </c>
      <c r="AB58" s="22">
        <f t="shared" si="21"/>
        <v>2.1212877408203932E-3</v>
      </c>
      <c r="AC58" s="6">
        <f t="shared" si="22"/>
        <v>4.6057439581683145E-2</v>
      </c>
    </row>
    <row r="59" spans="1:29" x14ac:dyDescent="0.25">
      <c r="A59" s="91"/>
      <c r="W59" s="23">
        <f t="shared" si="19"/>
        <v>-0.23327389486411745</v>
      </c>
      <c r="X59" s="87">
        <v>0</v>
      </c>
      <c r="Y59" s="87">
        <v>1</v>
      </c>
      <c r="Z59" s="87">
        <f t="shared" si="6"/>
        <v>0</v>
      </c>
      <c r="AA59" s="6">
        <f t="shared" si="20"/>
        <v>-3.2964566474929992E-2</v>
      </c>
      <c r="AB59" s="22">
        <f t="shared" si="21"/>
        <v>2.009062208412243E-2</v>
      </c>
      <c r="AC59" s="6">
        <f t="shared" si="22"/>
        <v>0.14174139156972612</v>
      </c>
    </row>
    <row r="60" spans="1:29" x14ac:dyDescent="0.25">
      <c r="A60" s="91"/>
      <c r="W60" s="23">
        <f t="shared" si="19"/>
        <v>0.19848655831088483</v>
      </c>
      <c r="X60" s="87">
        <v>1</v>
      </c>
      <c r="Y60" s="87">
        <v>0</v>
      </c>
      <c r="Z60" s="87">
        <f t="shared" si="6"/>
        <v>0</v>
      </c>
      <c r="AA60" s="6">
        <f t="shared" si="20"/>
        <v>1.3945664993858979E-2</v>
      </c>
      <c r="AB60" s="22">
        <f t="shared" si="21"/>
        <v>4.8659252841197487E-3</v>
      </c>
      <c r="AC60" s="6">
        <f t="shared" si="22"/>
        <v>6.9756184558214973E-2</v>
      </c>
    </row>
    <row r="61" spans="1:29" x14ac:dyDescent="0.25">
      <c r="A61" s="91"/>
      <c r="W61" s="23">
        <f t="shared" si="19"/>
        <v>2.3240278197383953E-2</v>
      </c>
      <c r="X61" s="88">
        <v>0.1</v>
      </c>
      <c r="Y61" s="88">
        <v>0.1</v>
      </c>
      <c r="Z61" s="88">
        <v>0.1</v>
      </c>
      <c r="AA61" s="6">
        <f t="shared" si="20"/>
        <v>5.2105817862836169E-4</v>
      </c>
      <c r="AB61" s="22">
        <f t="shared" si="21"/>
        <v>3.2824760806413408E-4</v>
      </c>
      <c r="AC61" s="6">
        <f t="shared" si="22"/>
        <v>1.8117604920743085E-2</v>
      </c>
    </row>
    <row r="62" spans="1:29" x14ac:dyDescent="0.25">
      <c r="A62" s="91"/>
      <c r="W62" s="23">
        <f t="shared" si="19"/>
        <v>2.6000024875751704E-2</v>
      </c>
      <c r="X62" s="88">
        <v>0.2</v>
      </c>
      <c r="Y62" s="88">
        <v>0.2</v>
      </c>
      <c r="Z62" s="1">
        <v>0.2</v>
      </c>
      <c r="AA62" s="6">
        <f t="shared" si="20"/>
        <v>1.0421163572567234E-3</v>
      </c>
      <c r="AB62" s="22">
        <f t="shared" si="21"/>
        <v>1.3129904322565363E-3</v>
      </c>
      <c r="AC62" s="6">
        <f t="shared" si="22"/>
        <v>3.623520984148617E-2</v>
      </c>
    </row>
    <row r="63" spans="1:29" x14ac:dyDescent="0.25">
      <c r="A63" s="91"/>
      <c r="W63" s="23">
        <f t="shared" si="19"/>
        <v>2.6919940435207627E-2</v>
      </c>
      <c r="X63" s="88">
        <v>0.3</v>
      </c>
      <c r="Y63" s="88">
        <v>0.3</v>
      </c>
      <c r="Z63" s="1">
        <v>0.3</v>
      </c>
      <c r="AA63" s="6">
        <f t="shared" si="20"/>
        <v>1.5631745358850851E-3</v>
      </c>
      <c r="AB63" s="22">
        <f t="shared" si="21"/>
        <v>2.9542284725772054E-3</v>
      </c>
      <c r="AC63" s="6">
        <f t="shared" si="22"/>
        <v>5.4352814762229244E-2</v>
      </c>
    </row>
    <row r="64" spans="1:29" x14ac:dyDescent="0.25">
      <c r="A64" s="91"/>
      <c r="W64" s="23">
        <f t="shared" si="19"/>
        <v>0.14651442737245296</v>
      </c>
      <c r="X64" s="88">
        <v>0.25</v>
      </c>
      <c r="Y64" s="88">
        <v>0.25</v>
      </c>
      <c r="Z64" s="88">
        <v>0.5</v>
      </c>
      <c r="AA64" s="6">
        <f t="shared" si="20"/>
        <v>7.360016263409562E-3</v>
      </c>
      <c r="AB64" s="22">
        <f t="shared" si="21"/>
        <v>2.4553556269804795E-3</v>
      </c>
      <c r="AC64" s="6">
        <f t="shared" si="22"/>
        <v>4.9551545152300543E-2</v>
      </c>
    </row>
    <row r="65" spans="1:29" x14ac:dyDescent="0.25">
      <c r="A65" s="91"/>
      <c r="W65" s="23">
        <f t="shared" si="19"/>
        <v>8.041315871734224E-2</v>
      </c>
      <c r="X65" s="88">
        <v>0.5</v>
      </c>
      <c r="Y65" s="88">
        <v>0.25</v>
      </c>
      <c r="Z65" s="88">
        <v>0.25</v>
      </c>
      <c r="AA65" s="6">
        <f t="shared" si="20"/>
        <v>4.7890616950356495E-3</v>
      </c>
      <c r="AB65" s="22">
        <f t="shared" si="21"/>
        <v>3.4003032436537208E-3</v>
      </c>
      <c r="AC65" s="6">
        <f t="shared" si="22"/>
        <v>5.8312119183354334E-2</v>
      </c>
    </row>
    <row r="66" spans="1:29" x14ac:dyDescent="0.25">
      <c r="A66" s="91"/>
      <c r="W66" s="23">
        <f t="shared" si="19"/>
        <v>-9.0159781072351355E-2</v>
      </c>
      <c r="X66" s="88">
        <v>0.25</v>
      </c>
      <c r="Y66" s="88">
        <v>0.5</v>
      </c>
      <c r="Z66" s="88">
        <v>0.25</v>
      </c>
      <c r="AA66" s="6">
        <f t="shared" si="20"/>
        <v>-6.9384961721615937E-3</v>
      </c>
      <c r="AB66" s="22">
        <f t="shared" si="21"/>
        <v>6.0944435756863993E-3</v>
      </c>
      <c r="AC66" s="6">
        <f t="shared" si="22"/>
        <v>7.8066917293347762E-2</v>
      </c>
    </row>
    <row r="67" spans="1:29" x14ac:dyDescent="0.25">
      <c r="A67" s="91"/>
      <c r="W67" s="23">
        <f t="shared" si="19"/>
        <v>5.8779483250109787E-2</v>
      </c>
      <c r="X67" s="88">
        <v>0.35</v>
      </c>
      <c r="Y67" s="88">
        <v>0.3</v>
      </c>
      <c r="Z67" s="88">
        <v>0.35</v>
      </c>
      <c r="AA67" s="6">
        <f t="shared" si="20"/>
        <v>3.4719319489457641E-3</v>
      </c>
      <c r="AB67" s="22">
        <f t="shared" si="21"/>
        <v>3.2908347533881326E-3</v>
      </c>
      <c r="AC67" s="6">
        <f t="shared" si="22"/>
        <v>5.7365797766510074E-2</v>
      </c>
    </row>
    <row r="68" spans="1:29" x14ac:dyDescent="0.25">
      <c r="A68" s="91"/>
      <c r="W68" s="23">
        <f t="shared" si="19"/>
        <v>8.1497524938340133E-3</v>
      </c>
      <c r="X68" s="88">
        <v>0.35</v>
      </c>
      <c r="Y68" s="88">
        <v>0.35</v>
      </c>
      <c r="Z68" s="88">
        <v>0.3</v>
      </c>
      <c r="AA68" s="6">
        <f t="shared" si="20"/>
        <v>6.1222946183153541E-4</v>
      </c>
      <c r="AB68" s="22">
        <f t="shared" si="21"/>
        <v>3.9503926921597493E-3</v>
      </c>
      <c r="AC68" s="6">
        <f t="shared" si="22"/>
        <v>6.2852149463321849E-2</v>
      </c>
    </row>
    <row r="69" spans="1:29" x14ac:dyDescent="0.25">
      <c r="A69" s="91"/>
      <c r="W69" s="23">
        <f t="shared" si="19"/>
        <v>1.6782197139293603E-2</v>
      </c>
      <c r="X69" s="88">
        <v>0.3</v>
      </c>
      <c r="Y69" s="88">
        <v>0.35</v>
      </c>
      <c r="Z69" s="88">
        <v>0.35</v>
      </c>
      <c r="AA69" s="6">
        <f t="shared" si="20"/>
        <v>1.1264203755063174E-3</v>
      </c>
      <c r="AB69" s="22">
        <f t="shared" si="21"/>
        <v>3.7407001103572294E-3</v>
      </c>
      <c r="AC69" s="6">
        <f t="shared" si="22"/>
        <v>6.1161263152073875E-2</v>
      </c>
    </row>
    <row r="70" spans="1:29" x14ac:dyDescent="0.25">
      <c r="A70" s="91"/>
      <c r="W70" s="23">
        <f t="shared" si="19"/>
        <v>0.33597872248668337</v>
      </c>
      <c r="X70" s="88">
        <v>0.15</v>
      </c>
      <c r="Y70" s="88">
        <v>0.15</v>
      </c>
      <c r="Z70" s="88">
        <v>0.7</v>
      </c>
      <c r="AA70" s="6">
        <f t="shared" si="20"/>
        <v>1.4107803064987587E-2</v>
      </c>
      <c r="AB70" s="22">
        <f t="shared" si="21"/>
        <v>1.7382670822099146E-3</v>
      </c>
      <c r="AC70" s="6">
        <f t="shared" si="22"/>
        <v>4.1692530292726473E-2</v>
      </c>
    </row>
    <row r="71" spans="1:29" x14ac:dyDescent="0.25">
      <c r="A71" s="91"/>
      <c r="W71" s="23">
        <f t="shared" si="19"/>
        <v>-0.17032367601244464</v>
      </c>
      <c r="X71" s="88">
        <v>0.15</v>
      </c>
      <c r="Y71" s="88">
        <v>0.7</v>
      </c>
      <c r="Z71" s="88">
        <v>0.15</v>
      </c>
      <c r="AA71" s="6">
        <f t="shared" si="20"/>
        <v>-1.7348924293268949E-2</v>
      </c>
      <c r="AB71" s="22">
        <f t="shared" si="21"/>
        <v>1.0495116730028176E-2</v>
      </c>
      <c r="AC71" s="6">
        <f t="shared" si="22"/>
        <v>0.10244567697091067</v>
      </c>
    </row>
    <row r="72" spans="1:29" x14ac:dyDescent="0.25">
      <c r="A72" s="91"/>
      <c r="W72" s="23">
        <f t="shared" si="19"/>
        <v>0.13940007661730131</v>
      </c>
      <c r="X72" s="88">
        <v>0.7</v>
      </c>
      <c r="Y72" s="88">
        <v>0.15</v>
      </c>
      <c r="Z72" s="88">
        <v>0.15</v>
      </c>
      <c r="AA72" s="6">
        <f t="shared" si="20"/>
        <v>8.4517030145649808E-3</v>
      </c>
      <c r="AB72" s="22">
        <f t="shared" si="21"/>
        <v>3.5894181957444515E-3</v>
      </c>
      <c r="AC72" s="6">
        <f t="shared" si="22"/>
        <v>5.9911753402353794E-2</v>
      </c>
    </row>
    <row r="73" spans="1:29" x14ac:dyDescent="0.25">
      <c r="A73" s="91"/>
    </row>
    <row r="74" spans="1:29" x14ac:dyDescent="0.25">
      <c r="A74" s="91"/>
      <c r="V74" s="29" t="s">
        <v>22</v>
      </c>
      <c r="W74" s="24">
        <f>MAX(W3:W72)</f>
        <v>0.53182294340295</v>
      </c>
      <c r="X74" s="25">
        <f>VLOOKUP($W$74,Opportunity_Set3,2,FALSE)</f>
        <v>0.1</v>
      </c>
      <c r="Y74" s="25">
        <f>VLOOKUP($W$74,Opportunity_Set3,3,FALSE)</f>
        <v>0</v>
      </c>
      <c r="Z74" s="25">
        <f>VLOOKUP($W$74,Opportunity_Set3,4,FALSE)</f>
        <v>0.9</v>
      </c>
      <c r="AA74" s="26">
        <f>VLOOKUP($W$74,Opportunity_Set3,5,FALSE)</f>
        <v>2.3201101440005065E-2</v>
      </c>
      <c r="AB74" s="25">
        <f>VLOOKUP($W$74,Opportunity_Set3,6,FALSE)</f>
        <v>1.8868233219691386E-3</v>
      </c>
      <c r="AC74" s="26">
        <f>VLOOKUP($W$74,Opportunity_Set3,7,FALSE)</f>
        <v>4.3437579605327209E-2</v>
      </c>
    </row>
    <row r="75" spans="1:29" x14ac:dyDescent="0.25">
      <c r="A75" s="91"/>
      <c r="V75" s="30" t="s">
        <v>23</v>
      </c>
      <c r="W75" s="28"/>
      <c r="X75" s="28"/>
      <c r="Y75" s="28"/>
      <c r="Z75" s="28"/>
      <c r="AA75" s="31">
        <f>R48</f>
        <v>1E-4</v>
      </c>
      <c r="AB75" s="33"/>
      <c r="AC75" s="33">
        <v>0</v>
      </c>
    </row>
    <row r="76" spans="1:29" x14ac:dyDescent="0.25">
      <c r="A76" s="91"/>
    </row>
    <row r="77" spans="1:29" x14ac:dyDescent="0.25">
      <c r="A77" s="91"/>
    </row>
    <row r="78" spans="1:29" x14ac:dyDescent="0.25">
      <c r="A78" s="91"/>
    </row>
    <row r="79" spans="1:29" x14ac:dyDescent="0.25">
      <c r="A79" s="91"/>
    </row>
    <row r="80" spans="1:29" x14ac:dyDescent="0.25">
      <c r="A80" s="91"/>
    </row>
    <row r="81" spans="1:1" x14ac:dyDescent="0.25">
      <c r="A81" s="91"/>
    </row>
    <row r="82" spans="1:1" x14ac:dyDescent="0.25">
      <c r="A82" s="91"/>
    </row>
    <row r="83" spans="1:1" x14ac:dyDescent="0.25">
      <c r="A83" s="91"/>
    </row>
    <row r="84" spans="1:1" x14ac:dyDescent="0.25">
      <c r="A84" s="91"/>
    </row>
    <row r="85" spans="1:1" x14ac:dyDescent="0.25">
      <c r="A85" s="91"/>
    </row>
    <row r="86" spans="1:1" x14ac:dyDescent="0.25">
      <c r="A86" s="91"/>
    </row>
    <row r="87" spans="1:1" x14ac:dyDescent="0.25">
      <c r="A87" s="91"/>
    </row>
    <row r="88" spans="1:1" x14ac:dyDescent="0.25">
      <c r="A88" s="91"/>
    </row>
    <row r="89" spans="1:1" x14ac:dyDescent="0.25">
      <c r="A89" s="91"/>
    </row>
    <row r="90" spans="1:1" x14ac:dyDescent="0.25">
      <c r="A90" s="91"/>
    </row>
    <row r="91" spans="1:1" x14ac:dyDescent="0.25">
      <c r="A91" s="91"/>
    </row>
    <row r="92" spans="1:1" x14ac:dyDescent="0.25">
      <c r="A92" s="91"/>
    </row>
    <row r="93" spans="1:1" x14ac:dyDescent="0.25">
      <c r="A93" s="91"/>
    </row>
    <row r="94" spans="1:1" x14ac:dyDescent="0.25">
      <c r="A94" s="91"/>
    </row>
    <row r="95" spans="1:1" x14ac:dyDescent="0.25">
      <c r="A95" s="91"/>
    </row>
    <row r="96" spans="1:1" x14ac:dyDescent="0.25">
      <c r="A96" s="91"/>
    </row>
  </sheetData>
  <mergeCells count="1">
    <mergeCell ref="Q40:T40"/>
  </mergeCells>
  <dataValidations disablePrompts="1" count="1">
    <dataValidation type="list" allowBlank="1" showInputMessage="1" showErrorMessage="1" sqref="R2:T2">
      <formula1>Companies3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27"/>
  <sheetViews>
    <sheetView tabSelected="1" topLeftCell="P1" workbookViewId="0">
      <selection activeCell="AG31" sqref="AG31"/>
    </sheetView>
  </sheetViews>
  <sheetFormatPr defaultRowHeight="15" x14ac:dyDescent="0.25"/>
  <cols>
    <col min="1" max="1" width="9.7109375" bestFit="1" customWidth="1"/>
    <col min="9" max="9" width="9.7109375" bestFit="1" customWidth="1"/>
    <col min="17" max="17" width="11" bestFit="1" customWidth="1"/>
    <col min="24" max="24" width="16.85546875" customWidth="1"/>
    <col min="25" max="26" width="21.85546875" bestFit="1" customWidth="1"/>
    <col min="28" max="28" width="12.140625" bestFit="1" customWidth="1"/>
    <col min="35" max="35" width="28" bestFit="1" customWidth="1"/>
    <col min="38" max="38" width="16.5703125" bestFit="1" customWidth="1"/>
  </cols>
  <sheetData>
    <row r="1" spans="1:38" ht="15.75" thickBot="1" x14ac:dyDescent="0.3">
      <c r="A1" s="3"/>
      <c r="B1" s="3" t="s">
        <v>7</v>
      </c>
      <c r="C1" s="3"/>
      <c r="D1" s="3"/>
      <c r="E1" s="3"/>
      <c r="F1" s="3"/>
      <c r="G1" s="3"/>
      <c r="I1" s="3"/>
      <c r="J1" s="3" t="s">
        <v>8</v>
      </c>
      <c r="K1" s="3"/>
      <c r="L1" s="3"/>
      <c r="M1" s="3"/>
      <c r="N1" s="3"/>
      <c r="O1" s="3"/>
      <c r="P1" s="5" t="s">
        <v>9</v>
      </c>
      <c r="AA1" s="11" t="s">
        <v>15</v>
      </c>
      <c r="AB1" s="11" t="s">
        <v>15</v>
      </c>
      <c r="AC1" s="11" t="s">
        <v>15</v>
      </c>
      <c r="AD1" s="11" t="s">
        <v>15</v>
      </c>
    </row>
    <row r="2" spans="1:38" ht="15.7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I2" s="4" t="s">
        <v>0</v>
      </c>
      <c r="J2" s="4" t="str">
        <f>B2</f>
        <v>TSLA</v>
      </c>
      <c r="K2" s="4" t="str">
        <f t="shared" ref="K2:O2" si="0">C2</f>
        <v>TGT</v>
      </c>
      <c r="L2" s="4" t="str">
        <f t="shared" si="0"/>
        <v>F</v>
      </c>
      <c r="M2" s="4" t="str">
        <f t="shared" si="0"/>
        <v>HPQ</v>
      </c>
      <c r="N2" s="4" t="str">
        <f t="shared" si="0"/>
        <v>WMT</v>
      </c>
      <c r="O2" s="4" t="str">
        <f t="shared" si="0"/>
        <v>AAPL</v>
      </c>
      <c r="P2" s="5">
        <v>1</v>
      </c>
      <c r="R2" s="4" t="s">
        <v>5</v>
      </c>
      <c r="S2" s="4" t="s">
        <v>2</v>
      </c>
      <c r="T2" s="4" t="s">
        <v>6</v>
      </c>
      <c r="U2" s="4" t="s">
        <v>1</v>
      </c>
      <c r="Z2" s="34" t="s">
        <v>19</v>
      </c>
      <c r="AA2" s="8" t="str">
        <f>R2</f>
        <v>WMT</v>
      </c>
      <c r="AB2" s="9" t="str">
        <f>S2</f>
        <v>TGT</v>
      </c>
      <c r="AC2" s="9" t="str">
        <f>T2</f>
        <v>AAPL</v>
      </c>
      <c r="AD2" s="10" t="str">
        <f>U2</f>
        <v>TSLA</v>
      </c>
      <c r="AE2" s="9" t="s">
        <v>16</v>
      </c>
      <c r="AF2" s="9" t="s">
        <v>17</v>
      </c>
      <c r="AG2" s="10" t="s">
        <v>18</v>
      </c>
      <c r="AI2" s="62" t="s">
        <v>24</v>
      </c>
      <c r="AK2" s="63">
        <v>30</v>
      </c>
    </row>
    <row r="3" spans="1:38" ht="15.75" thickBot="1" x14ac:dyDescent="0.3">
      <c r="A3" s="2">
        <v>41884</v>
      </c>
      <c r="B3" s="1">
        <v>252.14</v>
      </c>
      <c r="C3" s="1">
        <v>63.88</v>
      </c>
      <c r="D3" s="1">
        <v>16.41</v>
      </c>
      <c r="E3" s="1">
        <v>35.950000000000003</v>
      </c>
      <c r="F3" s="1">
        <v>77.08</v>
      </c>
      <c r="G3" s="1">
        <v>101.75</v>
      </c>
      <c r="I3" s="2">
        <f>A3</f>
        <v>41884</v>
      </c>
      <c r="J3">
        <f t="shared" ref="J3:J13" si="1">(B3-B4)/B4</f>
        <v>-6.5109380793474239E-2</v>
      </c>
      <c r="K3">
        <f t="shared" ref="K3:K13" si="2">(C3-C4)/C4</f>
        <v>6.3426002996504111E-2</v>
      </c>
      <c r="L3">
        <f t="shared" ref="L3:L13" si="3">(D3-D4)/D4</f>
        <v>-5.7438253877082138E-2</v>
      </c>
      <c r="M3">
        <f t="shared" ref="M3:M13" si="4">(E3-E4)/E4</f>
        <v>-4.9947145877378446E-2</v>
      </c>
      <c r="N3">
        <f t="shared" ref="N3:N13" si="5">(F3-F4)/F4</f>
        <v>2.0927152317880771E-2</v>
      </c>
      <c r="O3">
        <f t="shared" ref="O3:O13" si="6">(G3-G4)/G4</f>
        <v>-7.3170731707317077E-3</v>
      </c>
      <c r="P3" s="5">
        <v>2</v>
      </c>
      <c r="R3">
        <f t="shared" ref="R3:R13" si="7">HLOOKUP($R$2,Returns4,P3,FALSE)</f>
        <v>2.0927152317880771E-2</v>
      </c>
      <c r="S3">
        <f t="shared" ref="S3:S13" si="8">HLOOKUP($S$2,Returns4,P3,FALSE)</f>
        <v>6.3426002996504111E-2</v>
      </c>
      <c r="T3">
        <f t="shared" ref="T3:T13" si="9">HLOOKUP($T$2,Returns4,P3,FALSE)</f>
        <v>-7.3170731707317077E-3</v>
      </c>
      <c r="U3">
        <f t="shared" ref="U3:U13" si="10">HLOOKUP($U$2,Returns4,P3,FALSE)</f>
        <v>-6.5109380793474239E-2</v>
      </c>
      <c r="Z3" s="23">
        <f t="shared" ref="Z3:Z13" si="11">(AE3-$R$27)/AG3</f>
        <v>0.33976277149237755</v>
      </c>
      <c r="AA3" s="1">
        <v>0</v>
      </c>
      <c r="AB3" s="87">
        <v>0</v>
      </c>
      <c r="AC3" s="87">
        <v>0.1</v>
      </c>
      <c r="AD3" s="87">
        <f>1-AA3-AC3-AB3</f>
        <v>0.9</v>
      </c>
      <c r="AE3" s="6">
        <f t="shared" ref="AE3:AE13" si="12">AA3*$R$17+AB3*$S$17+AC3*$T$17+AD3*$U$17</f>
        <v>5.3089735650794313E-2</v>
      </c>
      <c r="AF3" s="22">
        <f t="shared" ref="AF3:AF13" si="13">AA3^2*$R$18+AB3^2*$S$18+AC3^2*$T$18+AD3^2*$U$18+2*AA3*AB3*$R$21+2*AA3*AC3*$T$21+2*AB3*AC3*$S$21+2*AA3*AD3*$U$21+2*AB3*AD3*$V$21+2*AC3*AD3*$W$21</f>
        <v>2.4323828054947504E-2</v>
      </c>
      <c r="AG3" s="6">
        <f>SQRT(AF3)</f>
        <v>0.15596098247621903</v>
      </c>
      <c r="AI3" s="64"/>
      <c r="AJ3" s="65"/>
      <c r="AK3" s="66"/>
    </row>
    <row r="4" spans="1:38" x14ac:dyDescent="0.25">
      <c r="A4" s="2">
        <v>41852</v>
      </c>
      <c r="B4" s="1">
        <v>269.7</v>
      </c>
      <c r="C4" s="1">
        <v>60.07</v>
      </c>
      <c r="D4" s="1">
        <v>17.41</v>
      </c>
      <c r="E4" s="1">
        <v>37.840000000000003</v>
      </c>
      <c r="F4" s="1">
        <v>75.5</v>
      </c>
      <c r="G4" s="1">
        <v>102.5</v>
      </c>
      <c r="I4" s="2">
        <f t="shared" ref="I4:I13" si="14">A4</f>
        <v>41852</v>
      </c>
      <c r="J4">
        <f t="shared" si="1"/>
        <v>0.20779220779220767</v>
      </c>
      <c r="K4">
        <f t="shared" si="2"/>
        <v>1.7101252963088349E-2</v>
      </c>
      <c r="L4">
        <f t="shared" si="3"/>
        <v>2.2914218566392513E-2</v>
      </c>
      <c r="M4">
        <f t="shared" si="4"/>
        <v>6.7117879300620492E-2</v>
      </c>
      <c r="N4">
        <f t="shared" si="5"/>
        <v>3.2831737346101314E-2</v>
      </c>
      <c r="O4">
        <f t="shared" si="6"/>
        <v>7.7472931777567589E-2</v>
      </c>
      <c r="P4" s="5">
        <v>3</v>
      </c>
      <c r="R4">
        <f t="shared" si="7"/>
        <v>3.2831737346101314E-2</v>
      </c>
      <c r="S4">
        <f t="shared" si="8"/>
        <v>1.7101252963088349E-2</v>
      </c>
      <c r="T4">
        <f t="shared" si="9"/>
        <v>7.7472931777567589E-2</v>
      </c>
      <c r="U4">
        <f t="shared" si="10"/>
        <v>0.20779220779220767</v>
      </c>
      <c r="Z4" s="23">
        <f t="shared" si="11"/>
        <v>0.3676296484583611</v>
      </c>
      <c r="AA4" s="1">
        <v>0</v>
      </c>
      <c r="AB4" s="87">
        <v>0</v>
      </c>
      <c r="AC4" s="87">
        <v>0.2</v>
      </c>
      <c r="AD4" s="87">
        <f t="shared" ref="AD4:AD13" si="15">1-AA4-AC4-AB4</f>
        <v>0.8</v>
      </c>
      <c r="AE4" s="6">
        <f t="shared" si="12"/>
        <v>5.0761238714054219E-2</v>
      </c>
      <c r="AF4" s="22">
        <f t="shared" si="13"/>
        <v>1.8990244270508466E-2</v>
      </c>
      <c r="AG4" s="6">
        <f t="shared" ref="AG4:AG13" si="16">SQRT(AF4)</f>
        <v>0.13780509522694895</v>
      </c>
      <c r="AI4" s="67" t="s">
        <v>25</v>
      </c>
      <c r="AK4" s="79">
        <f>(AE15-AE16)/(AK2*AF15)</f>
        <v>0.45169065033869793</v>
      </c>
    </row>
    <row r="5" spans="1:38" ht="15.75" thickBot="1" x14ac:dyDescent="0.3">
      <c r="A5" s="2">
        <v>41821</v>
      </c>
      <c r="B5" s="1">
        <v>223.3</v>
      </c>
      <c r="C5" s="1">
        <v>59.06</v>
      </c>
      <c r="D5" s="1">
        <v>17.02</v>
      </c>
      <c r="E5" s="1">
        <v>35.46</v>
      </c>
      <c r="F5" s="1">
        <v>73.099999999999994</v>
      </c>
      <c r="G5" s="1">
        <v>95.13</v>
      </c>
      <c r="I5" s="2">
        <f t="shared" si="14"/>
        <v>41821</v>
      </c>
      <c r="J5">
        <f t="shared" si="1"/>
        <v>-6.9815879363492428E-2</v>
      </c>
      <c r="K5">
        <f t="shared" si="2"/>
        <v>2.8382378547797363E-2</v>
      </c>
      <c r="L5">
        <f t="shared" si="3"/>
        <v>-5.8411214953271859E-3</v>
      </c>
      <c r="M5">
        <f t="shared" si="4"/>
        <v>5.7245080500894503E-2</v>
      </c>
      <c r="N5">
        <f t="shared" si="5"/>
        <v>-1.9844462322338483E-2</v>
      </c>
      <c r="O5">
        <f t="shared" si="6"/>
        <v>2.8766086298258858E-2</v>
      </c>
      <c r="P5" s="5">
        <v>4</v>
      </c>
      <c r="R5">
        <f t="shared" si="7"/>
        <v>-1.9844462322338483E-2</v>
      </c>
      <c r="S5">
        <f t="shared" si="8"/>
        <v>2.8382378547797363E-2</v>
      </c>
      <c r="T5">
        <f t="shared" si="9"/>
        <v>2.8766086298258858E-2</v>
      </c>
      <c r="U5">
        <f t="shared" si="10"/>
        <v>-6.9815879363492428E-2</v>
      </c>
      <c r="Z5" s="23">
        <f t="shared" si="11"/>
        <v>0.50497754707520803</v>
      </c>
      <c r="AA5" s="1">
        <v>0</v>
      </c>
      <c r="AB5" s="87">
        <v>0</v>
      </c>
      <c r="AC5" s="87">
        <v>0.5</v>
      </c>
      <c r="AD5" s="87">
        <f t="shared" si="15"/>
        <v>0.5</v>
      </c>
      <c r="AE5" s="6">
        <f t="shared" si="12"/>
        <v>4.3775747903833914E-2</v>
      </c>
      <c r="AF5" s="22">
        <f t="shared" si="13"/>
        <v>7.4806022633155346E-3</v>
      </c>
      <c r="AG5" s="6">
        <f t="shared" si="16"/>
        <v>8.6490474986067309E-2</v>
      </c>
      <c r="AI5" s="67" t="s">
        <v>26</v>
      </c>
      <c r="AJ5" s="68"/>
      <c r="AK5" s="80">
        <f>1-AK4</f>
        <v>0.54830934966130207</v>
      </c>
    </row>
    <row r="6" spans="1:38" ht="15.75" thickBot="1" x14ac:dyDescent="0.3">
      <c r="A6" s="2">
        <v>41792</v>
      </c>
      <c r="B6" s="1">
        <v>240.06</v>
      </c>
      <c r="C6" s="1">
        <v>57.43</v>
      </c>
      <c r="D6" s="1">
        <v>17.12</v>
      </c>
      <c r="E6" s="1">
        <v>33.54</v>
      </c>
      <c r="F6" s="1">
        <v>74.58</v>
      </c>
      <c r="G6" s="1">
        <v>92.47</v>
      </c>
      <c r="I6" s="2">
        <f t="shared" si="14"/>
        <v>41792</v>
      </c>
      <c r="J6">
        <f t="shared" si="1"/>
        <v>0.15541223468258167</v>
      </c>
      <c r="K6">
        <f t="shared" si="2"/>
        <v>2.0977777777777772E-2</v>
      </c>
      <c r="L6">
        <f t="shared" si="3"/>
        <v>4.9019607843137296E-2</v>
      </c>
      <c r="M6">
        <f t="shared" si="4"/>
        <v>1.0240963855421574E-2</v>
      </c>
      <c r="N6">
        <f t="shared" si="5"/>
        <v>-2.2158122459682676E-2</v>
      </c>
      <c r="O6">
        <f t="shared" si="6"/>
        <v>2.7672816181373582E-2</v>
      </c>
      <c r="P6" s="5">
        <v>5</v>
      </c>
      <c r="R6">
        <f t="shared" si="7"/>
        <v>-2.2158122459682676E-2</v>
      </c>
      <c r="S6">
        <f t="shared" si="8"/>
        <v>2.0977777777777772E-2</v>
      </c>
      <c r="T6">
        <f t="shared" si="9"/>
        <v>2.7672816181373582E-2</v>
      </c>
      <c r="U6">
        <f t="shared" si="10"/>
        <v>0.15541223468258167</v>
      </c>
      <c r="Z6" s="23">
        <f t="shared" si="11"/>
        <v>0.6548671153561908</v>
      </c>
      <c r="AA6" s="1">
        <v>0</v>
      </c>
      <c r="AB6" s="87">
        <v>0</v>
      </c>
      <c r="AC6" s="87">
        <v>0.7</v>
      </c>
      <c r="AD6" s="87">
        <f t="shared" si="15"/>
        <v>0.30000000000000004</v>
      </c>
      <c r="AE6" s="6">
        <f t="shared" si="12"/>
        <v>3.9118754030353711E-2</v>
      </c>
      <c r="AF6" s="22">
        <f t="shared" si="13"/>
        <v>3.5500987136237437E-3</v>
      </c>
      <c r="AG6" s="6">
        <f t="shared" si="16"/>
        <v>5.9582704819634895E-2</v>
      </c>
      <c r="AI6" s="65"/>
      <c r="AJ6" s="65"/>
      <c r="AK6" s="66"/>
    </row>
    <row r="7" spans="1:38" x14ac:dyDescent="0.25">
      <c r="A7" s="2">
        <v>41760</v>
      </c>
      <c r="B7" s="1">
        <v>207.77</v>
      </c>
      <c r="C7" s="1">
        <v>56.25</v>
      </c>
      <c r="D7" s="1">
        <v>16.32</v>
      </c>
      <c r="E7" s="1">
        <v>33.200000000000003</v>
      </c>
      <c r="F7" s="1">
        <v>76.27</v>
      </c>
      <c r="G7" s="1">
        <v>89.98</v>
      </c>
      <c r="I7" s="2">
        <f t="shared" si="14"/>
        <v>41760</v>
      </c>
      <c r="J7">
        <f t="shared" si="1"/>
        <v>-5.7722834191147303E-4</v>
      </c>
      <c r="K7">
        <f t="shared" si="2"/>
        <v>-7.407407407407407E-2</v>
      </c>
      <c r="L7">
        <f t="shared" si="3"/>
        <v>1.7456359102244461E-2</v>
      </c>
      <c r="M7">
        <f t="shared" si="4"/>
        <v>1.3431013431013579E-2</v>
      </c>
      <c r="N7">
        <f t="shared" si="5"/>
        <v>-3.0876747141042018E-2</v>
      </c>
      <c r="O7">
        <f t="shared" si="6"/>
        <v>7.8638216255094734E-2</v>
      </c>
      <c r="P7" s="5">
        <v>6</v>
      </c>
      <c r="R7">
        <f t="shared" si="7"/>
        <v>-3.0876747141042018E-2</v>
      </c>
      <c r="S7">
        <f t="shared" si="8"/>
        <v>-7.407407407407407E-2</v>
      </c>
      <c r="T7">
        <f t="shared" si="9"/>
        <v>7.8638216255094734E-2</v>
      </c>
      <c r="U7">
        <f t="shared" si="10"/>
        <v>-5.7722834191147303E-4</v>
      </c>
      <c r="Z7" s="23">
        <f t="shared" si="11"/>
        <v>0.67212521238252243</v>
      </c>
      <c r="AA7" s="1">
        <v>0</v>
      </c>
      <c r="AB7" s="87">
        <v>0</v>
      </c>
      <c r="AC7" s="87">
        <v>0.9</v>
      </c>
      <c r="AD7" s="87">
        <f t="shared" si="15"/>
        <v>9.9999999999999978E-2</v>
      </c>
      <c r="AE7" s="6">
        <f t="shared" si="12"/>
        <v>3.4461760156873508E-2</v>
      </c>
      <c r="AF7" s="22">
        <f t="shared" si="13"/>
        <v>2.6136680613480785E-3</v>
      </c>
      <c r="AG7" s="6">
        <f t="shared" si="16"/>
        <v>5.112404582335086E-2</v>
      </c>
      <c r="AI7" s="69" t="s">
        <v>27</v>
      </c>
      <c r="AJ7" s="70"/>
      <c r="AK7" s="82">
        <f>AK4*AE15+AK5*AE16</f>
        <v>1.6672646087708357E-2</v>
      </c>
    </row>
    <row r="8" spans="1:38" x14ac:dyDescent="0.25">
      <c r="A8" s="2">
        <v>41730</v>
      </c>
      <c r="B8" s="1">
        <v>207.89</v>
      </c>
      <c r="C8" s="1">
        <v>60.75</v>
      </c>
      <c r="D8" s="1">
        <v>16.04</v>
      </c>
      <c r="E8" s="1">
        <v>32.76</v>
      </c>
      <c r="F8" s="1">
        <v>78.7</v>
      </c>
      <c r="G8" s="1">
        <v>83.42</v>
      </c>
      <c r="I8" s="2">
        <f t="shared" si="14"/>
        <v>41730</v>
      </c>
      <c r="J8">
        <f t="shared" si="1"/>
        <v>-2.6864955624850196E-3</v>
      </c>
      <c r="K8">
        <f t="shared" si="2"/>
        <v>2.0493868637661665E-2</v>
      </c>
      <c r="L8">
        <f t="shared" si="3"/>
        <v>4.3591411841249185E-2</v>
      </c>
      <c r="M8">
        <f t="shared" si="4"/>
        <v>2.1515434985968123E-2</v>
      </c>
      <c r="N8">
        <f t="shared" si="5"/>
        <v>4.2936655181553263E-2</v>
      </c>
      <c r="O8">
        <f t="shared" si="6"/>
        <v>9.9512323711611922E-2</v>
      </c>
      <c r="P8" s="5">
        <v>7</v>
      </c>
      <c r="R8">
        <f t="shared" si="7"/>
        <v>4.2936655181553263E-2</v>
      </c>
      <c r="S8">
        <f t="shared" si="8"/>
        <v>2.0493868637661665E-2</v>
      </c>
      <c r="T8">
        <f t="shared" si="9"/>
        <v>9.9512323711611922E-2</v>
      </c>
      <c r="U8">
        <f t="shared" si="10"/>
        <v>-2.6864955624850196E-3</v>
      </c>
      <c r="Z8" s="23">
        <f t="shared" si="11"/>
        <v>0.40270044253621806</v>
      </c>
      <c r="AA8" s="1">
        <v>0</v>
      </c>
      <c r="AB8" s="87">
        <v>0</v>
      </c>
      <c r="AC8" s="88">
        <v>0.3</v>
      </c>
      <c r="AD8" s="87">
        <f t="shared" si="15"/>
        <v>0.7</v>
      </c>
      <c r="AE8" s="6">
        <f t="shared" si="12"/>
        <v>4.843274177731411E-2</v>
      </c>
      <c r="AF8" s="22">
        <f t="shared" si="13"/>
        <v>1.4405178710423452E-2</v>
      </c>
      <c r="AG8" s="6">
        <f t="shared" si="16"/>
        <v>0.12002157602041165</v>
      </c>
      <c r="AI8" s="69" t="s">
        <v>28</v>
      </c>
      <c r="AJ8" s="71"/>
      <c r="AK8" s="83">
        <f>AK4^2*AF15</f>
        <v>5.524215362569452E-4</v>
      </c>
    </row>
    <row r="9" spans="1:38" ht="15.75" thickBot="1" x14ac:dyDescent="0.3">
      <c r="A9" s="2">
        <v>41701</v>
      </c>
      <c r="B9" s="1">
        <v>208.45</v>
      </c>
      <c r="C9" s="1">
        <v>59.53</v>
      </c>
      <c r="D9" s="1">
        <v>15.37</v>
      </c>
      <c r="E9" s="1">
        <v>32.07</v>
      </c>
      <c r="F9" s="1">
        <v>75.459999999999994</v>
      </c>
      <c r="G9" s="1">
        <v>75.87</v>
      </c>
      <c r="I9" s="2">
        <f t="shared" si="14"/>
        <v>41701</v>
      </c>
      <c r="J9">
        <f t="shared" si="1"/>
        <v>-0.14852334463461464</v>
      </c>
      <c r="K9">
        <f t="shared" si="2"/>
        <v>-3.2504469364537623E-2</v>
      </c>
      <c r="L9">
        <f t="shared" si="3"/>
        <v>1.3852242744063263E-2</v>
      </c>
      <c r="M9">
        <f t="shared" si="4"/>
        <v>8.8225313878520575E-2</v>
      </c>
      <c r="N9">
        <f t="shared" si="5"/>
        <v>2.9748908296943131E-2</v>
      </c>
      <c r="O9">
        <f t="shared" si="6"/>
        <v>1.9895147197203977E-2</v>
      </c>
      <c r="P9" s="5">
        <v>8</v>
      </c>
      <c r="R9">
        <f t="shared" si="7"/>
        <v>2.9748908296943131E-2</v>
      </c>
      <c r="S9">
        <f t="shared" si="8"/>
        <v>-3.2504469364537623E-2</v>
      </c>
      <c r="T9">
        <f t="shared" si="9"/>
        <v>1.9895147197203977E-2</v>
      </c>
      <c r="U9">
        <f t="shared" si="10"/>
        <v>-0.14852334463461464</v>
      </c>
      <c r="Z9" s="23">
        <f t="shared" si="11"/>
        <v>0.44749535427075404</v>
      </c>
      <c r="AA9" s="1">
        <v>0</v>
      </c>
      <c r="AB9" s="87">
        <v>0</v>
      </c>
      <c r="AC9" s="88">
        <v>0.4</v>
      </c>
      <c r="AD9" s="87">
        <f t="shared" si="15"/>
        <v>0.6</v>
      </c>
      <c r="AE9" s="6">
        <f t="shared" si="12"/>
        <v>4.6104244840574009E-2</v>
      </c>
      <c r="AF9" s="22">
        <f t="shared" si="13"/>
        <v>1.0568631374692479E-2</v>
      </c>
      <c r="AG9" s="6">
        <f t="shared" si="16"/>
        <v>0.1028038490266414</v>
      </c>
      <c r="AI9" s="69" t="s">
        <v>29</v>
      </c>
      <c r="AJ9" s="72"/>
      <c r="AK9" s="84">
        <f>AK4*AG15</f>
        <v>2.3503649424226555E-2</v>
      </c>
    </row>
    <row r="10" spans="1:38" ht="15.75" thickBot="1" x14ac:dyDescent="0.3">
      <c r="A10" s="2">
        <v>41673</v>
      </c>
      <c r="B10" s="1">
        <v>244.81</v>
      </c>
      <c r="C10" s="1">
        <v>61.53</v>
      </c>
      <c r="D10" s="1">
        <v>15.16</v>
      </c>
      <c r="E10" s="1">
        <v>29.47</v>
      </c>
      <c r="F10" s="1">
        <v>73.28</v>
      </c>
      <c r="G10" s="1">
        <v>74.39</v>
      </c>
      <c r="I10" s="2">
        <f t="shared" si="14"/>
        <v>41673</v>
      </c>
      <c r="J10">
        <f t="shared" si="1"/>
        <v>0.34948459291108541</v>
      </c>
      <c r="K10">
        <f t="shared" si="2"/>
        <v>0.11265822784810134</v>
      </c>
      <c r="L10">
        <f t="shared" si="3"/>
        <v>2.8493894165535952E-2</v>
      </c>
      <c r="M10">
        <f t="shared" si="4"/>
        <v>3.0419580419580327E-2</v>
      </c>
      <c r="N10">
        <f t="shared" si="5"/>
        <v>2.7300027300021864E-4</v>
      </c>
      <c r="O10">
        <f t="shared" si="6"/>
        <v>5.7577480807506354E-2</v>
      </c>
      <c r="P10" s="5">
        <v>9</v>
      </c>
      <c r="R10">
        <f t="shared" si="7"/>
        <v>2.7300027300021864E-4</v>
      </c>
      <c r="S10">
        <f t="shared" si="8"/>
        <v>0.11265822784810134</v>
      </c>
      <c r="T10">
        <f t="shared" si="9"/>
        <v>5.7577480807506354E-2</v>
      </c>
      <c r="U10">
        <f t="shared" si="10"/>
        <v>0.34948459291108541</v>
      </c>
      <c r="Z10" s="23">
        <f t="shared" si="11"/>
        <v>0.57665887272364647</v>
      </c>
      <c r="AA10" s="1">
        <v>0</v>
      </c>
      <c r="AB10" s="87">
        <v>0</v>
      </c>
      <c r="AC10" s="88">
        <v>0.6</v>
      </c>
      <c r="AD10" s="87">
        <f t="shared" si="15"/>
        <v>0.4</v>
      </c>
      <c r="AE10" s="6">
        <f t="shared" si="12"/>
        <v>4.1447250967093813E-2</v>
      </c>
      <c r="AF10" s="22">
        <f t="shared" si="13"/>
        <v>5.1410913762926242E-3</v>
      </c>
      <c r="AG10" s="6">
        <f t="shared" si="16"/>
        <v>7.1701404283965209E-2</v>
      </c>
      <c r="AI10" s="69" t="s">
        <v>30</v>
      </c>
      <c r="AJ10" s="73"/>
      <c r="AK10" s="86">
        <f>(AK7-AE16)/AK9</f>
        <v>0.70510948272679663</v>
      </c>
    </row>
    <row r="11" spans="1:38" x14ac:dyDescent="0.25">
      <c r="A11" s="2">
        <v>41641</v>
      </c>
      <c r="B11" s="1">
        <v>181.41</v>
      </c>
      <c r="C11" s="1">
        <v>55.3</v>
      </c>
      <c r="D11" s="1">
        <v>14.74</v>
      </c>
      <c r="E11" s="1">
        <v>28.6</v>
      </c>
      <c r="F11" s="1">
        <v>73.260000000000005</v>
      </c>
      <c r="G11" s="1">
        <v>70.34</v>
      </c>
      <c r="I11" s="2">
        <f t="shared" si="14"/>
        <v>41641</v>
      </c>
      <c r="J11">
        <f t="shared" si="1"/>
        <v>0.20594296350462002</v>
      </c>
      <c r="K11">
        <f t="shared" si="2"/>
        <v>-0.10474340294641421</v>
      </c>
      <c r="L11">
        <f t="shared" si="3"/>
        <v>-2.2546419098143228E-2</v>
      </c>
      <c r="M11">
        <f t="shared" si="4"/>
        <v>3.6231884057971016E-2</v>
      </c>
      <c r="N11">
        <f t="shared" si="5"/>
        <v>-5.1036269430051781E-2</v>
      </c>
      <c r="O11">
        <f t="shared" si="6"/>
        <v>-0.10770011416973227</v>
      </c>
      <c r="P11" s="5">
        <v>10</v>
      </c>
      <c r="R11">
        <f t="shared" si="7"/>
        <v>-5.1036269430051781E-2</v>
      </c>
      <c r="S11">
        <f t="shared" si="8"/>
        <v>-0.10474340294641421</v>
      </c>
      <c r="T11">
        <f t="shared" si="9"/>
        <v>-0.10770011416973227</v>
      </c>
      <c r="U11">
        <f t="shared" si="10"/>
        <v>0.20594296350462002</v>
      </c>
      <c r="Z11" s="23">
        <f t="shared" si="11"/>
        <v>0.70510948272679652</v>
      </c>
      <c r="AA11" s="1">
        <v>0</v>
      </c>
      <c r="AB11" s="87">
        <v>0</v>
      </c>
      <c r="AC11" s="88">
        <v>0.8</v>
      </c>
      <c r="AD11" s="87">
        <f t="shared" si="15"/>
        <v>0.19999999999999996</v>
      </c>
      <c r="AE11" s="6">
        <f t="shared" si="12"/>
        <v>3.679025709361361E-2</v>
      </c>
      <c r="AF11" s="22">
        <f t="shared" si="13"/>
        <v>2.7076242753088942E-3</v>
      </c>
      <c r="AG11" s="6">
        <f t="shared" si="16"/>
        <v>5.2034837131568833E-2</v>
      </c>
    </row>
    <row r="12" spans="1:38" x14ac:dyDescent="0.25">
      <c r="A12" s="2">
        <v>41610</v>
      </c>
      <c r="B12" s="1">
        <v>150.43</v>
      </c>
      <c r="C12" s="1">
        <v>61.77</v>
      </c>
      <c r="D12" s="1">
        <v>15.08</v>
      </c>
      <c r="E12" s="1">
        <v>27.6</v>
      </c>
      <c r="F12" s="1">
        <v>77.2</v>
      </c>
      <c r="G12" s="1">
        <v>78.83</v>
      </c>
      <c r="I12" s="2">
        <f t="shared" si="14"/>
        <v>41610</v>
      </c>
      <c r="J12">
        <f t="shared" si="1"/>
        <v>0.18188246385920809</v>
      </c>
      <c r="K12">
        <f t="shared" si="2"/>
        <v>-1.0413329061198311E-2</v>
      </c>
      <c r="L12">
        <f t="shared" si="3"/>
        <v>-9.6464949071300252E-2</v>
      </c>
      <c r="M12">
        <f t="shared" si="4"/>
        <v>2.8699217294073917E-2</v>
      </c>
      <c r="N12">
        <f t="shared" si="5"/>
        <v>-2.2908492595873967E-2</v>
      </c>
      <c r="O12">
        <f t="shared" si="6"/>
        <v>8.8303045815203186E-3</v>
      </c>
      <c r="P12" s="5">
        <v>11</v>
      </c>
      <c r="R12">
        <f t="shared" si="7"/>
        <v>-2.2908492595873967E-2</v>
      </c>
      <c r="S12">
        <f t="shared" si="8"/>
        <v>-1.0413329061198311E-2</v>
      </c>
      <c r="T12">
        <f t="shared" si="9"/>
        <v>8.8303045815203186E-3</v>
      </c>
      <c r="U12">
        <f t="shared" si="10"/>
        <v>0.18188246385920809</v>
      </c>
      <c r="Z12" s="23">
        <f t="shared" si="11"/>
        <v>0.31653275530608876</v>
      </c>
      <c r="AA12" s="1">
        <v>0</v>
      </c>
      <c r="AB12" s="87">
        <v>0.1</v>
      </c>
      <c r="AC12" s="87">
        <v>0</v>
      </c>
      <c r="AD12" s="87">
        <f t="shared" si="15"/>
        <v>0.9</v>
      </c>
      <c r="AE12" s="6">
        <f t="shared" si="12"/>
        <v>5.0189705208502938E-2</v>
      </c>
      <c r="AF12" s="22">
        <f t="shared" si="13"/>
        <v>2.504145937288511E-2</v>
      </c>
      <c r="AG12" s="6">
        <f t="shared" si="16"/>
        <v>0.15824493474637699</v>
      </c>
    </row>
    <row r="13" spans="1:38" x14ac:dyDescent="0.25">
      <c r="A13" s="2">
        <v>41579</v>
      </c>
      <c r="B13" s="1">
        <v>127.28</v>
      </c>
      <c r="C13" s="1">
        <v>62.42</v>
      </c>
      <c r="D13" s="1">
        <v>16.690000000000001</v>
      </c>
      <c r="E13" s="1">
        <v>26.83</v>
      </c>
      <c r="F13" s="1">
        <v>79.010000000000005</v>
      </c>
      <c r="G13" s="1">
        <v>78.14</v>
      </c>
      <c r="I13" s="2">
        <f t="shared" si="14"/>
        <v>41579</v>
      </c>
      <c r="J13">
        <f t="shared" si="1"/>
        <v>-0.20420157559084656</v>
      </c>
      <c r="K13">
        <f t="shared" si="2"/>
        <v>-6.8416865552903688E-3</v>
      </c>
      <c r="L13">
        <f t="shared" si="3"/>
        <v>-1.7942583732055972E-3</v>
      </c>
      <c r="M13">
        <f t="shared" si="4"/>
        <v>0.12212463404433284</v>
      </c>
      <c r="N13">
        <f t="shared" si="5"/>
        <v>5.5436815388725698E-2</v>
      </c>
      <c r="O13">
        <f t="shared" si="6"/>
        <v>7.0117775951794095E-2</v>
      </c>
      <c r="P13" s="5">
        <v>12</v>
      </c>
      <c r="R13">
        <f t="shared" si="7"/>
        <v>5.5436815388725698E-2</v>
      </c>
      <c r="S13">
        <f t="shared" si="8"/>
        <v>-6.8416865552903688E-3</v>
      </c>
      <c r="T13">
        <f t="shared" si="9"/>
        <v>7.0117775951794095E-2</v>
      </c>
      <c r="U13">
        <f t="shared" si="10"/>
        <v>-0.20420157559084656</v>
      </c>
      <c r="Z13" s="23">
        <f t="shared" si="11"/>
        <v>0.31231669736985307</v>
      </c>
      <c r="AA13" s="1">
        <v>0</v>
      </c>
      <c r="AB13" s="1">
        <v>0.3</v>
      </c>
      <c r="AC13" s="1">
        <v>0</v>
      </c>
      <c r="AD13" s="87">
        <f t="shared" si="15"/>
        <v>0.7</v>
      </c>
      <c r="AE13" s="6">
        <f t="shared" si="12"/>
        <v>3.9732650450439985E-2</v>
      </c>
      <c r="AF13" s="22">
        <f t="shared" si="13"/>
        <v>1.6103334967712022E-2</v>
      </c>
      <c r="AG13" s="6">
        <f t="shared" si="16"/>
        <v>0.126898916337816</v>
      </c>
    </row>
    <row r="14" spans="1:38" ht="15.75" thickBot="1" x14ac:dyDescent="0.3">
      <c r="A14" s="2">
        <v>41548</v>
      </c>
      <c r="B14" s="1">
        <v>159.94</v>
      </c>
      <c r="C14" s="1">
        <v>62.85</v>
      </c>
      <c r="D14" s="1">
        <v>16.72</v>
      </c>
      <c r="E14" s="1">
        <v>23.91</v>
      </c>
      <c r="F14" s="1">
        <v>74.86</v>
      </c>
      <c r="G14" s="1">
        <v>73.02</v>
      </c>
      <c r="I14" s="2"/>
      <c r="P14" s="5"/>
    </row>
    <row r="15" spans="1:38" ht="15.75" thickBot="1" x14ac:dyDescent="0.3">
      <c r="R15" s="95" t="s">
        <v>20</v>
      </c>
      <c r="S15" s="96"/>
      <c r="T15" s="96"/>
      <c r="U15" s="97"/>
      <c r="Y15" s="29" t="s">
        <v>22</v>
      </c>
      <c r="Z15" s="24">
        <f>MAX(Z3:Z13)</f>
        <v>0.70510948272679652</v>
      </c>
      <c r="AA15" s="25">
        <f>VLOOKUP($Z$15,Opportunity_Set4,2,FALSE)</f>
        <v>0</v>
      </c>
      <c r="AB15" s="25">
        <f>VLOOKUP($Z$15,Opportunity_Set4,3,FALSE)</f>
        <v>0</v>
      </c>
      <c r="AC15" s="25">
        <f>VLOOKUP($Z$15,Opportunity_Set4,4,FALSE)</f>
        <v>0.8</v>
      </c>
      <c r="AD15" s="25">
        <f>VLOOKUP($Z$15,Opportunity_Set4,4,FALSE)</f>
        <v>0.8</v>
      </c>
      <c r="AE15" s="26">
        <f>VLOOKUP($Z$15,Opportunity_Set4,6,FALSE)</f>
        <v>3.679025709361361E-2</v>
      </c>
      <c r="AF15" s="25">
        <f>VLOOKUP($Z$15,Opportunity_Set4,7,FALSE)</f>
        <v>2.7076242753088942E-3</v>
      </c>
      <c r="AG15" s="26">
        <f>VLOOKUP($Z$15,Opportunity_Set4,8,FALSE)</f>
        <v>5.2034837131568833E-2</v>
      </c>
      <c r="AI15" s="75"/>
      <c r="AJ15" s="75"/>
      <c r="AK15" s="75"/>
      <c r="AL15" s="75"/>
    </row>
    <row r="16" spans="1:38" ht="15.75" thickBot="1" x14ac:dyDescent="0.3">
      <c r="Y16" s="30" t="s">
        <v>23</v>
      </c>
      <c r="Z16" s="28"/>
      <c r="AA16" s="28"/>
      <c r="AB16" s="28"/>
      <c r="AC16" s="28"/>
      <c r="AD16" s="28"/>
      <c r="AE16" s="31">
        <f>R27</f>
        <v>1E-4</v>
      </c>
      <c r="AF16" s="33"/>
      <c r="AG16" s="33">
        <v>0</v>
      </c>
      <c r="AI16" s="76"/>
      <c r="AJ16" s="77"/>
      <c r="AK16" s="77"/>
      <c r="AL16" s="78"/>
    </row>
    <row r="17" spans="17:38" x14ac:dyDescent="0.25">
      <c r="Q17" s="56" t="s">
        <v>10</v>
      </c>
      <c r="R17" s="40">
        <f>AVERAGE(R3:R14)</f>
        <v>3.2118340777468612E-3</v>
      </c>
      <c r="S17" s="41">
        <f>AVERAGE(S3:S14)</f>
        <v>3.1329587972196375E-3</v>
      </c>
      <c r="T17" s="41">
        <f>AVERAGE(T3:T14)</f>
        <v>3.2133263220133407E-2</v>
      </c>
      <c r="U17" s="50">
        <f>AVERAGE(U3:U14)</f>
        <v>5.5418232587534415E-2</v>
      </c>
      <c r="AI17" s="74"/>
      <c r="AJ17" s="74"/>
      <c r="AK17" s="74"/>
      <c r="AL17" s="74"/>
    </row>
    <row r="18" spans="17:38" x14ac:dyDescent="0.25">
      <c r="Q18" s="58" t="s">
        <v>11</v>
      </c>
      <c r="R18" s="43">
        <f>_xlfn.VAR.S(R3:R14)</f>
        <v>1.2171921374523583E-3</v>
      </c>
      <c r="S18" s="39">
        <f>_xlfn.VAR.S(S3:S14)</f>
        <v>3.623477803253511E-3</v>
      </c>
      <c r="T18" s="39">
        <f>_xlfn.VAR.S(T3:T14)</f>
        <v>3.268230071741293E-3</v>
      </c>
      <c r="U18" s="44">
        <f>_xlfn.VAR.S(U3:U14)</f>
        <v>3.0405930063740573E-2</v>
      </c>
    </row>
    <row r="19" spans="17:38" ht="15.75" thickBot="1" x14ac:dyDescent="0.3">
      <c r="Q19" s="57" t="s">
        <v>12</v>
      </c>
      <c r="R19" s="51">
        <f>_xlfn.STDEV.S(R3:R14)</f>
        <v>3.4888280803908329E-2</v>
      </c>
      <c r="S19" s="52">
        <f>_xlfn.STDEV.S(S3:S14)</f>
        <v>6.0195330410701388E-2</v>
      </c>
      <c r="T19" s="52">
        <f>_xlfn.STDEV.S(T3:T14)</f>
        <v>5.7168435974244501E-2</v>
      </c>
      <c r="U19" s="53">
        <f>_xlfn.STDEV.S(U3:U14)</f>
        <v>0.17437296253645682</v>
      </c>
    </row>
    <row r="20" spans="17:38" ht="15.75" thickBot="1" x14ac:dyDescent="0.3"/>
    <row r="21" spans="17:38" x14ac:dyDescent="0.25">
      <c r="Q21" s="56" t="s">
        <v>14</v>
      </c>
      <c r="R21" s="54">
        <f>_xlfn.COVARIANCE.S(R3:R14,S3:S14)</f>
        <v>8.1859130439260121E-4</v>
      </c>
      <c r="S21" s="55">
        <f>_xlfn.COVARIANCE.S(S3:S13,T3:T13)</f>
        <v>1.3913796478403331E-3</v>
      </c>
      <c r="T21" s="55">
        <f>_xlfn.COVARIANCE.S(R3:R13,T3:T13)</f>
        <v>1.1704787335383199E-3</v>
      </c>
      <c r="U21" s="55">
        <f>_xlfn.COVARIANCE.S(R3:R13,U3:U13)</f>
        <v>-2.8974518195845544E-3</v>
      </c>
      <c r="V21" s="55">
        <f>_xlfn.COVARIANCE.S(S3:S13,U3:U13)</f>
        <v>2.0912291290150651E-3</v>
      </c>
      <c r="W21" s="59">
        <f>_xlfn.COVARIANCE.S(T3:T13,U3:U13)</f>
        <v>-1.8758755411098622E-3</v>
      </c>
    </row>
    <row r="22" spans="17:38" ht="15.75" thickBot="1" x14ac:dyDescent="0.3">
      <c r="Q22" s="57" t="s">
        <v>13</v>
      </c>
      <c r="R22" s="47">
        <f>CORREL(R3:R14,S3:S14)</f>
        <v>0.38978467054514365</v>
      </c>
      <c r="S22" s="48">
        <f>CORREL(S3:S13,T3:T13)</f>
        <v>0.40432121813400246</v>
      </c>
      <c r="T22" s="48">
        <f>CORREL(R3:R13,T3:T13)</f>
        <v>0.58685072759164203</v>
      </c>
      <c r="U22" s="60">
        <f>CORREL(R4:R14,U4:U14)</f>
        <v>-0.45615735289210257</v>
      </c>
      <c r="V22" s="60">
        <f>CORREL(S4:S14,U4:U14)</f>
        <v>0.29995808069764857</v>
      </c>
      <c r="W22" s="61">
        <f>CORREL(T4:T14,U4:U14)</f>
        <v>-0.25397125746139898</v>
      </c>
    </row>
    <row r="26" spans="17:38" ht="15.75" thickBot="1" x14ac:dyDescent="0.3"/>
    <row r="27" spans="17:38" ht="15.75" thickBot="1" x14ac:dyDescent="0.3">
      <c r="Q27" s="32" t="s">
        <v>21</v>
      </c>
      <c r="R27" s="27">
        <v>1E-4</v>
      </c>
    </row>
  </sheetData>
  <dataConsolidate/>
  <mergeCells count="1">
    <mergeCell ref="R15:U15"/>
  </mergeCells>
  <dataValidations count="1">
    <dataValidation type="list" allowBlank="1" showInputMessage="1" showErrorMessage="1" sqref="R2 S2:U2">
      <formula1>Companies4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96"/>
  <sheetViews>
    <sheetView topLeftCell="V1" workbookViewId="0">
      <selection activeCell="R2" sqref="R2"/>
    </sheetView>
  </sheetViews>
  <sheetFormatPr defaultRowHeight="15" x14ac:dyDescent="0.25"/>
  <cols>
    <col min="1" max="1" width="10.42578125" bestFit="1" customWidth="1"/>
    <col min="9" max="9" width="9.7109375" bestFit="1" customWidth="1"/>
    <col min="11" max="11" width="9.42578125" customWidth="1"/>
    <col min="17" max="17" width="11" bestFit="1" customWidth="1"/>
    <col min="22" max="22" width="21.85546875" bestFit="1" customWidth="1"/>
    <col min="23" max="23" width="12.140625" bestFit="1" customWidth="1"/>
    <col min="27" max="27" width="9.5703125" bestFit="1" customWidth="1"/>
    <col min="31" max="31" width="28" bestFit="1" customWidth="1"/>
    <col min="34" max="34" width="16.5703125" bestFit="1" customWidth="1"/>
  </cols>
  <sheetData>
    <row r="1" spans="1:34" ht="15.75" thickBot="1" x14ac:dyDescent="0.3">
      <c r="A1" s="3"/>
      <c r="B1" s="3" t="s">
        <v>7</v>
      </c>
      <c r="C1" s="3"/>
      <c r="D1" s="3"/>
      <c r="E1" s="3"/>
      <c r="F1" s="3"/>
      <c r="G1" s="3"/>
      <c r="I1" s="3"/>
      <c r="J1" s="3" t="s">
        <v>8</v>
      </c>
      <c r="K1" s="3"/>
      <c r="L1" s="3"/>
      <c r="M1" s="3"/>
      <c r="N1" s="3"/>
      <c r="O1" s="3"/>
      <c r="P1" s="89" t="s">
        <v>31</v>
      </c>
      <c r="W1" s="11" t="s">
        <v>15</v>
      </c>
      <c r="X1" s="11" t="s">
        <v>15</v>
      </c>
      <c r="Y1" s="11" t="s">
        <v>15</v>
      </c>
      <c r="Z1" s="11" t="s">
        <v>15</v>
      </c>
    </row>
    <row r="2" spans="1:34" ht="15.75" thickBot="1" x14ac:dyDescent="0.3">
      <c r="A2" s="92" t="s">
        <v>0</v>
      </c>
      <c r="B2" s="92" t="s">
        <v>6</v>
      </c>
      <c r="C2" s="92" t="s">
        <v>33</v>
      </c>
      <c r="D2" s="92" t="s">
        <v>34</v>
      </c>
      <c r="E2" s="92" t="s">
        <v>35</v>
      </c>
      <c r="F2" s="92" t="s">
        <v>36</v>
      </c>
      <c r="G2" s="92" t="s">
        <v>37</v>
      </c>
      <c r="I2" s="4" t="s">
        <v>0</v>
      </c>
      <c r="J2" s="4" t="str">
        <f>B2</f>
        <v>AAPL</v>
      </c>
      <c r="K2" s="4" t="str">
        <f t="shared" ref="K2:O2" si="0">C2</f>
        <v>DIS</v>
      </c>
      <c r="L2" s="4" t="str">
        <f t="shared" si="0"/>
        <v>HD</v>
      </c>
      <c r="M2" s="4" t="str">
        <f t="shared" si="0"/>
        <v>KGC</v>
      </c>
      <c r="N2" s="4" t="str">
        <f t="shared" si="0"/>
        <v>AUY</v>
      </c>
      <c r="O2" s="4" t="str">
        <f t="shared" si="0"/>
        <v>RAD</v>
      </c>
      <c r="P2" s="90">
        <v>1</v>
      </c>
      <c r="R2" s="4" t="s">
        <v>33</v>
      </c>
      <c r="S2" s="4" t="s">
        <v>37</v>
      </c>
      <c r="T2" s="4" t="s">
        <v>34</v>
      </c>
      <c r="W2" s="34" t="s">
        <v>19</v>
      </c>
      <c r="X2" s="8" t="str">
        <f>R2</f>
        <v>DIS</v>
      </c>
      <c r="Y2" s="9" t="str">
        <f>S2</f>
        <v>RAD</v>
      </c>
      <c r="Z2" s="9" t="str">
        <f>T2</f>
        <v>HD</v>
      </c>
      <c r="AA2" s="9" t="s">
        <v>16</v>
      </c>
      <c r="AB2" s="9" t="s">
        <v>17</v>
      </c>
      <c r="AC2" s="10" t="s">
        <v>18</v>
      </c>
      <c r="AE2" s="62" t="s">
        <v>24</v>
      </c>
      <c r="AG2" s="63">
        <v>30</v>
      </c>
    </row>
    <row r="3" spans="1:34" ht="15.75" thickBot="1" x14ac:dyDescent="0.3">
      <c r="A3" s="93">
        <v>42339</v>
      </c>
      <c r="B3">
        <v>108.029999</v>
      </c>
      <c r="C3">
        <v>105.860001</v>
      </c>
      <c r="D3">
        <v>132.89999399999999</v>
      </c>
      <c r="E3">
        <v>1.95</v>
      </c>
      <c r="F3">
        <v>1.99</v>
      </c>
      <c r="G3">
        <v>7.86</v>
      </c>
      <c r="I3" s="94">
        <v>42339</v>
      </c>
      <c r="J3">
        <f>(B3-B4)/B4</f>
        <v>-8.6813218424009672E-2</v>
      </c>
      <c r="K3">
        <f t="shared" ref="K3:O18" si="1">(C3-C4)/C4</f>
        <v>-6.1085829836699961E-2</v>
      </c>
      <c r="L3">
        <f t="shared" si="1"/>
        <v>-2.9260632730545117E-3</v>
      </c>
      <c r="M3">
        <f t="shared" si="1"/>
        <v>1.5625000000000014E-2</v>
      </c>
      <c r="N3">
        <f t="shared" si="1"/>
        <v>-5.2380952380952424E-2</v>
      </c>
      <c r="O3">
        <f t="shared" si="1"/>
        <v>-2.5380710659897937E-3</v>
      </c>
      <c r="P3" s="90">
        <v>2</v>
      </c>
      <c r="R3">
        <f t="shared" ref="R3:R49" si="2">HLOOKUP($R$2,Returns3Years3,P3,FALSE)</f>
        <v>-6.1085829836699961E-2</v>
      </c>
      <c r="S3">
        <f t="shared" ref="S3:S49" si="3">HLOOKUP($S$2,Returns3Years3,P3,FALSE)</f>
        <v>-2.5380710659897937E-3</v>
      </c>
      <c r="T3">
        <f t="shared" ref="T3:T49" si="4">HLOOKUP($T$2,Returns3Years3,P3,FALSE)</f>
        <v>-2.9260632730545117E-3</v>
      </c>
      <c r="W3" s="23">
        <f t="shared" ref="W3:W34" si="5">(AA3-$R$59)/AC3</f>
        <v>0.57172056713666108</v>
      </c>
      <c r="X3" s="87">
        <v>0</v>
      </c>
      <c r="Y3" s="87">
        <v>0.1</v>
      </c>
      <c r="Z3" s="87">
        <f t="shared" ref="Z3:Z60" si="6">1-Y3-X3</f>
        <v>0.9</v>
      </c>
      <c r="AA3" s="6">
        <f t="shared" ref="AA3:AA34" si="7">X3*$R$53+Y3*$S$53+Z3*$T$53</f>
        <v>2.7932340857332389E-2</v>
      </c>
      <c r="AB3" s="22">
        <f t="shared" ref="AB3:AB34" si="8">X3^2*$R$54+Y3^2*$S$54+Z3^2*$T$54+2*X3*Y3*$R$56+2*X3*Z3*$T$56+2*Y3*Z3*$S$56</f>
        <v>2.3699099115015564E-3</v>
      </c>
      <c r="AC3" s="6">
        <f>SQRT(AB3)</f>
        <v>4.8681720506793473E-2</v>
      </c>
      <c r="AE3" s="64"/>
      <c r="AF3" s="65"/>
      <c r="AG3" s="66"/>
    </row>
    <row r="4" spans="1:34" x14ac:dyDescent="0.25">
      <c r="A4" s="93">
        <v>42310</v>
      </c>
      <c r="B4">
        <v>118.300003</v>
      </c>
      <c r="C4">
        <v>112.74726099999999</v>
      </c>
      <c r="D4">
        <v>133.290009</v>
      </c>
      <c r="E4">
        <v>1.92</v>
      </c>
      <c r="F4">
        <v>2.1</v>
      </c>
      <c r="G4">
        <v>7.88</v>
      </c>
      <c r="I4" s="94">
        <v>42310</v>
      </c>
      <c r="J4">
        <f t="shared" ref="J4:O19" si="9">(B4-B5)/B5</f>
        <v>-5.8043126106819762E-3</v>
      </c>
      <c r="K4">
        <f t="shared" si="1"/>
        <v>-2.3738328164973725E-3</v>
      </c>
      <c r="L4">
        <f t="shared" si="1"/>
        <v>8.2821201616574178E-2</v>
      </c>
      <c r="M4">
        <f t="shared" si="1"/>
        <v>-4.477611940298501E-2</v>
      </c>
      <c r="N4">
        <f t="shared" si="1"/>
        <v>-4.1095890410958839E-2</v>
      </c>
      <c r="O4">
        <f t="shared" si="1"/>
        <v>0</v>
      </c>
      <c r="P4" s="90">
        <v>3</v>
      </c>
      <c r="R4">
        <f t="shared" si="2"/>
        <v>-2.3738328164973725E-3</v>
      </c>
      <c r="S4">
        <f t="shared" si="3"/>
        <v>0</v>
      </c>
      <c r="T4">
        <f t="shared" si="4"/>
        <v>8.2821201616574178E-2</v>
      </c>
      <c r="W4" s="23">
        <f t="shared" si="5"/>
        <v>0.56983968087537129</v>
      </c>
      <c r="X4" s="87">
        <v>0</v>
      </c>
      <c r="Y4" s="87">
        <v>0.2</v>
      </c>
      <c r="Z4" s="87">
        <f t="shared" si="6"/>
        <v>0.8</v>
      </c>
      <c r="AA4" s="6">
        <f t="shared" si="7"/>
        <v>3.1635198447310151E-2</v>
      </c>
      <c r="AB4" s="22">
        <f t="shared" si="8"/>
        <v>3.0625681409479407E-3</v>
      </c>
      <c r="AC4" s="6">
        <f t="shared" ref="AC4:AC60" si="10">SQRT(AB4)</f>
        <v>5.5340474708371813E-2</v>
      </c>
      <c r="AE4" s="67" t="s">
        <v>25</v>
      </c>
      <c r="AG4" s="79">
        <f>(AA62-AA63)/(AG2*AB62)</f>
        <v>0.40503544345903919</v>
      </c>
    </row>
    <row r="5" spans="1:34" ht="15.75" thickBot="1" x14ac:dyDescent="0.3">
      <c r="A5" s="93">
        <v>42278</v>
      </c>
      <c r="B5">
        <v>118.990662</v>
      </c>
      <c r="C5">
        <v>113.015541</v>
      </c>
      <c r="D5">
        <v>123.095123</v>
      </c>
      <c r="E5">
        <v>2.0099999999999998</v>
      </c>
      <c r="F5">
        <v>2.19</v>
      </c>
      <c r="G5">
        <v>7.88</v>
      </c>
      <c r="I5" s="94">
        <v>42278</v>
      </c>
      <c r="J5">
        <f t="shared" si="9"/>
        <v>8.3408910828922808E-2</v>
      </c>
      <c r="K5">
        <f t="shared" si="1"/>
        <v>0.11291587566133808</v>
      </c>
      <c r="L5">
        <f t="shared" si="1"/>
        <v>7.0568868827687828E-2</v>
      </c>
      <c r="M5">
        <f t="shared" si="1"/>
        <v>0.16860465116279058</v>
      </c>
      <c r="N5">
        <f t="shared" si="1"/>
        <v>0.28823529411764703</v>
      </c>
      <c r="O5">
        <f t="shared" si="1"/>
        <v>0.29818780889621077</v>
      </c>
      <c r="P5" s="90">
        <v>4</v>
      </c>
      <c r="R5">
        <f t="shared" si="2"/>
        <v>0.11291587566133808</v>
      </c>
      <c r="S5">
        <f t="shared" si="3"/>
        <v>0.29818780889621077</v>
      </c>
      <c r="T5">
        <f t="shared" si="4"/>
        <v>7.0568868827687828E-2</v>
      </c>
      <c r="W5" s="23">
        <f t="shared" si="5"/>
        <v>0.48269839086268779</v>
      </c>
      <c r="X5" s="87">
        <v>0</v>
      </c>
      <c r="Y5" s="87">
        <v>0.5</v>
      </c>
      <c r="Z5" s="87">
        <f t="shared" si="6"/>
        <v>0.5</v>
      </c>
      <c r="AA5" s="6">
        <f t="shared" si="7"/>
        <v>4.2743771217243418E-2</v>
      </c>
      <c r="AB5" s="22">
        <f t="shared" si="8"/>
        <v>7.8047591818784122E-3</v>
      </c>
      <c r="AC5" s="6">
        <f t="shared" si="10"/>
        <v>8.8344548116329233E-2</v>
      </c>
      <c r="AE5" s="67" t="s">
        <v>26</v>
      </c>
      <c r="AF5" s="68"/>
      <c r="AG5" s="80">
        <f>1-AG4</f>
        <v>0.59496455654096081</v>
      </c>
    </row>
    <row r="6" spans="1:34" ht="15.75" thickBot="1" x14ac:dyDescent="0.3">
      <c r="A6" s="93">
        <v>42248</v>
      </c>
      <c r="B6">
        <v>109.82987199999999</v>
      </c>
      <c r="C6">
        <v>101.549042</v>
      </c>
      <c r="D6">
        <v>114.981041</v>
      </c>
      <c r="E6">
        <v>1.72</v>
      </c>
      <c r="F6">
        <v>1.7</v>
      </c>
      <c r="G6">
        <v>6.07</v>
      </c>
      <c r="I6" s="94">
        <v>42248</v>
      </c>
      <c r="J6">
        <f t="shared" si="9"/>
        <v>-2.1816257138843709E-2</v>
      </c>
      <c r="K6">
        <f t="shared" si="1"/>
        <v>3.1409622730585139E-3</v>
      </c>
      <c r="L6">
        <f t="shared" si="1"/>
        <v>-3.2795429607376508E-3</v>
      </c>
      <c r="M6">
        <f t="shared" si="1"/>
        <v>-3.9106145251396683E-2</v>
      </c>
      <c r="N6">
        <f t="shared" si="1"/>
        <v>-8.7971579048453943E-2</v>
      </c>
      <c r="O6">
        <f t="shared" si="1"/>
        <v>-0.26424242424242422</v>
      </c>
      <c r="P6" s="90">
        <v>5</v>
      </c>
      <c r="R6">
        <f t="shared" si="2"/>
        <v>3.1409622730585139E-3</v>
      </c>
      <c r="S6">
        <f t="shared" si="3"/>
        <v>-0.26424242424242422</v>
      </c>
      <c r="T6">
        <f t="shared" si="4"/>
        <v>-3.2795429607376508E-3</v>
      </c>
      <c r="W6" s="23">
        <f t="shared" si="5"/>
        <v>0.43584944725418423</v>
      </c>
      <c r="X6" s="87">
        <v>0</v>
      </c>
      <c r="Y6" s="87">
        <v>0.7</v>
      </c>
      <c r="Z6" s="87">
        <f t="shared" si="6"/>
        <v>0.30000000000000004</v>
      </c>
      <c r="AA6" s="6">
        <f t="shared" si="7"/>
        <v>5.0149486397198927E-2</v>
      </c>
      <c r="AB6" s="22">
        <f t="shared" si="8"/>
        <v>1.3186400169658158E-2</v>
      </c>
      <c r="AC6" s="6">
        <f t="shared" si="10"/>
        <v>0.11483205201361751</v>
      </c>
      <c r="AE6" s="65"/>
      <c r="AF6" s="65"/>
      <c r="AG6" s="66"/>
    </row>
    <row r="7" spans="1:34" x14ac:dyDescent="0.25">
      <c r="A7" s="93">
        <v>42219</v>
      </c>
      <c r="B7">
        <v>112.279388</v>
      </c>
      <c r="C7">
        <v>101.23107899999999</v>
      </c>
      <c r="D7">
        <v>115.35936700000001</v>
      </c>
      <c r="E7">
        <v>1.79</v>
      </c>
      <c r="F7">
        <v>1.863977</v>
      </c>
      <c r="G7">
        <v>8.25</v>
      </c>
      <c r="I7" s="94">
        <v>42219</v>
      </c>
      <c r="J7">
        <f t="shared" si="9"/>
        <v>-6.6196166025737607E-2</v>
      </c>
      <c r="K7">
        <f t="shared" si="1"/>
        <v>-0.15100005474871647</v>
      </c>
      <c r="L7">
        <f t="shared" si="1"/>
        <v>-4.8705539192964026E-3</v>
      </c>
      <c r="M7">
        <f t="shared" si="1"/>
        <v>-1.6483516483516498E-2</v>
      </c>
      <c r="N7">
        <f t="shared" si="1"/>
        <v>-4.0816242515932993E-2</v>
      </c>
      <c r="O7">
        <f t="shared" si="1"/>
        <v>-7.4074074074074084E-2</v>
      </c>
      <c r="P7" s="90">
        <v>6</v>
      </c>
      <c r="R7">
        <f t="shared" si="2"/>
        <v>-0.15100005474871647</v>
      </c>
      <c r="S7">
        <f t="shared" si="3"/>
        <v>-7.4074074074074084E-2</v>
      </c>
      <c r="T7">
        <f t="shared" si="4"/>
        <v>-4.8705539192964026E-3</v>
      </c>
      <c r="W7" s="23">
        <f t="shared" si="5"/>
        <v>0.40281830739594199</v>
      </c>
      <c r="X7" s="87">
        <v>0</v>
      </c>
      <c r="Y7" s="87">
        <v>0.9</v>
      </c>
      <c r="Z7" s="87">
        <f t="shared" si="6"/>
        <v>9.9999999999999978E-2</v>
      </c>
      <c r="AA7" s="6">
        <f t="shared" si="7"/>
        <v>5.755520157715445E-2</v>
      </c>
      <c r="AB7" s="22">
        <f t="shared" si="8"/>
        <v>2.0344185392498791E-2</v>
      </c>
      <c r="AC7" s="6">
        <f t="shared" si="10"/>
        <v>0.1426330445321097</v>
      </c>
      <c r="AE7" s="69" t="s">
        <v>27</v>
      </c>
      <c r="AF7" s="70"/>
      <c r="AG7" s="82">
        <f>AG4*AA62+AG5*AA63</f>
        <v>1.1336730999017585E-2</v>
      </c>
    </row>
    <row r="8" spans="1:34" x14ac:dyDescent="0.25">
      <c r="A8" s="93">
        <v>42186</v>
      </c>
      <c r="B8">
        <v>120.238731</v>
      </c>
      <c r="C8">
        <v>119.23567199999999</v>
      </c>
      <c r="D8">
        <v>115.923981</v>
      </c>
      <c r="E8">
        <v>1.82</v>
      </c>
      <c r="F8">
        <v>1.943295</v>
      </c>
      <c r="G8">
        <v>8.91</v>
      </c>
      <c r="I8" s="94">
        <v>42186</v>
      </c>
      <c r="J8">
        <f t="shared" si="9"/>
        <v>-3.2926723415314149E-2</v>
      </c>
      <c r="K8">
        <f t="shared" si="1"/>
        <v>5.7455043980250475E-2</v>
      </c>
      <c r="L8">
        <f t="shared" si="1"/>
        <v>5.3091025337224859E-2</v>
      </c>
      <c r="M8">
        <f t="shared" si="1"/>
        <v>-0.21551724137931028</v>
      </c>
      <c r="N8">
        <f t="shared" si="1"/>
        <v>-0.34666685942055497</v>
      </c>
      <c r="O8">
        <f t="shared" si="1"/>
        <v>6.7065868263473119E-2</v>
      </c>
      <c r="P8" s="90">
        <v>7</v>
      </c>
      <c r="R8">
        <f t="shared" si="2"/>
        <v>5.7455043980250475E-2</v>
      </c>
      <c r="S8">
        <f t="shared" si="3"/>
        <v>6.7065868263473119E-2</v>
      </c>
      <c r="T8">
        <f t="shared" si="4"/>
        <v>5.3091025337224859E-2</v>
      </c>
      <c r="W8" s="23">
        <f t="shared" si="5"/>
        <v>0.54378275878441551</v>
      </c>
      <c r="X8" s="87">
        <v>0</v>
      </c>
      <c r="Y8" s="88">
        <v>0.3</v>
      </c>
      <c r="Z8" s="88">
        <f t="shared" si="6"/>
        <v>0.7</v>
      </c>
      <c r="AA8" s="6">
        <f t="shared" si="7"/>
        <v>3.5338056037287902E-2</v>
      </c>
      <c r="AB8" s="22">
        <f t="shared" si="8"/>
        <v>4.1992624291595435E-3</v>
      </c>
      <c r="AC8" s="6">
        <f t="shared" si="10"/>
        <v>6.4801716251651417E-2</v>
      </c>
      <c r="AE8" s="69" t="s">
        <v>28</v>
      </c>
      <c r="AF8" s="71"/>
      <c r="AG8" s="83">
        <f>AG4^2*AB63</f>
        <v>0</v>
      </c>
    </row>
    <row r="9" spans="1:34" ht="15.75" thickBot="1" x14ac:dyDescent="0.3">
      <c r="A9" s="93">
        <v>42156</v>
      </c>
      <c r="B9">
        <v>124.332596</v>
      </c>
      <c r="C9">
        <v>112.75720200000001</v>
      </c>
      <c r="D9">
        <v>110.079735</v>
      </c>
      <c r="E9">
        <v>2.3199999999999998</v>
      </c>
      <c r="F9">
        <v>2.9744320000000002</v>
      </c>
      <c r="G9">
        <v>8.35</v>
      </c>
      <c r="I9" s="94">
        <v>42156</v>
      </c>
      <c r="J9">
        <f t="shared" si="9"/>
        <v>-3.7227542070624675E-2</v>
      </c>
      <c r="K9">
        <f t="shared" si="1"/>
        <v>3.4157835423490414E-2</v>
      </c>
      <c r="L9">
        <f t="shared" si="1"/>
        <v>2.6948673576690785E-3</v>
      </c>
      <c r="M9">
        <f t="shared" si="1"/>
        <v>-1.2765957446808616E-2</v>
      </c>
      <c r="N9">
        <f t="shared" si="1"/>
        <v>-0.16025577141495548</v>
      </c>
      <c r="O9">
        <f t="shared" si="1"/>
        <v>-4.2431192660550572E-2</v>
      </c>
      <c r="P9" s="90">
        <v>8</v>
      </c>
      <c r="R9">
        <f t="shared" si="2"/>
        <v>3.4157835423490414E-2</v>
      </c>
      <c r="S9">
        <f t="shared" si="3"/>
        <v>-4.2431192660550572E-2</v>
      </c>
      <c r="T9">
        <f t="shared" si="4"/>
        <v>2.6948673576690785E-3</v>
      </c>
      <c r="W9" s="23">
        <f t="shared" si="5"/>
        <v>0.51220343758580344</v>
      </c>
      <c r="X9" s="87">
        <v>0</v>
      </c>
      <c r="Y9" s="88">
        <v>0.4</v>
      </c>
      <c r="Z9" s="88">
        <f t="shared" si="6"/>
        <v>0.6</v>
      </c>
      <c r="AA9" s="6">
        <f t="shared" si="7"/>
        <v>3.904091362726566E-2</v>
      </c>
      <c r="AB9" s="22">
        <f t="shared" si="8"/>
        <v>5.7799927761363681E-3</v>
      </c>
      <c r="AC9" s="6">
        <f t="shared" si="10"/>
        <v>7.6026263726007001E-2</v>
      </c>
      <c r="AE9" s="69" t="s">
        <v>29</v>
      </c>
      <c r="AF9" s="72"/>
      <c r="AG9" s="84">
        <f>AG4*AC62</f>
        <v>1.9353493223892498E-2</v>
      </c>
    </row>
    <row r="10" spans="1:34" ht="15.75" thickBot="1" x14ac:dyDescent="0.3">
      <c r="A10" s="93">
        <v>42125</v>
      </c>
      <c r="B10">
        <v>129.14016699999999</v>
      </c>
      <c r="C10">
        <v>109.032875</v>
      </c>
      <c r="D10">
        <v>109.78388200000001</v>
      </c>
      <c r="E10">
        <v>2.35</v>
      </c>
      <c r="F10">
        <v>3.5420690000000001</v>
      </c>
      <c r="G10">
        <v>8.7200000000000006</v>
      </c>
      <c r="I10" s="94">
        <v>42125</v>
      </c>
      <c r="J10">
        <f t="shared" si="9"/>
        <v>4.533911743850115E-2</v>
      </c>
      <c r="K10">
        <f t="shared" si="1"/>
        <v>1.5176615915722915E-2</v>
      </c>
      <c r="L10">
        <f t="shared" si="1"/>
        <v>4.1503005888828187E-2</v>
      </c>
      <c r="M10">
        <f t="shared" si="1"/>
        <v>-3.2921810699588501E-2</v>
      </c>
      <c r="N10">
        <f t="shared" si="1"/>
        <v>-6.0209371297092681E-2</v>
      </c>
      <c r="O10">
        <f t="shared" si="1"/>
        <v>0.13099870298313887</v>
      </c>
      <c r="P10" s="90">
        <v>9</v>
      </c>
      <c r="R10">
        <f t="shared" si="2"/>
        <v>1.5176615915722915E-2</v>
      </c>
      <c r="S10">
        <f t="shared" si="3"/>
        <v>0.13099870298313887</v>
      </c>
      <c r="T10">
        <f t="shared" si="4"/>
        <v>4.1503005888828187E-2</v>
      </c>
      <c r="W10" s="23">
        <f t="shared" si="5"/>
        <v>0.4572541270557936</v>
      </c>
      <c r="X10" s="87">
        <v>0</v>
      </c>
      <c r="Y10" s="88">
        <v>0.6</v>
      </c>
      <c r="Z10" s="88">
        <f t="shared" si="6"/>
        <v>0.4</v>
      </c>
      <c r="AA10" s="6">
        <f t="shared" si="7"/>
        <v>4.6446628807221169E-2</v>
      </c>
      <c r="AB10" s="22">
        <f t="shared" si="8"/>
        <v>1.0273561646385676E-2</v>
      </c>
      <c r="AC10" s="6">
        <f t="shared" si="10"/>
        <v>0.10135857954009457</v>
      </c>
      <c r="AE10" s="69" t="s">
        <v>30</v>
      </c>
      <c r="AF10" s="73"/>
      <c r="AG10" s="81">
        <f>(AG7-AA63)/AG9</f>
        <v>0.58060479671677501</v>
      </c>
    </row>
    <row r="11" spans="1:34" x14ac:dyDescent="0.25">
      <c r="A11" s="93">
        <v>42095</v>
      </c>
      <c r="B11">
        <v>123.539017</v>
      </c>
      <c r="C11">
        <v>107.402863</v>
      </c>
      <c r="D11">
        <v>105.409088</v>
      </c>
      <c r="E11">
        <v>2.4300000000000002</v>
      </c>
      <c r="F11">
        <v>3.7689979999999998</v>
      </c>
      <c r="G11">
        <v>7.71</v>
      </c>
      <c r="I11" s="94">
        <v>42095</v>
      </c>
      <c r="J11">
        <f t="shared" si="9"/>
        <v>5.7864443886448021E-3</v>
      </c>
      <c r="K11">
        <f t="shared" si="1"/>
        <v>3.6514446160459492E-2</v>
      </c>
      <c r="L11">
        <f t="shared" si="1"/>
        <v>-5.835749702164237E-2</v>
      </c>
      <c r="M11">
        <f t="shared" si="1"/>
        <v>8.4821428571428534E-2</v>
      </c>
      <c r="N11">
        <f t="shared" si="1"/>
        <v>6.4066792600595779E-2</v>
      </c>
      <c r="O11">
        <f t="shared" si="1"/>
        <v>-0.11277330264672032</v>
      </c>
      <c r="P11" s="90">
        <v>10</v>
      </c>
      <c r="R11">
        <f t="shared" si="2"/>
        <v>3.6514446160459492E-2</v>
      </c>
      <c r="S11">
        <f t="shared" si="3"/>
        <v>-0.11277330264672032</v>
      </c>
      <c r="T11">
        <f t="shared" si="4"/>
        <v>-5.835749702164237E-2</v>
      </c>
      <c r="W11" s="23">
        <f t="shared" si="5"/>
        <v>0.41791375550793319</v>
      </c>
      <c r="X11" s="87">
        <v>0</v>
      </c>
      <c r="Y11" s="88">
        <v>0.8</v>
      </c>
      <c r="Z11" s="88">
        <f t="shared" si="6"/>
        <v>0.19999999999999996</v>
      </c>
      <c r="AA11" s="6">
        <f t="shared" si="7"/>
        <v>5.3852343987176692E-2</v>
      </c>
      <c r="AB11" s="22">
        <f t="shared" si="8"/>
        <v>1.6543274751695869E-2</v>
      </c>
      <c r="AC11" s="6">
        <f t="shared" si="10"/>
        <v>0.12862066222693719</v>
      </c>
    </row>
    <row r="12" spans="1:34" x14ac:dyDescent="0.25">
      <c r="A12" s="93">
        <v>42065</v>
      </c>
      <c r="B12">
        <v>122.828278</v>
      </c>
      <c r="C12">
        <v>103.619263</v>
      </c>
      <c r="D12">
        <v>111.941727</v>
      </c>
      <c r="E12">
        <v>2.2400000000000002</v>
      </c>
      <c r="F12">
        <v>3.5420690000000001</v>
      </c>
      <c r="G12">
        <v>8.69</v>
      </c>
      <c r="I12" s="94">
        <v>42065</v>
      </c>
      <c r="J12">
        <f t="shared" si="9"/>
        <v>-3.1371710130872539E-2</v>
      </c>
      <c r="K12">
        <f t="shared" si="1"/>
        <v>7.782466282983758E-3</v>
      </c>
      <c r="L12">
        <f t="shared" si="1"/>
        <v>-4.8400706476195909E-3</v>
      </c>
      <c r="M12">
        <f t="shared" si="1"/>
        <v>-0.2112676056338027</v>
      </c>
      <c r="N12">
        <f t="shared" si="1"/>
        <v>-0.15599593399073181</v>
      </c>
      <c r="O12">
        <f t="shared" si="1"/>
        <v>8.897243107769412E-2</v>
      </c>
      <c r="P12" s="90">
        <v>11</v>
      </c>
      <c r="R12">
        <f t="shared" si="2"/>
        <v>7.782466282983758E-3</v>
      </c>
      <c r="S12">
        <f t="shared" si="3"/>
        <v>8.897243107769412E-2</v>
      </c>
      <c r="T12">
        <f t="shared" si="4"/>
        <v>-4.8400706476195909E-3</v>
      </c>
      <c r="W12" s="23">
        <f t="shared" si="5"/>
        <v>0.53657498868757592</v>
      </c>
      <c r="X12" s="87">
        <v>0.1</v>
      </c>
      <c r="Y12" s="87">
        <v>0</v>
      </c>
      <c r="Z12" s="87">
        <f t="shared" si="6"/>
        <v>0.9</v>
      </c>
      <c r="AA12" s="6">
        <f t="shared" si="7"/>
        <v>2.4184606302607162E-2</v>
      </c>
      <c r="AB12" s="22">
        <f t="shared" si="8"/>
        <v>2.0147364930725013E-3</v>
      </c>
      <c r="AC12" s="6">
        <f t="shared" si="10"/>
        <v>4.4885816168055821E-2</v>
      </c>
    </row>
    <row r="13" spans="1:34" x14ac:dyDescent="0.25">
      <c r="A13" s="93">
        <v>42037</v>
      </c>
      <c r="B13">
        <v>126.80641199999999</v>
      </c>
      <c r="C13">
        <v>102.81907699999999</v>
      </c>
      <c r="D13">
        <v>112.48616800000001</v>
      </c>
      <c r="E13">
        <v>2.84</v>
      </c>
      <c r="F13">
        <v>4.1967439999999998</v>
      </c>
      <c r="G13">
        <v>7.98</v>
      </c>
      <c r="I13" s="94">
        <v>42037</v>
      </c>
      <c r="J13">
        <f t="shared" si="9"/>
        <v>0.10077652471433006</v>
      </c>
      <c r="K13">
        <f t="shared" si="1"/>
        <v>0.14423922626832714</v>
      </c>
      <c r="L13">
        <f t="shared" si="1"/>
        <v>9.8927410699898563E-2</v>
      </c>
      <c r="M13">
        <f t="shared" si="1"/>
        <v>-0.16224188790560479</v>
      </c>
      <c r="N13">
        <f t="shared" si="1"/>
        <v>3.8929428945096808E-2</v>
      </c>
      <c r="O13">
        <f t="shared" si="1"/>
        <v>0.14326647564469913</v>
      </c>
      <c r="P13" s="90">
        <v>12</v>
      </c>
      <c r="R13">
        <f t="shared" si="2"/>
        <v>0.14423922626832714</v>
      </c>
      <c r="S13">
        <f t="shared" si="3"/>
        <v>0.14326647564469913</v>
      </c>
      <c r="T13">
        <f t="shared" si="4"/>
        <v>9.8927410699898563E-2</v>
      </c>
      <c r="W13" s="23">
        <f t="shared" si="5"/>
        <v>0.54411360959703337</v>
      </c>
      <c r="X13" s="87">
        <v>0.3</v>
      </c>
      <c r="Y13" s="87">
        <v>0</v>
      </c>
      <c r="Z13" s="87">
        <f t="shared" si="6"/>
        <v>0.7</v>
      </c>
      <c r="AA13" s="6">
        <f t="shared" si="7"/>
        <v>2.4094852373112218E-2</v>
      </c>
      <c r="AB13" s="22">
        <f t="shared" si="8"/>
        <v>1.9447195808676785E-3</v>
      </c>
      <c r="AC13" s="6">
        <f t="shared" si="10"/>
        <v>4.409897482785375E-2</v>
      </c>
    </row>
    <row r="14" spans="1:34" x14ac:dyDescent="0.25">
      <c r="A14" s="93">
        <v>42006</v>
      </c>
      <c r="B14">
        <v>115.19723500000001</v>
      </c>
      <c r="C14">
        <v>89.858024999999998</v>
      </c>
      <c r="D14">
        <v>102.359962</v>
      </c>
      <c r="E14">
        <v>3.39</v>
      </c>
      <c r="F14">
        <v>4.0394889999999997</v>
      </c>
      <c r="G14">
        <v>6.98</v>
      </c>
      <c r="I14" s="94">
        <v>42006</v>
      </c>
      <c r="J14">
        <f t="shared" si="9"/>
        <v>6.1424213943293449E-2</v>
      </c>
      <c r="K14">
        <f t="shared" si="1"/>
        <v>-3.4292421542621819E-2</v>
      </c>
      <c r="L14">
        <f t="shared" si="1"/>
        <v>-5.2396465170834071E-3</v>
      </c>
      <c r="M14">
        <f t="shared" si="1"/>
        <v>0.20212765957446821</v>
      </c>
      <c r="N14">
        <f t="shared" si="1"/>
        <v>2.2388069145461421E-2</v>
      </c>
      <c r="O14">
        <f t="shared" si="1"/>
        <v>-7.1808510638297768E-2</v>
      </c>
      <c r="P14" s="90">
        <v>13</v>
      </c>
      <c r="R14">
        <f t="shared" si="2"/>
        <v>-3.4292421542621819E-2</v>
      </c>
      <c r="S14">
        <f t="shared" si="3"/>
        <v>-7.1808510638297768E-2</v>
      </c>
      <c r="T14">
        <f t="shared" si="4"/>
        <v>-5.2396465170834071E-3</v>
      </c>
      <c r="W14" s="23">
        <f t="shared" si="5"/>
        <v>0.52599265193605693</v>
      </c>
      <c r="X14" s="87">
        <v>0.5</v>
      </c>
      <c r="Y14" s="87">
        <v>0</v>
      </c>
      <c r="Z14" s="87">
        <f t="shared" si="6"/>
        <v>0.5</v>
      </c>
      <c r="AA14" s="6">
        <f t="shared" si="7"/>
        <v>2.4005098443617281E-2</v>
      </c>
      <c r="AB14" s="22">
        <f t="shared" si="8"/>
        <v>2.0654834463841379E-3</v>
      </c>
      <c r="AC14" s="6">
        <f t="shared" si="10"/>
        <v>4.5447590105352535E-2</v>
      </c>
      <c r="AE14" s="74"/>
      <c r="AF14" s="74"/>
      <c r="AG14" s="74"/>
      <c r="AH14" s="74"/>
    </row>
    <row r="15" spans="1:34" x14ac:dyDescent="0.25">
      <c r="A15" s="93">
        <v>41974</v>
      </c>
      <c r="B15">
        <v>108.530815</v>
      </c>
      <c r="C15">
        <v>93.048896999999997</v>
      </c>
      <c r="D15">
        <v>102.899117</v>
      </c>
      <c r="E15">
        <v>2.82</v>
      </c>
      <c r="F15">
        <v>3.9510329999999998</v>
      </c>
      <c r="G15">
        <v>7.52</v>
      </c>
      <c r="I15" s="94">
        <v>41974</v>
      </c>
      <c r="J15">
        <f t="shared" si="9"/>
        <v>-7.1891014741061521E-2</v>
      </c>
      <c r="K15">
        <f t="shared" si="1"/>
        <v>3.1101092499186307E-2</v>
      </c>
      <c r="L15">
        <f t="shared" si="1"/>
        <v>6.1079782407276205E-2</v>
      </c>
      <c r="M15">
        <f t="shared" si="1"/>
        <v>7.1428571428571496E-3</v>
      </c>
      <c r="N15">
        <f t="shared" si="1"/>
        <v>6.7465065869690352E-2</v>
      </c>
      <c r="O15">
        <f t="shared" si="1"/>
        <v>0.37226277372262756</v>
      </c>
      <c r="P15" s="90">
        <v>14</v>
      </c>
      <c r="R15">
        <f t="shared" si="2"/>
        <v>3.1101092499186307E-2</v>
      </c>
      <c r="S15">
        <f t="shared" si="3"/>
        <v>0.37226277372262756</v>
      </c>
      <c r="T15">
        <f t="shared" si="4"/>
        <v>6.1079782407276205E-2</v>
      </c>
      <c r="W15" s="23">
        <f t="shared" si="5"/>
        <v>0.48847204181488085</v>
      </c>
      <c r="X15" s="87">
        <v>0.7</v>
      </c>
      <c r="Y15" s="87">
        <v>0</v>
      </c>
      <c r="Z15" s="87">
        <f t="shared" si="6"/>
        <v>0.30000000000000004</v>
      </c>
      <c r="AA15" s="6">
        <f t="shared" si="7"/>
        <v>2.391534451412234E-2</v>
      </c>
      <c r="AB15" s="22">
        <f t="shared" si="8"/>
        <v>2.3770280896218796E-3</v>
      </c>
      <c r="AC15" s="6">
        <f t="shared" si="10"/>
        <v>4.8754775044316218E-2</v>
      </c>
      <c r="AE15" s="75"/>
      <c r="AF15" s="75"/>
      <c r="AG15" s="75"/>
      <c r="AH15" s="75"/>
    </row>
    <row r="16" spans="1:34" x14ac:dyDescent="0.25">
      <c r="A16" s="93">
        <v>41946</v>
      </c>
      <c r="B16">
        <v>116.93757600000001</v>
      </c>
      <c r="C16">
        <v>90.242264000000006</v>
      </c>
      <c r="D16">
        <v>96.975853000000001</v>
      </c>
      <c r="E16">
        <v>2.8</v>
      </c>
      <c r="F16">
        <v>3.7013229999999999</v>
      </c>
      <c r="G16">
        <v>5.48</v>
      </c>
      <c r="I16" s="94">
        <v>41946</v>
      </c>
      <c r="J16">
        <f t="shared" si="9"/>
        <v>0.10597875720140079</v>
      </c>
      <c r="K16">
        <f t="shared" si="1"/>
        <v>1.2365980281279304E-2</v>
      </c>
      <c r="L16">
        <f t="shared" si="1"/>
        <v>1.9278193840843227E-2</v>
      </c>
      <c r="M16">
        <f t="shared" si="1"/>
        <v>0.30232558139534882</v>
      </c>
      <c r="N16">
        <f t="shared" si="1"/>
        <v>-5.0251208572396316E-2</v>
      </c>
      <c r="O16">
        <f t="shared" si="1"/>
        <v>4.3809523809523888E-2</v>
      </c>
      <c r="P16" s="90">
        <v>15</v>
      </c>
      <c r="R16">
        <f t="shared" si="2"/>
        <v>1.2365980281279304E-2</v>
      </c>
      <c r="S16">
        <f t="shared" si="3"/>
        <v>4.3809523809523888E-2</v>
      </c>
      <c r="T16">
        <f t="shared" si="4"/>
        <v>1.9278193840843227E-2</v>
      </c>
      <c r="W16" s="23">
        <f t="shared" si="5"/>
        <v>0.44214990664064086</v>
      </c>
      <c r="X16" s="87">
        <v>0.9</v>
      </c>
      <c r="Y16" s="87">
        <v>0</v>
      </c>
      <c r="Z16" s="87">
        <f t="shared" si="6"/>
        <v>9.9999999999999978E-2</v>
      </c>
      <c r="AA16" s="6">
        <f t="shared" si="7"/>
        <v>2.3825590584627399E-2</v>
      </c>
      <c r="AB16" s="22">
        <f t="shared" si="8"/>
        <v>2.8793535105809034E-3</v>
      </c>
      <c r="AC16" s="6">
        <f t="shared" si="10"/>
        <v>5.3659607812403025E-2</v>
      </c>
      <c r="AE16" s="76"/>
      <c r="AF16" s="77"/>
      <c r="AG16" s="77"/>
      <c r="AH16" s="78"/>
    </row>
    <row r="17" spans="1:29" x14ac:dyDescent="0.25">
      <c r="A17" s="93">
        <v>41913</v>
      </c>
      <c r="B17">
        <v>105.732208</v>
      </c>
      <c r="C17">
        <v>89.139961</v>
      </c>
      <c r="D17">
        <v>95.141693000000004</v>
      </c>
      <c r="E17">
        <v>2.15</v>
      </c>
      <c r="F17">
        <v>3.89716</v>
      </c>
      <c r="G17">
        <v>5.25</v>
      </c>
      <c r="I17" s="94">
        <v>41913</v>
      </c>
      <c r="J17">
        <f t="shared" si="9"/>
        <v>7.1960287301256684E-2</v>
      </c>
      <c r="K17">
        <f t="shared" si="1"/>
        <v>2.6395545059106545E-2</v>
      </c>
      <c r="L17">
        <f t="shared" si="1"/>
        <v>6.300414216762619E-2</v>
      </c>
      <c r="M17">
        <f t="shared" si="1"/>
        <v>-0.34848484848484845</v>
      </c>
      <c r="N17">
        <f t="shared" si="1"/>
        <v>-0.33666660141971688</v>
      </c>
      <c r="O17">
        <f t="shared" si="1"/>
        <v>8.471074380165293E-2</v>
      </c>
      <c r="P17" s="90">
        <v>16</v>
      </c>
      <c r="R17">
        <f t="shared" si="2"/>
        <v>2.6395545059106545E-2</v>
      </c>
      <c r="S17">
        <f t="shared" si="3"/>
        <v>8.471074380165293E-2</v>
      </c>
      <c r="T17">
        <f t="shared" si="4"/>
        <v>6.300414216762619E-2</v>
      </c>
      <c r="W17" s="23">
        <f t="shared" si="5"/>
        <v>0.54357368254524041</v>
      </c>
      <c r="X17" s="88">
        <v>0.2</v>
      </c>
      <c r="Y17" s="87">
        <v>0</v>
      </c>
      <c r="Z17" s="87">
        <f t="shared" si="6"/>
        <v>0.8</v>
      </c>
      <c r="AA17" s="6">
        <f t="shared" si="7"/>
        <v>2.413972933785969E-2</v>
      </c>
      <c r="AB17" s="22">
        <f t="shared" si="8"/>
        <v>1.9558804397549301E-3</v>
      </c>
      <c r="AC17" s="6">
        <f t="shared" si="10"/>
        <v>4.4225337079042484E-2</v>
      </c>
    </row>
    <row r="18" spans="1:29" x14ac:dyDescent="0.25">
      <c r="A18" s="93">
        <v>41884</v>
      </c>
      <c r="B18">
        <v>98.634444999999999</v>
      </c>
      <c r="C18">
        <v>86.847572</v>
      </c>
      <c r="D18">
        <v>89.502655000000004</v>
      </c>
      <c r="E18">
        <v>3.3</v>
      </c>
      <c r="F18">
        <v>5.8751150000000001</v>
      </c>
      <c r="G18">
        <v>4.84</v>
      </c>
      <c r="I18" s="94">
        <v>41884</v>
      </c>
      <c r="J18">
        <f t="shared" si="9"/>
        <v>-1.7073206120853657E-2</v>
      </c>
      <c r="K18">
        <f t="shared" si="1"/>
        <v>-9.4569565764013996E-3</v>
      </c>
      <c r="L18">
        <f t="shared" si="1"/>
        <v>-1.3866640029735965E-2</v>
      </c>
      <c r="M18">
        <f t="shared" si="1"/>
        <v>-0.1624365482233503</v>
      </c>
      <c r="N18">
        <f t="shared" si="1"/>
        <v>-0.28990810563398245</v>
      </c>
      <c r="O18">
        <f t="shared" si="1"/>
        <v>-0.22186495176848875</v>
      </c>
      <c r="P18" s="90">
        <v>17</v>
      </c>
      <c r="R18">
        <f t="shared" si="2"/>
        <v>-9.4569565764013996E-3</v>
      </c>
      <c r="S18">
        <f t="shared" si="3"/>
        <v>-0.22186495176848875</v>
      </c>
      <c r="T18">
        <f t="shared" si="4"/>
        <v>-1.3866640029735965E-2</v>
      </c>
      <c r="W18" s="23">
        <f t="shared" si="5"/>
        <v>0.53806532184889211</v>
      </c>
      <c r="X18" s="88">
        <v>0.4</v>
      </c>
      <c r="Y18" s="87">
        <v>0</v>
      </c>
      <c r="Z18" s="87">
        <f t="shared" si="6"/>
        <v>0.6</v>
      </c>
      <c r="AA18" s="6">
        <f t="shared" si="7"/>
        <v>2.4049975408364753E-2</v>
      </c>
      <c r="AB18" s="22">
        <f t="shared" si="8"/>
        <v>1.9812539164107482E-3</v>
      </c>
      <c r="AC18" s="6">
        <f t="shared" si="10"/>
        <v>4.4511278530398879E-2</v>
      </c>
    </row>
    <row r="19" spans="1:29" x14ac:dyDescent="0.25">
      <c r="A19" s="93">
        <v>41852</v>
      </c>
      <c r="B19">
        <v>100.347702</v>
      </c>
      <c r="C19">
        <v>87.676727</v>
      </c>
      <c r="D19">
        <v>90.761207999999996</v>
      </c>
      <c r="E19">
        <v>3.94</v>
      </c>
      <c r="F19">
        <v>8.2737390000000008</v>
      </c>
      <c r="G19">
        <v>6.22</v>
      </c>
      <c r="I19" s="94">
        <v>41852</v>
      </c>
      <c r="J19">
        <f t="shared" si="9"/>
        <v>7.750881472862324E-2</v>
      </c>
      <c r="K19">
        <f t="shared" si="9"/>
        <v>4.6576530877046191E-2</v>
      </c>
      <c r="L19">
        <f t="shared" si="9"/>
        <v>0.15646269476966129</v>
      </c>
      <c r="M19">
        <f t="shared" si="9"/>
        <v>-1.2531328320802072E-2</v>
      </c>
      <c r="N19">
        <f t="shared" si="9"/>
        <v>-2.347463411922531E-3</v>
      </c>
      <c r="O19">
        <f t="shared" si="9"/>
        <v>-7.0254110612855095E-2</v>
      </c>
      <c r="P19" s="90">
        <v>18</v>
      </c>
      <c r="R19">
        <f t="shared" si="2"/>
        <v>4.6576530877046191E-2</v>
      </c>
      <c r="S19">
        <f t="shared" si="3"/>
        <v>-7.0254110612855095E-2</v>
      </c>
      <c r="T19">
        <f t="shared" si="4"/>
        <v>0.15646269476966129</v>
      </c>
      <c r="W19" s="23">
        <f t="shared" si="5"/>
        <v>0.5090015479566995</v>
      </c>
      <c r="X19" s="88">
        <v>0.6</v>
      </c>
      <c r="Y19" s="87">
        <v>0</v>
      </c>
      <c r="Z19" s="87">
        <f t="shared" si="6"/>
        <v>0.4</v>
      </c>
      <c r="AA19" s="6">
        <f t="shared" si="7"/>
        <v>2.3960221478869809E-2</v>
      </c>
      <c r="AB19" s="22">
        <f t="shared" si="8"/>
        <v>2.1974081707878488E-3</v>
      </c>
      <c r="AC19" s="6">
        <f t="shared" si="10"/>
        <v>4.6876520463744416E-2</v>
      </c>
    </row>
    <row r="20" spans="1:29" x14ac:dyDescent="0.25">
      <c r="A20" s="93">
        <v>41821</v>
      </c>
      <c r="B20">
        <v>93.129356000000001</v>
      </c>
      <c r="C20">
        <v>83.774788000000001</v>
      </c>
      <c r="D20">
        <v>78.481742999999994</v>
      </c>
      <c r="E20">
        <v>3.99</v>
      </c>
      <c r="F20">
        <v>8.2932070000000007</v>
      </c>
      <c r="G20">
        <v>6.69</v>
      </c>
      <c r="I20" s="94">
        <v>41821</v>
      </c>
      <c r="J20">
        <f t="shared" ref="J20:O38" si="11">(B20-B21)/B21</f>
        <v>2.8731306492933453E-2</v>
      </c>
      <c r="K20">
        <f t="shared" si="11"/>
        <v>1.6329138735554057E-3</v>
      </c>
      <c r="L20">
        <f t="shared" si="11"/>
        <v>-1.3587352779397184E-3</v>
      </c>
      <c r="M20">
        <f t="shared" si="11"/>
        <v>-3.6231884057970891E-2</v>
      </c>
      <c r="N20">
        <f t="shared" si="11"/>
        <v>3.6496437030882525E-2</v>
      </c>
      <c r="O20">
        <f t="shared" si="11"/>
        <v>-6.6945606694560608E-2</v>
      </c>
      <c r="P20" s="90">
        <v>19</v>
      </c>
      <c r="R20">
        <f t="shared" si="2"/>
        <v>1.6329138735554057E-3</v>
      </c>
      <c r="S20">
        <f t="shared" si="3"/>
        <v>-6.6945606694560608E-2</v>
      </c>
      <c r="T20">
        <f t="shared" si="4"/>
        <v>-1.3587352779397184E-3</v>
      </c>
      <c r="W20" s="23">
        <f t="shared" si="5"/>
        <v>0.46578834393982421</v>
      </c>
      <c r="X20" s="88">
        <v>0.8</v>
      </c>
      <c r="Y20" s="87">
        <v>0</v>
      </c>
      <c r="Z20" s="87">
        <f t="shared" si="6"/>
        <v>0.19999999999999996</v>
      </c>
      <c r="AA20" s="6">
        <f t="shared" si="7"/>
        <v>2.3870467549374871E-2</v>
      </c>
      <c r="AB20" s="22">
        <f t="shared" si="8"/>
        <v>2.6043432028862311E-3</v>
      </c>
      <c r="AC20" s="6">
        <f t="shared" si="10"/>
        <v>5.1032765973306124E-2</v>
      </c>
    </row>
    <row r="21" spans="1:29" x14ac:dyDescent="0.25">
      <c r="A21" s="93">
        <v>41792</v>
      </c>
      <c r="B21">
        <v>90.528357999999997</v>
      </c>
      <c r="C21">
        <v>83.638214000000005</v>
      </c>
      <c r="D21">
        <v>78.588524000000007</v>
      </c>
      <c r="E21">
        <v>4.1399999999999997</v>
      </c>
      <c r="F21">
        <v>8.0011919999999996</v>
      </c>
      <c r="G21">
        <v>7.17</v>
      </c>
      <c r="I21" s="94">
        <v>41792</v>
      </c>
      <c r="J21">
        <f t="shared" si="11"/>
        <v>2.7661918547126386E-2</v>
      </c>
      <c r="K21">
        <f t="shared" si="11"/>
        <v>2.05926909896849E-2</v>
      </c>
      <c r="L21">
        <f t="shared" si="11"/>
        <v>1.4999911400557772E-2</v>
      </c>
      <c r="M21">
        <f t="shared" si="11"/>
        <v>9.5238095238095205E-2</v>
      </c>
      <c r="N21">
        <f t="shared" si="11"/>
        <v>0.12199074327263422</v>
      </c>
      <c r="O21">
        <f t="shared" si="11"/>
        <v>-0.14234449760765544</v>
      </c>
      <c r="P21" s="90">
        <v>20</v>
      </c>
      <c r="R21">
        <f t="shared" si="2"/>
        <v>2.05926909896849E-2</v>
      </c>
      <c r="S21">
        <f t="shared" si="3"/>
        <v>-0.14234449760765544</v>
      </c>
      <c r="T21">
        <f t="shared" si="4"/>
        <v>1.4999911400557772E-2</v>
      </c>
      <c r="W21" s="23">
        <f t="shared" si="5"/>
        <v>0.40007918132353221</v>
      </c>
      <c r="X21" s="87">
        <v>0.1</v>
      </c>
      <c r="Y21" s="87">
        <v>0.9</v>
      </c>
      <c r="Z21" s="87">
        <f t="shared" si="6"/>
        <v>0</v>
      </c>
      <c r="AA21" s="6">
        <f t="shared" si="7"/>
        <v>5.7510324612406974E-2</v>
      </c>
      <c r="AB21" s="22">
        <f t="shared" si="8"/>
        <v>2.0591505455471011E-2</v>
      </c>
      <c r="AC21" s="6">
        <f t="shared" si="10"/>
        <v>0.14349740574474165</v>
      </c>
    </row>
    <row r="22" spans="1:29" x14ac:dyDescent="0.25">
      <c r="A22" s="93">
        <v>41760</v>
      </c>
      <c r="B22">
        <v>88.091576000000003</v>
      </c>
      <c r="C22">
        <v>81.950630000000004</v>
      </c>
      <c r="D22">
        <v>77.427124000000006</v>
      </c>
      <c r="E22">
        <v>3.78</v>
      </c>
      <c r="F22">
        <v>7.131246</v>
      </c>
      <c r="G22">
        <v>8.36</v>
      </c>
      <c r="I22" s="94">
        <v>41760</v>
      </c>
      <c r="J22">
        <f t="shared" si="11"/>
        <v>7.8709273055286993E-2</v>
      </c>
      <c r="K22">
        <f t="shared" si="11"/>
        <v>5.8860662024055932E-2</v>
      </c>
      <c r="L22">
        <f t="shared" si="11"/>
        <v>9.0555773868749266E-3</v>
      </c>
      <c r="M22">
        <f t="shared" si="11"/>
        <v>-6.8965517241379268E-2</v>
      </c>
      <c r="N22">
        <f t="shared" si="11"/>
        <v>-1.6042737953251857E-2</v>
      </c>
      <c r="O22">
        <f t="shared" si="11"/>
        <v>0.14520547945205475</v>
      </c>
      <c r="P22" s="90">
        <v>21</v>
      </c>
      <c r="R22">
        <f t="shared" si="2"/>
        <v>5.8860662024055932E-2</v>
      </c>
      <c r="S22">
        <f t="shared" si="3"/>
        <v>0.14520547945205475</v>
      </c>
      <c r="T22">
        <f t="shared" si="4"/>
        <v>9.0555773868749266E-3</v>
      </c>
      <c r="W22" s="23">
        <f t="shared" si="5"/>
        <v>0.42435750840303993</v>
      </c>
      <c r="X22" s="87">
        <v>0.3</v>
      </c>
      <c r="Y22" s="87">
        <v>0.7</v>
      </c>
      <c r="Z22" s="87">
        <f t="shared" si="6"/>
        <v>0</v>
      </c>
      <c r="AA22" s="6">
        <f t="shared" si="7"/>
        <v>5.0014855502956514E-2</v>
      </c>
      <c r="AB22" s="22">
        <f t="shared" si="8"/>
        <v>1.3835531734719037E-2</v>
      </c>
      <c r="AC22" s="6">
        <f t="shared" si="10"/>
        <v>0.11762453712860696</v>
      </c>
    </row>
    <row r="23" spans="1:29" x14ac:dyDescent="0.25">
      <c r="A23" s="93">
        <v>41730</v>
      </c>
      <c r="B23">
        <v>81.663871999999998</v>
      </c>
      <c r="C23">
        <v>77.395103000000006</v>
      </c>
      <c r="D23">
        <v>76.732269000000002</v>
      </c>
      <c r="E23">
        <v>4.0599999999999996</v>
      </c>
      <c r="F23">
        <v>7.2475160000000001</v>
      </c>
      <c r="G23">
        <v>7.3</v>
      </c>
      <c r="I23" s="94">
        <v>41730</v>
      </c>
      <c r="J23">
        <f t="shared" si="11"/>
        <v>9.9396347476617908E-2</v>
      </c>
      <c r="K23">
        <f t="shared" si="11"/>
        <v>-9.1170202883195366E-3</v>
      </c>
      <c r="L23">
        <f t="shared" si="11"/>
        <v>4.802191752780815E-3</v>
      </c>
      <c r="M23">
        <f t="shared" si="11"/>
        <v>-1.9323671497584561E-2</v>
      </c>
      <c r="N23">
        <f t="shared" si="11"/>
        <v>-0.14806377864353715</v>
      </c>
      <c r="O23">
        <f t="shared" si="11"/>
        <v>0.16427432216905907</v>
      </c>
      <c r="P23" s="90">
        <v>22</v>
      </c>
      <c r="R23">
        <f t="shared" si="2"/>
        <v>-9.1170202883195366E-3</v>
      </c>
      <c r="S23">
        <f t="shared" si="3"/>
        <v>0.16427432216905907</v>
      </c>
      <c r="T23">
        <f t="shared" si="4"/>
        <v>4.802191752780815E-3</v>
      </c>
      <c r="W23" s="23">
        <f t="shared" si="5"/>
        <v>0.45395127542756325</v>
      </c>
      <c r="X23" s="87">
        <v>0.5</v>
      </c>
      <c r="Y23" s="87">
        <v>0.5</v>
      </c>
      <c r="Z23" s="87">
        <f t="shared" si="6"/>
        <v>0</v>
      </c>
      <c r="AA23" s="6">
        <f t="shared" si="7"/>
        <v>4.2519386393506067E-2</v>
      </c>
      <c r="AB23" s="22">
        <f t="shared" si="8"/>
        <v>8.7319307505535765E-3</v>
      </c>
      <c r="AC23" s="6">
        <f t="shared" si="10"/>
        <v>9.3444800553875523E-2</v>
      </c>
    </row>
    <row r="24" spans="1:29" x14ac:dyDescent="0.25">
      <c r="A24" s="93">
        <v>41701</v>
      </c>
      <c r="B24">
        <v>74.280647000000002</v>
      </c>
      <c r="C24">
        <v>78.107208</v>
      </c>
      <c r="D24">
        <v>76.365547000000007</v>
      </c>
      <c r="E24">
        <v>4.1399999999999997</v>
      </c>
      <c r="F24">
        <v>8.5071110000000001</v>
      </c>
      <c r="G24">
        <v>6.27</v>
      </c>
      <c r="I24" s="94">
        <v>41701</v>
      </c>
      <c r="J24">
        <f t="shared" si="11"/>
        <v>1.9952852993915984E-2</v>
      </c>
      <c r="K24">
        <f t="shared" si="11"/>
        <v>-9.157319639096077E-3</v>
      </c>
      <c r="L24">
        <f t="shared" si="11"/>
        <v>-2.9804191584304886E-2</v>
      </c>
      <c r="M24">
        <f t="shared" si="11"/>
        <v>-0.20689655172413796</v>
      </c>
      <c r="N24">
        <f t="shared" si="11"/>
        <v>-0.12173536715308353</v>
      </c>
      <c r="O24">
        <f t="shared" si="11"/>
        <v>-4.8558421851289876E-2</v>
      </c>
      <c r="P24" s="90">
        <v>23</v>
      </c>
      <c r="R24">
        <f t="shared" si="2"/>
        <v>-9.157319639096077E-3</v>
      </c>
      <c r="S24">
        <f t="shared" si="3"/>
        <v>-4.8558421851289876E-2</v>
      </c>
      <c r="T24">
        <f t="shared" si="4"/>
        <v>-2.9804191584304886E-2</v>
      </c>
      <c r="W24" s="23">
        <f t="shared" si="5"/>
        <v>0.48059262301098854</v>
      </c>
      <c r="X24" s="87">
        <v>0.7</v>
      </c>
      <c r="Y24" s="87">
        <v>0.3</v>
      </c>
      <c r="Z24" s="87">
        <f t="shared" si="6"/>
        <v>0</v>
      </c>
      <c r="AA24" s="6">
        <f t="shared" si="7"/>
        <v>3.5023917284055614E-2</v>
      </c>
      <c r="AB24" s="22">
        <f t="shared" si="8"/>
        <v>5.280702502974622E-3</v>
      </c>
      <c r="AC24" s="6">
        <f t="shared" si="10"/>
        <v>7.2668442277061526E-2</v>
      </c>
    </row>
    <row r="25" spans="1:29" x14ac:dyDescent="0.25">
      <c r="A25" s="93">
        <v>41673</v>
      </c>
      <c r="B25">
        <v>72.827529999999996</v>
      </c>
      <c r="C25">
        <v>78.829070999999999</v>
      </c>
      <c r="D25">
        <v>78.711478999999997</v>
      </c>
      <c r="E25">
        <v>5.22</v>
      </c>
      <c r="F25">
        <v>9.6862729999999999</v>
      </c>
      <c r="G25">
        <v>6.59</v>
      </c>
      <c r="I25" s="94">
        <v>41673</v>
      </c>
      <c r="J25">
        <f t="shared" si="11"/>
        <v>5.751094342410619E-2</v>
      </c>
      <c r="K25">
        <f t="shared" si="11"/>
        <v>0.11293215009589568</v>
      </c>
      <c r="L25">
        <f t="shared" si="11"/>
        <v>6.7404044437401792E-2</v>
      </c>
      <c r="M25">
        <f t="shared" si="11"/>
        <v>0.13973799126637548</v>
      </c>
      <c r="N25">
        <f t="shared" si="11"/>
        <v>7.150483668031804E-2</v>
      </c>
      <c r="O25">
        <f t="shared" si="11"/>
        <v>0.18738738738738739</v>
      </c>
      <c r="P25" s="90">
        <v>24</v>
      </c>
      <c r="R25">
        <f t="shared" si="2"/>
        <v>0.11293215009589568</v>
      </c>
      <c r="S25">
        <f t="shared" si="3"/>
        <v>0.18738738738738739</v>
      </c>
      <c r="T25">
        <f t="shared" si="4"/>
        <v>6.7404044437401792E-2</v>
      </c>
      <c r="W25" s="23">
        <f t="shared" si="5"/>
        <v>0.46483240437088985</v>
      </c>
      <c r="X25" s="87">
        <v>0.9</v>
      </c>
      <c r="Y25" s="87">
        <v>0.1</v>
      </c>
      <c r="Z25" s="87">
        <f t="shared" si="6"/>
        <v>0</v>
      </c>
      <c r="AA25" s="6">
        <f t="shared" si="7"/>
        <v>2.7528448174605157E-2</v>
      </c>
      <c r="AB25" s="22">
        <f t="shared" si="8"/>
        <v>3.4818469919821776E-3</v>
      </c>
      <c r="AC25" s="6">
        <f t="shared" si="10"/>
        <v>5.9007177461578159E-2</v>
      </c>
    </row>
    <row r="26" spans="1:29" x14ac:dyDescent="0.25">
      <c r="A26" s="93">
        <v>41641</v>
      </c>
      <c r="B26">
        <v>68.866928000000001</v>
      </c>
      <c r="C26">
        <v>70.830078</v>
      </c>
      <c r="D26">
        <v>73.741034999999997</v>
      </c>
      <c r="E26">
        <v>4.58</v>
      </c>
      <c r="F26">
        <v>9.0398779999999999</v>
      </c>
      <c r="G26">
        <v>5.55</v>
      </c>
      <c r="I26" s="94">
        <v>41641</v>
      </c>
      <c r="J26">
        <f t="shared" si="11"/>
        <v>-0.10769669191551517</v>
      </c>
      <c r="K26">
        <f t="shared" si="11"/>
        <v>-4.9607380802943572E-2</v>
      </c>
      <c r="L26">
        <f t="shared" si="11"/>
        <v>-6.6674725670896912E-2</v>
      </c>
      <c r="M26">
        <f t="shared" si="11"/>
        <v>4.5662100456621044E-2</v>
      </c>
      <c r="N26">
        <f t="shared" si="11"/>
        <v>8.7006941306364244E-2</v>
      </c>
      <c r="O26">
        <f t="shared" si="11"/>
        <v>9.6837944664031672E-2</v>
      </c>
      <c r="P26" s="90">
        <v>25</v>
      </c>
      <c r="R26">
        <f t="shared" si="2"/>
        <v>-4.9607380802943572E-2</v>
      </c>
      <c r="S26">
        <f t="shared" si="3"/>
        <v>9.6837944664031672E-2</v>
      </c>
      <c r="T26">
        <f t="shared" si="4"/>
        <v>-6.6674725670896912E-2</v>
      </c>
      <c r="W26" s="23">
        <f t="shared" si="5"/>
        <v>0.41148890703297408</v>
      </c>
      <c r="X26" s="88">
        <v>0.2</v>
      </c>
      <c r="Y26" s="88">
        <v>0.8</v>
      </c>
      <c r="Z26" s="88">
        <f t="shared" si="6"/>
        <v>0</v>
      </c>
      <c r="AA26" s="6">
        <f t="shared" si="7"/>
        <v>5.3762590057681754E-2</v>
      </c>
      <c r="AB26" s="22">
        <f t="shared" si="8"/>
        <v>1.7006972003021713E-2</v>
      </c>
      <c r="AC26" s="6">
        <f t="shared" si="10"/>
        <v>0.13041078177444423</v>
      </c>
    </row>
    <row r="27" spans="1:29" x14ac:dyDescent="0.25">
      <c r="A27" s="93">
        <v>41610</v>
      </c>
      <c r="B27">
        <v>77.178832999999997</v>
      </c>
      <c r="C27">
        <v>74.527175999999997</v>
      </c>
      <c r="D27">
        <v>79.008933999999996</v>
      </c>
      <c r="E27">
        <v>4.38</v>
      </c>
      <c r="F27">
        <v>8.3163020000000003</v>
      </c>
      <c r="G27">
        <v>5.0599999999999996</v>
      </c>
      <c r="I27" s="94">
        <v>41610</v>
      </c>
      <c r="J27">
        <f t="shared" si="11"/>
        <v>8.9017117875083585E-3</v>
      </c>
      <c r="K27">
        <f t="shared" si="11"/>
        <v>9.6444648294071678E-2</v>
      </c>
      <c r="L27">
        <f t="shared" si="11"/>
        <v>2.5716358168886816E-2</v>
      </c>
      <c r="M27">
        <f t="shared" si="11"/>
        <v>-7.0063694267515936E-2</v>
      </c>
      <c r="N27">
        <f t="shared" si="11"/>
        <v>-4.4648647145933994E-2</v>
      </c>
      <c r="O27">
        <f t="shared" si="11"/>
        <v>-0.14527027027027031</v>
      </c>
      <c r="P27" s="90">
        <v>26</v>
      </c>
      <c r="R27">
        <f t="shared" si="2"/>
        <v>9.6444648294071678E-2</v>
      </c>
      <c r="S27">
        <f t="shared" si="3"/>
        <v>-0.14527027027027031</v>
      </c>
      <c r="T27">
        <f t="shared" si="4"/>
        <v>2.5716358168886816E-2</v>
      </c>
      <c r="W27" s="23">
        <f t="shared" si="5"/>
        <v>0.43864996043383458</v>
      </c>
      <c r="X27" s="88">
        <v>0.4</v>
      </c>
      <c r="Y27" s="88">
        <v>0.6</v>
      </c>
      <c r="Z27" s="88">
        <f t="shared" si="6"/>
        <v>0</v>
      </c>
      <c r="AA27" s="6">
        <f t="shared" si="7"/>
        <v>4.6267120948231294E-2</v>
      </c>
      <c r="AB27" s="22">
        <f t="shared" si="8"/>
        <v>1.1077184650562994E-2</v>
      </c>
      <c r="AC27" s="6">
        <f t="shared" si="10"/>
        <v>0.10524820497549112</v>
      </c>
    </row>
    <row r="28" spans="1:29" x14ac:dyDescent="0.25">
      <c r="A28" s="93">
        <v>41579</v>
      </c>
      <c r="B28">
        <v>76.497871000000004</v>
      </c>
      <c r="C28">
        <v>67.971671999999998</v>
      </c>
      <c r="D28">
        <v>77.028053</v>
      </c>
      <c r="E28">
        <v>4.71</v>
      </c>
      <c r="F28">
        <v>8.7049669999999999</v>
      </c>
      <c r="G28">
        <v>5.92</v>
      </c>
      <c r="I28" s="94">
        <v>41579</v>
      </c>
      <c r="J28">
        <f t="shared" si="11"/>
        <v>7.0052720097261559E-2</v>
      </c>
      <c r="K28">
        <f t="shared" si="11"/>
        <v>2.8429855917298543E-2</v>
      </c>
      <c r="L28">
        <f t="shared" si="11"/>
        <v>3.569138106852434E-2</v>
      </c>
      <c r="M28">
        <f t="shared" si="11"/>
        <v>-7.1005917159763371E-2</v>
      </c>
      <c r="N28">
        <f t="shared" si="11"/>
        <v>-8.4592203472211233E-2</v>
      </c>
      <c r="O28">
        <f t="shared" si="11"/>
        <v>0.11069418386491554</v>
      </c>
      <c r="P28" s="90">
        <v>27</v>
      </c>
      <c r="R28">
        <f t="shared" si="2"/>
        <v>2.8429855917298543E-2</v>
      </c>
      <c r="S28">
        <f t="shared" si="3"/>
        <v>0.11069418386491554</v>
      </c>
      <c r="T28">
        <f t="shared" si="4"/>
        <v>3.569138106852434E-2</v>
      </c>
      <c r="W28" s="23">
        <f t="shared" si="5"/>
        <v>0.46897059248642098</v>
      </c>
      <c r="X28" s="88">
        <v>0.6</v>
      </c>
      <c r="Y28" s="88">
        <v>0.4</v>
      </c>
      <c r="Z28" s="88">
        <f t="shared" si="6"/>
        <v>0</v>
      </c>
      <c r="AA28" s="6">
        <f t="shared" si="7"/>
        <v>3.8771651838780841E-2</v>
      </c>
      <c r="AB28" s="22">
        <f t="shared" si="8"/>
        <v>6.799770034690786E-3</v>
      </c>
      <c r="AC28" s="6">
        <f t="shared" si="10"/>
        <v>8.2460718131063995E-2</v>
      </c>
    </row>
    <row r="29" spans="1:29" x14ac:dyDescent="0.25">
      <c r="A29" s="93">
        <v>41548</v>
      </c>
      <c r="B29">
        <v>71.489814999999993</v>
      </c>
      <c r="C29">
        <v>66.092667000000006</v>
      </c>
      <c r="D29">
        <v>74.373558000000003</v>
      </c>
      <c r="E29">
        <v>5.07</v>
      </c>
      <c r="F29">
        <v>9.5093870000000003</v>
      </c>
      <c r="G29">
        <v>5.33</v>
      </c>
      <c r="I29" s="94">
        <v>41548</v>
      </c>
      <c r="J29">
        <f t="shared" si="11"/>
        <v>9.6381726966871792E-2</v>
      </c>
      <c r="K29">
        <f t="shared" si="11"/>
        <v>6.357576995699131E-2</v>
      </c>
      <c r="L29">
        <f t="shared" si="11"/>
        <v>2.6895150515648145E-2</v>
      </c>
      <c r="M29">
        <f t="shared" si="11"/>
        <v>3.9603960396040524E-3</v>
      </c>
      <c r="N29">
        <f t="shared" si="11"/>
        <v>-4.5192132076814821E-2</v>
      </c>
      <c r="O29">
        <f t="shared" si="11"/>
        <v>0.11974789915966393</v>
      </c>
      <c r="P29" s="90">
        <v>28</v>
      </c>
      <c r="R29">
        <f t="shared" si="2"/>
        <v>6.357576995699131E-2</v>
      </c>
      <c r="S29">
        <f t="shared" si="3"/>
        <v>0.11974789915966393</v>
      </c>
      <c r="T29">
        <f t="shared" si="4"/>
        <v>2.6895150515648145E-2</v>
      </c>
      <c r="W29" s="23">
        <f t="shared" si="5"/>
        <v>0.4825127990113881</v>
      </c>
      <c r="X29" s="88">
        <v>0.8</v>
      </c>
      <c r="Y29" s="88">
        <v>0.2</v>
      </c>
      <c r="Z29" s="88">
        <f t="shared" si="6"/>
        <v>0</v>
      </c>
      <c r="AA29" s="6">
        <f t="shared" si="7"/>
        <v>3.1276182729330387E-2</v>
      </c>
      <c r="AB29" s="22">
        <f t="shared" si="8"/>
        <v>4.1747281554050872E-3</v>
      </c>
      <c r="AC29" s="6">
        <f t="shared" si="10"/>
        <v>6.4612136285724889E-2</v>
      </c>
    </row>
    <row r="30" spans="1:29" x14ac:dyDescent="0.25">
      <c r="A30" s="93">
        <v>41520</v>
      </c>
      <c r="B30">
        <v>65.205223000000004</v>
      </c>
      <c r="C30">
        <v>62.141945</v>
      </c>
      <c r="D30">
        <v>72.425658999999996</v>
      </c>
      <c r="E30">
        <v>5.05</v>
      </c>
      <c r="F30">
        <v>9.9594769999999997</v>
      </c>
      <c r="G30">
        <v>4.76</v>
      </c>
      <c r="I30" s="94">
        <v>41520</v>
      </c>
      <c r="J30">
        <f t="shared" si="11"/>
        <v>-2.1489373467963719E-2</v>
      </c>
      <c r="K30">
        <f t="shared" si="11"/>
        <v>6.016761042629068E-2</v>
      </c>
      <c r="L30">
        <f t="shared" si="11"/>
        <v>2.3616775951809367E-2</v>
      </c>
      <c r="M30">
        <f t="shared" si="11"/>
        <v>-8.1818181818181845E-2</v>
      </c>
      <c r="N30">
        <f t="shared" si="11"/>
        <v>-8.051993973211817E-2</v>
      </c>
      <c r="O30">
        <f t="shared" si="11"/>
        <v>0.37572254335260113</v>
      </c>
      <c r="P30" s="90">
        <v>29</v>
      </c>
      <c r="R30">
        <f t="shared" si="2"/>
        <v>6.016761042629068E-2</v>
      </c>
      <c r="S30">
        <f t="shared" si="3"/>
        <v>0.37572254335260113</v>
      </c>
      <c r="T30">
        <f t="shared" si="4"/>
        <v>2.3616775951809367E-2</v>
      </c>
      <c r="W30" s="23">
        <f t="shared" si="5"/>
        <v>0.57907169077178211</v>
      </c>
      <c r="X30" s="87">
        <v>0.1</v>
      </c>
      <c r="Y30" s="87">
        <v>0.1</v>
      </c>
      <c r="Z30" s="87">
        <f t="shared" si="6"/>
        <v>0.8</v>
      </c>
      <c r="AA30" s="6">
        <f t="shared" si="7"/>
        <v>2.788746389258492E-2</v>
      </c>
      <c r="AB30" s="22">
        <f t="shared" si="8"/>
        <v>2.3026776982781215E-3</v>
      </c>
      <c r="AC30" s="6">
        <f t="shared" si="10"/>
        <v>4.798622404688789E-2</v>
      </c>
    </row>
    <row r="31" spans="1:29" x14ac:dyDescent="0.25">
      <c r="A31" s="93">
        <v>41487</v>
      </c>
      <c r="B31">
        <v>66.637214999999998</v>
      </c>
      <c r="C31">
        <v>58.615208000000003</v>
      </c>
      <c r="D31">
        <v>70.754661999999996</v>
      </c>
      <c r="E31">
        <v>5.5</v>
      </c>
      <c r="F31">
        <v>10.83164</v>
      </c>
      <c r="G31">
        <v>3.46</v>
      </c>
      <c r="I31" s="94">
        <v>41487</v>
      </c>
      <c r="J31">
        <f t="shared" si="11"/>
        <v>8.3766890734752381E-2</v>
      </c>
      <c r="K31">
        <f t="shared" si="11"/>
        <v>-5.9087400044342993E-2</v>
      </c>
      <c r="L31">
        <f t="shared" si="11"/>
        <v>-5.7446533663973176E-2</v>
      </c>
      <c r="M31">
        <f t="shared" si="11"/>
        <v>5.1625239005736054E-2</v>
      </c>
      <c r="N31">
        <f t="shared" si="11"/>
        <v>8.380951694829436E-2</v>
      </c>
      <c r="O31">
        <f t="shared" si="11"/>
        <v>0.15333333333333332</v>
      </c>
      <c r="P31" s="90">
        <v>30</v>
      </c>
      <c r="R31">
        <f t="shared" si="2"/>
        <v>-5.9087400044342993E-2</v>
      </c>
      <c r="S31">
        <f t="shared" si="3"/>
        <v>0.15333333333333332</v>
      </c>
      <c r="T31">
        <f t="shared" si="4"/>
        <v>-5.7446533663973176E-2</v>
      </c>
      <c r="W31" s="23">
        <f t="shared" si="5"/>
        <v>0.54235417132321329</v>
      </c>
      <c r="X31" s="87">
        <v>0.1</v>
      </c>
      <c r="Y31" s="87">
        <v>0.3</v>
      </c>
      <c r="Z31" s="87">
        <f t="shared" si="6"/>
        <v>0.6</v>
      </c>
      <c r="AA31" s="6">
        <f t="shared" si="7"/>
        <v>3.5293179072540433E-2</v>
      </c>
      <c r="AB31" s="22">
        <f t="shared" si="8"/>
        <v>4.2106682849850216E-3</v>
      </c>
      <c r="AC31" s="6">
        <f t="shared" si="10"/>
        <v>6.4889662389205127E-2</v>
      </c>
    </row>
    <row r="32" spans="1:29" x14ac:dyDescent="0.25">
      <c r="A32" s="93">
        <v>41456</v>
      </c>
      <c r="B32">
        <v>61.486668000000002</v>
      </c>
      <c r="C32">
        <v>62.296123999999999</v>
      </c>
      <c r="D32">
        <v>75.067001000000005</v>
      </c>
      <c r="E32">
        <v>5.23</v>
      </c>
      <c r="F32">
        <v>9.9940440000000006</v>
      </c>
      <c r="G32">
        <v>3</v>
      </c>
      <c r="I32" s="94">
        <v>41456</v>
      </c>
      <c r="J32">
        <f t="shared" si="11"/>
        <v>0.14122503606635439</v>
      </c>
      <c r="K32">
        <f t="shared" si="11"/>
        <v>2.3752957215523739E-2</v>
      </c>
      <c r="L32">
        <f t="shared" si="11"/>
        <v>2.0136716011891435E-2</v>
      </c>
      <c r="M32">
        <f t="shared" si="11"/>
        <v>2.5490196078431528E-2</v>
      </c>
      <c r="N32">
        <f t="shared" si="11"/>
        <v>0.10410087597435606</v>
      </c>
      <c r="O32">
        <f t="shared" si="11"/>
        <v>4.8951048951048994E-2</v>
      </c>
      <c r="P32" s="90">
        <v>31</v>
      </c>
      <c r="R32">
        <f t="shared" si="2"/>
        <v>2.3752957215523739E-2</v>
      </c>
      <c r="S32">
        <f t="shared" si="3"/>
        <v>4.8951048951048994E-2</v>
      </c>
      <c r="T32">
        <f t="shared" si="4"/>
        <v>2.0136716011891435E-2</v>
      </c>
      <c r="W32" s="23">
        <f t="shared" si="5"/>
        <v>0.47943272482029536</v>
      </c>
      <c r="X32" s="87">
        <v>0.1</v>
      </c>
      <c r="Y32" s="87">
        <v>0.5</v>
      </c>
      <c r="Z32" s="87">
        <f t="shared" si="6"/>
        <v>0.4</v>
      </c>
      <c r="AA32" s="6">
        <f t="shared" si="7"/>
        <v>4.2698894252495942E-2</v>
      </c>
      <c r="AB32" s="22">
        <f t="shared" si="8"/>
        <v>7.8948031067528034E-3</v>
      </c>
      <c r="AC32" s="6">
        <f t="shared" si="10"/>
        <v>8.8852704555082637E-2</v>
      </c>
    </row>
    <row r="33" spans="1:41" x14ac:dyDescent="0.25">
      <c r="A33" s="93">
        <v>41428</v>
      </c>
      <c r="B33">
        <v>53.877777000000002</v>
      </c>
      <c r="C33">
        <v>60.850738999999997</v>
      </c>
      <c r="D33">
        <v>73.585235999999995</v>
      </c>
      <c r="E33">
        <v>5.0999999999999996</v>
      </c>
      <c r="F33">
        <v>9.0517489999999992</v>
      </c>
      <c r="G33">
        <v>2.86</v>
      </c>
      <c r="I33" s="94">
        <v>41428</v>
      </c>
      <c r="J33">
        <f t="shared" si="11"/>
        <v>-0.11829325362427841</v>
      </c>
      <c r="K33">
        <f t="shared" si="11"/>
        <v>1.1097129380317299E-3</v>
      </c>
      <c r="L33">
        <f t="shared" si="11"/>
        <v>-1.0247180642619428E-2</v>
      </c>
      <c r="M33">
        <f t="shared" si="11"/>
        <v>-0.20436817472698915</v>
      </c>
      <c r="N33">
        <f t="shared" si="11"/>
        <v>-0.1699679816265503</v>
      </c>
      <c r="O33">
        <f t="shared" si="11"/>
        <v>-2.721088435374152E-2</v>
      </c>
      <c r="P33" s="90">
        <v>32</v>
      </c>
      <c r="R33">
        <f t="shared" si="2"/>
        <v>1.1097129380317299E-3</v>
      </c>
      <c r="S33">
        <f t="shared" si="3"/>
        <v>-2.721088435374152E-2</v>
      </c>
      <c r="T33">
        <f t="shared" si="4"/>
        <v>-1.0247180642619428E-2</v>
      </c>
      <c r="W33" s="23">
        <f t="shared" si="5"/>
        <v>0.43269986269618049</v>
      </c>
      <c r="X33" s="87">
        <v>0.1</v>
      </c>
      <c r="Y33" s="87">
        <v>0.7</v>
      </c>
      <c r="Z33" s="87">
        <f t="shared" si="6"/>
        <v>0.20000000000000004</v>
      </c>
      <c r="AA33" s="6">
        <f t="shared" si="7"/>
        <v>5.0104609432451451E-2</v>
      </c>
      <c r="AB33" s="22">
        <f t="shared" si="8"/>
        <v>1.3355082163581463E-2</v>
      </c>
      <c r="AC33" s="6">
        <f t="shared" si="10"/>
        <v>0.11556419066294482</v>
      </c>
    </row>
    <row r="34" spans="1:41" x14ac:dyDescent="0.25">
      <c r="A34" s="93">
        <v>41395</v>
      </c>
      <c r="B34">
        <v>61.106231999999999</v>
      </c>
      <c r="C34">
        <v>60.783287000000001</v>
      </c>
      <c r="D34">
        <v>74.347083999999995</v>
      </c>
      <c r="E34">
        <v>6.41</v>
      </c>
      <c r="F34">
        <v>10.905301</v>
      </c>
      <c r="G34">
        <v>2.94</v>
      </c>
      <c r="I34" s="94">
        <v>41395</v>
      </c>
      <c r="J34">
        <f t="shared" si="11"/>
        <v>2.2419318762717019E-2</v>
      </c>
      <c r="K34">
        <f t="shared" si="11"/>
        <v>3.8192281761014759E-3</v>
      </c>
      <c r="L34">
        <f t="shared" si="11"/>
        <v>7.2392738634123807E-2</v>
      </c>
      <c r="M34">
        <f t="shared" si="11"/>
        <v>0.17830882352941171</v>
      </c>
      <c r="N34">
        <f t="shared" si="11"/>
        <v>-6.1788693287100613E-2</v>
      </c>
      <c r="O34">
        <f t="shared" si="11"/>
        <v>0.10943396226415096</v>
      </c>
      <c r="P34" s="90">
        <v>33</v>
      </c>
      <c r="R34">
        <f t="shared" si="2"/>
        <v>3.8192281761014759E-3</v>
      </c>
      <c r="S34">
        <f t="shared" si="3"/>
        <v>0.10943396226415096</v>
      </c>
      <c r="T34">
        <f t="shared" si="4"/>
        <v>7.2392738634123807E-2</v>
      </c>
      <c r="W34" s="23">
        <f t="shared" si="5"/>
        <v>0.57163976852736909</v>
      </c>
      <c r="X34" s="88">
        <v>0.1</v>
      </c>
      <c r="Y34" s="88">
        <v>0.2</v>
      </c>
      <c r="Z34" s="88">
        <f t="shared" si="6"/>
        <v>0.70000000000000007</v>
      </c>
      <c r="AA34" s="6">
        <f t="shared" si="7"/>
        <v>3.1590321482562675E-2</v>
      </c>
      <c r="AB34" s="22">
        <f t="shared" si="8"/>
        <v>3.0346549622489623E-3</v>
      </c>
      <c r="AC34" s="6">
        <f t="shared" si="10"/>
        <v>5.5087702459341706E-2</v>
      </c>
    </row>
    <row r="35" spans="1:41" x14ac:dyDescent="0.25">
      <c r="A35" s="93">
        <v>41365</v>
      </c>
      <c r="B35">
        <v>59.766311999999999</v>
      </c>
      <c r="C35">
        <v>60.552025</v>
      </c>
      <c r="D35">
        <v>69.328224000000006</v>
      </c>
      <c r="E35">
        <v>5.44</v>
      </c>
      <c r="F35">
        <v>11.623502</v>
      </c>
      <c r="G35">
        <v>2.65</v>
      </c>
      <c r="I35" s="94">
        <v>41365</v>
      </c>
      <c r="J35">
        <f t="shared" si="11"/>
        <v>2.7102875344946952E-4</v>
      </c>
      <c r="K35">
        <f t="shared" si="11"/>
        <v>0.10633805998863147</v>
      </c>
      <c r="L35">
        <f t="shared" si="11"/>
        <v>5.1160709471751192E-2</v>
      </c>
      <c r="M35">
        <f t="shared" si="11"/>
        <v>-0.31399747793190408</v>
      </c>
      <c r="N35">
        <f t="shared" si="11"/>
        <v>-0.19869704100828411</v>
      </c>
      <c r="O35">
        <f t="shared" si="11"/>
        <v>0.39473684210526316</v>
      </c>
      <c r="P35" s="90">
        <v>34</v>
      </c>
      <c r="R35">
        <f t="shared" si="2"/>
        <v>0.10633805998863147</v>
      </c>
      <c r="S35">
        <f t="shared" si="3"/>
        <v>0.39473684210526316</v>
      </c>
      <c r="T35">
        <f t="shared" si="4"/>
        <v>5.1160709471751192E-2</v>
      </c>
      <c r="W35" s="23">
        <f t="shared" ref="W35:W60" si="12">(AA35-$R$59)/AC35</f>
        <v>0.50938287999686305</v>
      </c>
      <c r="X35" s="88">
        <v>0.1</v>
      </c>
      <c r="Y35" s="88">
        <v>0.4</v>
      </c>
      <c r="Z35" s="88">
        <f t="shared" si="6"/>
        <v>0.5</v>
      </c>
      <c r="AA35" s="6">
        <f t="shared" ref="AA35:AA60" si="13">X35*$R$53+Y35*$S$53+Z35*$T$53</f>
        <v>3.8996036662518191E-2</v>
      </c>
      <c r="AB35" s="22">
        <f t="shared" ref="AB35:AB60" si="14">X35^2*$R$54+Y35^2*$S$54+Z35^2*$T$54+2*X35*Y35*$R$56+2*X35*Z35*$T$56+2*Y35*Z35*$S$56</f>
        <v>5.8307176664863037E-3</v>
      </c>
      <c r="AC35" s="6">
        <f t="shared" si="10"/>
        <v>7.6359136103588174E-2</v>
      </c>
    </row>
    <row r="36" spans="1:41" x14ac:dyDescent="0.25">
      <c r="A36" s="93">
        <v>41334</v>
      </c>
      <c r="B36">
        <v>59.750118000000001</v>
      </c>
      <c r="C36">
        <v>54.731937000000002</v>
      </c>
      <c r="D36">
        <v>65.953971999999993</v>
      </c>
      <c r="E36">
        <v>7.93</v>
      </c>
      <c r="F36">
        <v>14.505751999999999</v>
      </c>
      <c r="G36">
        <v>1.9</v>
      </c>
      <c r="I36" s="94">
        <v>41334</v>
      </c>
      <c r="J36">
        <f t="shared" si="11"/>
        <v>2.8545463981194713E-3</v>
      </c>
      <c r="K36">
        <f t="shared" si="11"/>
        <v>4.0483607573661831E-2</v>
      </c>
      <c r="L36">
        <f t="shared" si="11"/>
        <v>2.4287237634025564E-2</v>
      </c>
      <c r="M36">
        <f t="shared" si="11"/>
        <v>5.1220973939661997E-2</v>
      </c>
      <c r="N36">
        <f t="shared" si="11"/>
        <v>4.7995261182931299E-2</v>
      </c>
      <c r="O36">
        <f t="shared" si="11"/>
        <v>0.15853658536585366</v>
      </c>
      <c r="P36" s="90">
        <v>35</v>
      </c>
      <c r="R36">
        <f t="shared" si="2"/>
        <v>4.0483607573661831E-2</v>
      </c>
      <c r="S36">
        <f t="shared" si="3"/>
        <v>0.15853658536585366</v>
      </c>
      <c r="T36">
        <f t="shared" si="4"/>
        <v>2.4287237634025564E-2</v>
      </c>
      <c r="W36" s="23">
        <f t="shared" si="12"/>
        <v>0.45396220572907486</v>
      </c>
      <c r="X36" s="88">
        <v>0.1</v>
      </c>
      <c r="Y36" s="88">
        <v>0.6</v>
      </c>
      <c r="Z36" s="88">
        <f t="shared" si="6"/>
        <v>0.30000000000000004</v>
      </c>
      <c r="AA36" s="6">
        <f t="shared" si="13"/>
        <v>4.64017518424737E-2</v>
      </c>
      <c r="AB36" s="22">
        <f t="shared" si="14"/>
        <v>1.0402924605784524E-2</v>
      </c>
      <c r="AC36" s="6">
        <f t="shared" si="10"/>
        <v>0.10199472832349976</v>
      </c>
    </row>
    <row r="37" spans="1:41" x14ac:dyDescent="0.25">
      <c r="A37" s="93">
        <v>41306</v>
      </c>
      <c r="B37">
        <v>59.580044000000001</v>
      </c>
      <c r="C37">
        <v>52.602401999999998</v>
      </c>
      <c r="D37">
        <v>64.390113999999997</v>
      </c>
      <c r="E37">
        <v>7.543609</v>
      </c>
      <c r="F37">
        <v>13.841429</v>
      </c>
      <c r="G37">
        <v>1.64</v>
      </c>
      <c r="I37" s="94">
        <v>41306</v>
      </c>
      <c r="J37">
        <f t="shared" si="11"/>
        <v>-2.5286005872361128E-2</v>
      </c>
      <c r="K37">
        <f t="shared" si="11"/>
        <v>1.3177388184560436E-2</v>
      </c>
      <c r="L37">
        <f t="shared" si="11"/>
        <v>2.3610286961537844E-2</v>
      </c>
      <c r="M37">
        <f t="shared" si="11"/>
        <v>-7.4118995867808748E-2</v>
      </c>
      <c r="N37">
        <f t="shared" si="11"/>
        <v>-0.1003058059449477</v>
      </c>
      <c r="O37">
        <f t="shared" si="11"/>
        <v>2.4999999999999883E-2</v>
      </c>
      <c r="P37" s="90">
        <v>36</v>
      </c>
      <c r="R37">
        <f t="shared" si="2"/>
        <v>1.3177388184560436E-2</v>
      </c>
      <c r="S37">
        <f t="shared" si="3"/>
        <v>2.4999999999999883E-2</v>
      </c>
      <c r="T37">
        <f t="shared" si="4"/>
        <v>2.3610286961537844E-2</v>
      </c>
      <c r="W37" s="23">
        <f t="shared" si="12"/>
        <v>0.41496429125568723</v>
      </c>
      <c r="X37" s="88">
        <v>0.1</v>
      </c>
      <c r="Y37" s="88">
        <v>0.8</v>
      </c>
      <c r="Z37" s="88">
        <f t="shared" si="6"/>
        <v>9.999999999999995E-2</v>
      </c>
      <c r="AA37" s="6">
        <f t="shared" si="13"/>
        <v>5.3807467022429216E-2</v>
      </c>
      <c r="AB37" s="22">
        <f t="shared" si="14"/>
        <v>1.6751275780143633E-2</v>
      </c>
      <c r="AC37" s="6">
        <f t="shared" si="10"/>
        <v>0.12942671973029229</v>
      </c>
    </row>
    <row r="38" spans="1:41" x14ac:dyDescent="0.25">
      <c r="A38" s="93">
        <v>41276</v>
      </c>
      <c r="B38">
        <v>61.125667999999997</v>
      </c>
      <c r="C38">
        <v>51.918255000000002</v>
      </c>
      <c r="D38">
        <v>62.904910999999998</v>
      </c>
      <c r="E38">
        <v>8.1474930000000008</v>
      </c>
      <c r="F38">
        <v>15.384593000000001</v>
      </c>
      <c r="G38">
        <v>1.6</v>
      </c>
      <c r="I38" s="94">
        <v>41276</v>
      </c>
      <c r="J38">
        <f t="shared" si="11"/>
        <v>-0.14408927676495295</v>
      </c>
      <c r="K38">
        <f t="shared" si="11"/>
        <v>8.2145030274712511E-2</v>
      </c>
      <c r="L38">
        <f t="shared" si="11"/>
        <v>8.1972506524567459E-2</v>
      </c>
      <c r="M38">
        <f t="shared" si="11"/>
        <v>-0.15329231097306045</v>
      </c>
      <c r="N38">
        <f t="shared" si="11"/>
        <v>-4.997081909872849E-2</v>
      </c>
      <c r="O38">
        <f t="shared" si="11"/>
        <v>0.1764705882352941</v>
      </c>
      <c r="P38" s="90">
        <v>37</v>
      </c>
      <c r="R38">
        <f t="shared" si="2"/>
        <v>8.2145030274712511E-2</v>
      </c>
      <c r="S38">
        <f t="shared" si="3"/>
        <v>0.1764705882352941</v>
      </c>
      <c r="T38">
        <f t="shared" si="4"/>
        <v>8.1972506524567459E-2</v>
      </c>
      <c r="W38" s="23">
        <f t="shared" si="12"/>
        <v>0.5806047967167749</v>
      </c>
      <c r="X38" s="88">
        <v>0.2</v>
      </c>
      <c r="Y38" s="88">
        <v>0.1</v>
      </c>
      <c r="Z38" s="88">
        <f t="shared" si="6"/>
        <v>0.7</v>
      </c>
      <c r="AA38" s="6">
        <f t="shared" si="13"/>
        <v>2.7842586927837448E-2</v>
      </c>
      <c r="AB38" s="22">
        <f t="shared" si="14"/>
        <v>2.2831406794850064E-3</v>
      </c>
      <c r="AC38" s="6">
        <f t="shared" si="10"/>
        <v>4.7782221374534341E-2</v>
      </c>
    </row>
    <row r="39" spans="1:41" x14ac:dyDescent="0.25">
      <c r="A39" s="93">
        <v>41246</v>
      </c>
      <c r="B39">
        <v>71.415938999999995</v>
      </c>
      <c r="C39">
        <v>47.977169000000004</v>
      </c>
      <c r="D39">
        <v>58.139102999999999</v>
      </c>
      <c r="E39">
        <v>9.6225570000000005</v>
      </c>
      <c r="F39">
        <v>16.193811</v>
      </c>
      <c r="G39">
        <v>1.36</v>
      </c>
      <c r="I39" s="94">
        <v>41246</v>
      </c>
      <c r="J39">
        <f t="shared" ref="J39:J49" si="15">(B39-B40)/B40</f>
        <v>-9.0742906687945962E-2</v>
      </c>
      <c r="K39">
        <f t="shared" ref="K39:K49" si="16">(C39-C40)/C40</f>
        <v>1.8014358074685065E-2</v>
      </c>
      <c r="L39">
        <f t="shared" ref="L39:L49" si="17">(D39-D40)/D40</f>
        <v>-4.9485179726504194E-2</v>
      </c>
      <c r="M39">
        <f t="shared" ref="M39:M49" si="18">(E39-E40)/E40</f>
        <v>-3.5714189082274847E-2</v>
      </c>
      <c r="N39">
        <f t="shared" ref="N39:N49" si="19">(F39-F40)/F40</f>
        <v>-8.1025300359950189E-2</v>
      </c>
      <c r="O39">
        <f t="shared" ref="O39:O49" si="20">(G39-G40)/G40</f>
        <v>0.34653465346534662</v>
      </c>
      <c r="P39" s="90">
        <v>38</v>
      </c>
      <c r="R39">
        <f t="shared" si="2"/>
        <v>1.8014358074685065E-2</v>
      </c>
      <c r="S39">
        <f t="shared" si="3"/>
        <v>0.34653465346534662</v>
      </c>
      <c r="T39">
        <f t="shared" si="4"/>
        <v>-4.9485179726504194E-2</v>
      </c>
      <c r="W39" s="23">
        <f t="shared" si="12"/>
        <v>0.56897364989582278</v>
      </c>
      <c r="X39" s="88">
        <v>0.2</v>
      </c>
      <c r="Y39" s="88">
        <v>0.2</v>
      </c>
      <c r="Z39" s="88">
        <f t="shared" si="6"/>
        <v>0.60000000000000009</v>
      </c>
      <c r="AA39" s="6">
        <f t="shared" si="13"/>
        <v>3.1545444517815213E-2</v>
      </c>
      <c r="AB39" s="22">
        <f t="shared" si="14"/>
        <v>3.0544369779803042E-3</v>
      </c>
      <c r="AC39" s="6">
        <f t="shared" si="10"/>
        <v>5.5266960998233874E-2</v>
      </c>
    </row>
    <row r="40" spans="1:41" x14ac:dyDescent="0.25">
      <c r="A40" s="93">
        <v>41214</v>
      </c>
      <c r="B40">
        <v>78.543175000000005</v>
      </c>
      <c r="C40">
        <v>47.128185000000002</v>
      </c>
      <c r="D40">
        <v>61.165908999999999</v>
      </c>
      <c r="E40">
        <v>9.9789469999999998</v>
      </c>
      <c r="F40">
        <v>17.621607000000001</v>
      </c>
      <c r="G40">
        <v>1.01</v>
      </c>
      <c r="I40" s="94">
        <v>41214</v>
      </c>
      <c r="J40">
        <f t="shared" si="15"/>
        <v>-1.2374557211744405E-2</v>
      </c>
      <c r="K40">
        <f t="shared" si="16"/>
        <v>1.0993502942087242E-2</v>
      </c>
      <c r="L40">
        <f t="shared" si="17"/>
        <v>6.4892651919873826E-2</v>
      </c>
      <c r="M40">
        <f t="shared" si="18"/>
        <v>9.0090354261222697E-3</v>
      </c>
      <c r="N40">
        <f t="shared" si="19"/>
        <v>-6.9767465185975708E-2</v>
      </c>
      <c r="O40">
        <f t="shared" si="20"/>
        <v>-0.12931034482758613</v>
      </c>
      <c r="P40" s="90">
        <v>39</v>
      </c>
      <c r="R40">
        <f t="shared" si="2"/>
        <v>1.0993502942087242E-2</v>
      </c>
      <c r="S40">
        <f t="shared" si="3"/>
        <v>-0.12931034482758613</v>
      </c>
      <c r="T40">
        <f t="shared" si="4"/>
        <v>6.4892651919873826E-2</v>
      </c>
      <c r="W40" s="23">
        <f t="shared" si="12"/>
        <v>0.5379007423822032</v>
      </c>
      <c r="X40" s="88">
        <v>0.2</v>
      </c>
      <c r="Y40" s="88">
        <v>0.3</v>
      </c>
      <c r="Z40" s="88">
        <f t="shared" si="6"/>
        <v>0.49999999999999994</v>
      </c>
      <c r="AA40" s="6">
        <f t="shared" si="13"/>
        <v>3.5248302107792964E-2</v>
      </c>
      <c r="AB40" s="22">
        <f t="shared" si="14"/>
        <v>4.26976933524082E-3</v>
      </c>
      <c r="AC40" s="6">
        <f t="shared" si="10"/>
        <v>6.5343472017033347E-2</v>
      </c>
    </row>
    <row r="41" spans="1:41" x14ac:dyDescent="0.25">
      <c r="A41" s="93">
        <v>41183</v>
      </c>
      <c r="B41">
        <v>79.527289999999994</v>
      </c>
      <c r="C41">
        <v>46.615715000000002</v>
      </c>
      <c r="D41">
        <v>57.438567999999997</v>
      </c>
      <c r="E41">
        <v>9.8898489999999999</v>
      </c>
      <c r="F41">
        <v>18.943228000000001</v>
      </c>
      <c r="G41">
        <v>1.1599999999999999</v>
      </c>
      <c r="I41" s="94">
        <v>41183</v>
      </c>
      <c r="J41">
        <f t="shared" si="15"/>
        <v>-0.10760003714700758</v>
      </c>
      <c r="K41">
        <f t="shared" si="16"/>
        <v>-6.044376969694551E-2</v>
      </c>
      <c r="L41">
        <f t="shared" si="17"/>
        <v>1.6730177599611845E-2</v>
      </c>
      <c r="M41">
        <f t="shared" si="18"/>
        <v>-2.15475535149438E-2</v>
      </c>
      <c r="N41">
        <f t="shared" si="19"/>
        <v>5.7561397614516806E-2</v>
      </c>
      <c r="O41">
        <f t="shared" si="20"/>
        <v>-8.5470085470085548E-3</v>
      </c>
      <c r="P41" s="90">
        <v>40</v>
      </c>
      <c r="R41">
        <f t="shared" si="2"/>
        <v>-6.044376969694551E-2</v>
      </c>
      <c r="S41">
        <f t="shared" si="3"/>
        <v>-8.5470085470085548E-3</v>
      </c>
      <c r="T41">
        <f t="shared" si="4"/>
        <v>1.6730177599611845E-2</v>
      </c>
      <c r="W41" s="23">
        <f t="shared" si="12"/>
        <v>0.50455465431082014</v>
      </c>
      <c r="X41" s="88">
        <v>0.2</v>
      </c>
      <c r="Y41" s="88">
        <v>0.4</v>
      </c>
      <c r="Z41" s="88">
        <f t="shared" si="6"/>
        <v>0.39999999999999997</v>
      </c>
      <c r="AA41" s="6">
        <f t="shared" si="13"/>
        <v>3.8951159697770722E-2</v>
      </c>
      <c r="AB41" s="22">
        <f t="shared" si="14"/>
        <v>5.9291377512665595E-3</v>
      </c>
      <c r="AC41" s="6">
        <f t="shared" si="10"/>
        <v>7.7000894483548438E-2</v>
      </c>
    </row>
    <row r="42" spans="1:41" x14ac:dyDescent="0.25">
      <c r="A42" s="93">
        <v>41156</v>
      </c>
      <c r="B42">
        <v>89.116196000000002</v>
      </c>
      <c r="C42">
        <v>49.614609000000002</v>
      </c>
      <c r="D42">
        <v>56.493423</v>
      </c>
      <c r="E42">
        <v>10.107644000000001</v>
      </c>
      <c r="F42">
        <v>17.912178000000001</v>
      </c>
      <c r="G42">
        <v>1.17</v>
      </c>
      <c r="I42" s="94">
        <v>41156</v>
      </c>
      <c r="J42">
        <f t="shared" si="15"/>
        <v>2.7959983040861747E-3</v>
      </c>
      <c r="K42">
        <f t="shared" si="16"/>
        <v>5.6801994620587319E-2</v>
      </c>
      <c r="L42">
        <f t="shared" si="17"/>
        <v>6.3788533235219907E-2</v>
      </c>
      <c r="M42">
        <f t="shared" si="18"/>
        <v>0.1562419531797031</v>
      </c>
      <c r="N42">
        <f t="shared" si="19"/>
        <v>0.11951175472536212</v>
      </c>
      <c r="O42">
        <f t="shared" si="20"/>
        <v>-1.6806722689075647E-2</v>
      </c>
      <c r="P42" s="90">
        <v>41</v>
      </c>
      <c r="R42">
        <f t="shared" si="2"/>
        <v>5.6801994620587319E-2</v>
      </c>
      <c r="S42">
        <f t="shared" si="3"/>
        <v>-1.6806722689075647E-2</v>
      </c>
      <c r="T42">
        <f t="shared" si="4"/>
        <v>6.3788533235219907E-2</v>
      </c>
      <c r="W42" s="23">
        <f t="shared" si="12"/>
        <v>0.4748036589244225</v>
      </c>
      <c r="X42" s="88">
        <v>0.2</v>
      </c>
      <c r="Y42" s="88">
        <v>0.5</v>
      </c>
      <c r="Z42" s="88">
        <f t="shared" si="6"/>
        <v>0.3</v>
      </c>
      <c r="AA42" s="6">
        <f t="shared" si="13"/>
        <v>4.265401728774848E-2</v>
      </c>
      <c r="AB42" s="22">
        <f t="shared" si="14"/>
        <v>8.0325422260575166E-3</v>
      </c>
      <c r="AC42" s="6">
        <f t="shared" si="10"/>
        <v>8.9624451050243636E-2</v>
      </c>
      <c r="AO42" t="s">
        <v>32</v>
      </c>
    </row>
    <row r="43" spans="1:41" x14ac:dyDescent="0.25">
      <c r="A43" s="93">
        <v>41122</v>
      </c>
      <c r="B43">
        <v>88.867722000000001</v>
      </c>
      <c r="C43">
        <v>46.947876000000001</v>
      </c>
      <c r="D43">
        <v>53.105877</v>
      </c>
      <c r="E43">
        <v>8.7418069999999997</v>
      </c>
      <c r="F43">
        <v>15.999991</v>
      </c>
      <c r="G43">
        <v>1.19</v>
      </c>
      <c r="I43" s="94">
        <v>41122</v>
      </c>
      <c r="J43">
        <f t="shared" si="15"/>
        <v>9.387685779504662E-2</v>
      </c>
      <c r="K43">
        <f t="shared" si="16"/>
        <v>6.715579174879127E-3</v>
      </c>
      <c r="L43">
        <f t="shared" si="17"/>
        <v>9.3175531387133623E-2</v>
      </c>
      <c r="M43">
        <f t="shared" si="18"/>
        <v>7.099865907811459E-2</v>
      </c>
      <c r="N43">
        <f t="shared" si="19"/>
        <v>0.15665080005942289</v>
      </c>
      <c r="O43">
        <f t="shared" si="20"/>
        <v>2.5862068965517265E-2</v>
      </c>
      <c r="P43" s="90">
        <v>42</v>
      </c>
      <c r="R43">
        <f t="shared" si="2"/>
        <v>6.715579174879127E-3</v>
      </c>
      <c r="S43">
        <f t="shared" si="3"/>
        <v>2.5862068965517265E-2</v>
      </c>
      <c r="T43">
        <f t="shared" si="4"/>
        <v>9.3175531387133623E-2</v>
      </c>
      <c r="W43" s="23">
        <f t="shared" si="12"/>
        <v>0.4497113083791715</v>
      </c>
      <c r="X43" s="88">
        <v>0.2</v>
      </c>
      <c r="Y43" s="88">
        <v>0.6</v>
      </c>
      <c r="Z43" s="88">
        <f t="shared" si="6"/>
        <v>0.2</v>
      </c>
      <c r="AA43" s="6">
        <f t="shared" si="13"/>
        <v>4.6356874877726231E-2</v>
      </c>
      <c r="AB43" s="22">
        <f t="shared" si="14"/>
        <v>1.0579982759613693E-2</v>
      </c>
      <c r="AC43" s="6">
        <f t="shared" si="10"/>
        <v>0.10285904315913935</v>
      </c>
    </row>
    <row r="44" spans="1:41" x14ac:dyDescent="0.25">
      <c r="A44" s="93">
        <v>41092</v>
      </c>
      <c r="B44">
        <v>81.241066000000004</v>
      </c>
      <c r="C44">
        <v>46.634697000000003</v>
      </c>
      <c r="D44">
        <v>48.579459999999997</v>
      </c>
      <c r="E44">
        <v>8.1622950000000003</v>
      </c>
      <c r="F44">
        <v>13.833035000000001</v>
      </c>
      <c r="G44">
        <v>1.1599999999999999</v>
      </c>
      <c r="I44" s="94">
        <v>41092</v>
      </c>
      <c r="J44">
        <f t="shared" si="15"/>
        <v>4.5821802979567026E-2</v>
      </c>
      <c r="K44">
        <f t="shared" si="16"/>
        <v>1.3195834439922423E-2</v>
      </c>
      <c r="L44">
        <f t="shared" si="17"/>
        <v>-1.5285920221989205E-2</v>
      </c>
      <c r="M44">
        <f t="shared" si="18"/>
        <v>1.9632016337507205E-2</v>
      </c>
      <c r="N44">
        <f t="shared" si="19"/>
        <v>-3.8311640188613605E-2</v>
      </c>
      <c r="O44">
        <f t="shared" si="20"/>
        <v>-0.17142857142857143</v>
      </c>
      <c r="P44" s="90">
        <v>43</v>
      </c>
      <c r="R44">
        <f t="shared" si="2"/>
        <v>1.3195834439922423E-2</v>
      </c>
      <c r="S44">
        <f t="shared" si="3"/>
        <v>-0.17142857142857143</v>
      </c>
      <c r="T44">
        <f t="shared" si="4"/>
        <v>-1.5285920221989205E-2</v>
      </c>
      <c r="W44" s="23">
        <f t="shared" si="12"/>
        <v>0.42885139680009959</v>
      </c>
      <c r="X44" s="88">
        <v>0.2</v>
      </c>
      <c r="Y44" s="88">
        <v>0.7</v>
      </c>
      <c r="Z44" s="88">
        <f t="shared" si="6"/>
        <v>0.10000000000000003</v>
      </c>
      <c r="AA44" s="6">
        <f t="shared" si="13"/>
        <v>5.0059732467703989E-2</v>
      </c>
      <c r="AB44" s="22">
        <f t="shared" si="14"/>
        <v>1.3571459351935091E-2</v>
      </c>
      <c r="AC44" s="6">
        <f t="shared" si="10"/>
        <v>0.11649660661124465</v>
      </c>
    </row>
    <row r="45" spans="1:41" x14ac:dyDescent="0.25">
      <c r="A45" s="93">
        <v>41061</v>
      </c>
      <c r="B45">
        <v>77.681556999999998</v>
      </c>
      <c r="C45">
        <v>46.027327999999997</v>
      </c>
      <c r="D45">
        <v>49.333568999999997</v>
      </c>
      <c r="E45">
        <v>8.0051380000000005</v>
      </c>
      <c r="F45">
        <v>14.384114</v>
      </c>
      <c r="G45">
        <v>1.4</v>
      </c>
      <c r="I45" s="94">
        <v>41061</v>
      </c>
      <c r="J45">
        <f t="shared" si="15"/>
        <v>1.0852852001434134E-2</v>
      </c>
      <c r="K45">
        <f t="shared" si="16"/>
        <v>6.1036981233331636E-2</v>
      </c>
      <c r="L45">
        <f t="shared" si="17"/>
        <v>7.3976544246624365E-2</v>
      </c>
      <c r="M45">
        <f t="shared" si="18"/>
        <v>2.2584615023010117E-2</v>
      </c>
      <c r="N45">
        <f t="shared" si="19"/>
        <v>6.0779671303976483E-2</v>
      </c>
      <c r="O45">
        <f t="shared" si="20"/>
        <v>7.6923076923076816E-2</v>
      </c>
      <c r="P45" s="90">
        <v>44</v>
      </c>
      <c r="R45">
        <f t="shared" si="2"/>
        <v>6.1036981233331636E-2</v>
      </c>
      <c r="S45">
        <f t="shared" si="3"/>
        <v>7.6923076923076816E-2</v>
      </c>
      <c r="T45">
        <f t="shared" si="4"/>
        <v>7.3976544246624365E-2</v>
      </c>
      <c r="W45" s="23">
        <f t="shared" si="12"/>
        <v>0.57612379283672321</v>
      </c>
      <c r="X45" s="87">
        <v>0.3</v>
      </c>
      <c r="Y45" s="87">
        <v>0.1</v>
      </c>
      <c r="Z45" s="87">
        <f t="shared" si="6"/>
        <v>0.60000000000000009</v>
      </c>
      <c r="AA45" s="6">
        <f t="shared" si="13"/>
        <v>2.779770996308998E-2</v>
      </c>
      <c r="AB45" s="22">
        <f t="shared" si="14"/>
        <v>2.3112988551222124E-3</v>
      </c>
      <c r="AC45" s="6">
        <f t="shared" si="10"/>
        <v>4.8075969622278163E-2</v>
      </c>
    </row>
    <row r="46" spans="1:41" x14ac:dyDescent="0.25">
      <c r="A46" s="93">
        <v>41030</v>
      </c>
      <c r="B46">
        <v>76.847542000000004</v>
      </c>
      <c r="C46">
        <v>43.379570000000001</v>
      </c>
      <c r="D46">
        <v>45.935425000000002</v>
      </c>
      <c r="E46">
        <v>7.8283379999999996</v>
      </c>
      <c r="F46">
        <v>13.559945000000001</v>
      </c>
      <c r="G46">
        <v>1.3</v>
      </c>
      <c r="I46" s="94">
        <v>41030</v>
      </c>
      <c r="J46">
        <f t="shared" si="15"/>
        <v>-1.0702316199539747E-2</v>
      </c>
      <c r="K46">
        <f t="shared" si="16"/>
        <v>6.0310849167575571E-2</v>
      </c>
      <c r="L46">
        <f t="shared" si="17"/>
        <v>-4.1685272285706863E-2</v>
      </c>
      <c r="M46">
        <f t="shared" si="18"/>
        <v>-0.10949719818826689</v>
      </c>
      <c r="N46">
        <f t="shared" si="19"/>
        <v>-8.843548901233473E-3</v>
      </c>
      <c r="O46">
        <f t="shared" si="20"/>
        <v>-0.10344827586206891</v>
      </c>
      <c r="P46" s="90">
        <v>45</v>
      </c>
      <c r="R46">
        <f t="shared" si="2"/>
        <v>6.0310849167575571E-2</v>
      </c>
      <c r="S46">
        <f t="shared" si="3"/>
        <v>-0.10344827586206891</v>
      </c>
      <c r="T46">
        <f t="shared" si="4"/>
        <v>-4.1685272285706863E-2</v>
      </c>
      <c r="W46" s="23">
        <f t="shared" si="12"/>
        <v>0.53061897173113493</v>
      </c>
      <c r="X46" s="87">
        <v>0.3</v>
      </c>
      <c r="Y46" s="87">
        <v>0.3</v>
      </c>
      <c r="Z46" s="87">
        <f t="shared" si="6"/>
        <v>0.39999999999999997</v>
      </c>
      <c r="AA46" s="6">
        <f t="shared" si="13"/>
        <v>3.5203425143045489E-2</v>
      </c>
      <c r="AB46" s="22">
        <f t="shared" si="14"/>
        <v>4.3765655799269396E-3</v>
      </c>
      <c r="AC46" s="6">
        <f t="shared" si="10"/>
        <v>6.6155616389894964E-2</v>
      </c>
    </row>
    <row r="47" spans="1:41" x14ac:dyDescent="0.25">
      <c r="A47" s="93">
        <v>41001</v>
      </c>
      <c r="B47">
        <v>77.678886000000006</v>
      </c>
      <c r="C47">
        <v>40.912125000000003</v>
      </c>
      <c r="D47">
        <v>47.933548000000002</v>
      </c>
      <c r="E47">
        <v>8.7909190000000006</v>
      </c>
      <c r="F47">
        <v>13.680933</v>
      </c>
      <c r="G47">
        <v>1.45</v>
      </c>
      <c r="I47" s="94">
        <v>41001</v>
      </c>
      <c r="J47">
        <f t="shared" si="15"/>
        <v>-2.5969519681478394E-2</v>
      </c>
      <c r="K47">
        <f t="shared" si="16"/>
        <v>-1.5303781658047935E-2</v>
      </c>
      <c r="L47">
        <f t="shared" si="17"/>
        <v>2.9417668692541508E-2</v>
      </c>
      <c r="M47">
        <f t="shared" si="18"/>
        <v>-8.5801886836601018E-2</v>
      </c>
      <c r="N47">
        <f t="shared" si="19"/>
        <v>-5.8898869827005401E-2</v>
      </c>
      <c r="O47">
        <f t="shared" si="20"/>
        <v>-0.16666666666666669</v>
      </c>
      <c r="P47" s="90">
        <v>46</v>
      </c>
      <c r="R47">
        <f t="shared" si="2"/>
        <v>-1.5303781658047935E-2</v>
      </c>
      <c r="S47">
        <f t="shared" si="3"/>
        <v>-0.16666666666666669</v>
      </c>
      <c r="T47">
        <f t="shared" si="4"/>
        <v>2.9417668692541508E-2</v>
      </c>
      <c r="W47" s="23">
        <f t="shared" si="12"/>
        <v>0.46892120637165408</v>
      </c>
      <c r="X47" s="87">
        <v>0.3</v>
      </c>
      <c r="Y47" s="87">
        <v>0.5</v>
      </c>
      <c r="Z47" s="87">
        <f t="shared" si="6"/>
        <v>0.2</v>
      </c>
      <c r="AA47" s="6">
        <f t="shared" si="13"/>
        <v>4.2609140323001005E-2</v>
      </c>
      <c r="AB47" s="22">
        <f t="shared" si="14"/>
        <v>8.2179765397925493E-3</v>
      </c>
      <c r="AC47" s="6">
        <f t="shared" si="10"/>
        <v>9.0653055876746644E-2</v>
      </c>
    </row>
    <row r="48" spans="1:41" x14ac:dyDescent="0.25">
      <c r="A48" s="93">
        <v>40969</v>
      </c>
      <c r="B48">
        <v>79.749954000000002</v>
      </c>
      <c r="C48">
        <v>41.547966000000002</v>
      </c>
      <c r="D48">
        <v>46.563751000000003</v>
      </c>
      <c r="E48">
        <v>9.6159890000000008</v>
      </c>
      <c r="F48">
        <v>14.537155</v>
      </c>
      <c r="G48">
        <v>1.74</v>
      </c>
      <c r="I48" s="94">
        <v>40969</v>
      </c>
      <c r="J48">
        <f t="shared" si="15"/>
        <v>0.10528342830483788</v>
      </c>
      <c r="K48">
        <f t="shared" si="16"/>
        <v>4.2629131987199503E-2</v>
      </c>
      <c r="L48">
        <f t="shared" si="17"/>
        <v>6.4111118073591308E-2</v>
      </c>
      <c r="M48">
        <f t="shared" si="18"/>
        <v>-0.10943431139772559</v>
      </c>
      <c r="N48">
        <f t="shared" si="19"/>
        <v>-9.7097363877869838E-2</v>
      </c>
      <c r="O48">
        <f t="shared" si="20"/>
        <v>0.12987012987012983</v>
      </c>
      <c r="P48" s="90">
        <v>47</v>
      </c>
      <c r="R48">
        <f t="shared" si="2"/>
        <v>4.2629131987199503E-2</v>
      </c>
      <c r="S48">
        <f t="shared" si="3"/>
        <v>0.12987012987012983</v>
      </c>
      <c r="T48">
        <f t="shared" si="4"/>
        <v>6.4111118073591308E-2</v>
      </c>
      <c r="W48" s="23">
        <f t="shared" si="12"/>
        <v>0.56198796743883084</v>
      </c>
      <c r="X48" s="88">
        <v>0.3</v>
      </c>
      <c r="Y48" s="88">
        <v>0.2</v>
      </c>
      <c r="Z48" s="88">
        <f t="shared" si="6"/>
        <v>0.5</v>
      </c>
      <c r="AA48" s="6">
        <f t="shared" si="13"/>
        <v>3.1500567553067738E-2</v>
      </c>
      <c r="AB48" s="22">
        <f t="shared" si="14"/>
        <v>3.1219141881419659E-3</v>
      </c>
      <c r="AC48" s="6">
        <f t="shared" si="10"/>
        <v>5.5874092280250656E-2</v>
      </c>
    </row>
    <row r="49" spans="1:29" x14ac:dyDescent="0.25">
      <c r="A49" s="93">
        <v>40940</v>
      </c>
      <c r="B49">
        <v>72.153396999999998</v>
      </c>
      <c r="C49">
        <v>39.849227999999997</v>
      </c>
      <c r="D49">
        <v>43.758353999999997</v>
      </c>
      <c r="E49">
        <v>10.797618999999999</v>
      </c>
      <c r="F49">
        <v>16.100467999999999</v>
      </c>
      <c r="G49">
        <v>1.54</v>
      </c>
      <c r="I49" s="94">
        <v>40940</v>
      </c>
      <c r="J49">
        <f t="shared" si="15"/>
        <v>0.1883106925650975</v>
      </c>
      <c r="K49">
        <f t="shared" si="16"/>
        <v>7.9434510550125778E-2</v>
      </c>
      <c r="L49">
        <f t="shared" si="17"/>
        <v>7.1637708176393838E-2</v>
      </c>
      <c r="M49">
        <f t="shared" si="18"/>
        <v>-1.8600530236177745E-2</v>
      </c>
      <c r="N49">
        <f t="shared" si="19"/>
        <v>5.2113386041503142E-3</v>
      </c>
      <c r="O49">
        <f t="shared" si="20"/>
        <v>0.10791366906474831</v>
      </c>
      <c r="P49" s="90">
        <v>48</v>
      </c>
      <c r="R49">
        <f t="shared" si="2"/>
        <v>7.9434510550125778E-2</v>
      </c>
      <c r="S49">
        <f t="shared" si="3"/>
        <v>0.10791366906474831</v>
      </c>
      <c r="T49">
        <f t="shared" si="4"/>
        <v>7.1637708176393838E-2</v>
      </c>
      <c r="W49" s="23">
        <f t="shared" si="12"/>
        <v>0.49787447119998884</v>
      </c>
      <c r="X49" s="88">
        <v>0.3</v>
      </c>
      <c r="Y49" s="88">
        <v>0.4</v>
      </c>
      <c r="Z49" s="88">
        <f t="shared" si="6"/>
        <v>0.3</v>
      </c>
      <c r="AA49" s="6">
        <f t="shared" si="13"/>
        <v>3.8906282733023254E-2</v>
      </c>
      <c r="AB49" s="22">
        <f t="shared" si="14"/>
        <v>6.0752530304771365E-3</v>
      </c>
      <c r="AC49" s="6">
        <f t="shared" si="10"/>
        <v>7.7943909514965548E-2</v>
      </c>
    </row>
    <row r="50" spans="1:29" ht="15.75" thickBot="1" x14ac:dyDescent="0.3">
      <c r="A50" s="93">
        <v>40911</v>
      </c>
      <c r="B50">
        <v>60.719302999999996</v>
      </c>
      <c r="C50">
        <v>36.916763000000003</v>
      </c>
      <c r="D50">
        <v>40.833159999999999</v>
      </c>
      <c r="E50">
        <v>11.002267</v>
      </c>
      <c r="F50">
        <v>16.016998000000001</v>
      </c>
      <c r="G50">
        <v>1.39</v>
      </c>
      <c r="W50" s="23">
        <f t="shared" si="12"/>
        <v>0.44457768793725644</v>
      </c>
      <c r="X50" s="88">
        <v>0.3</v>
      </c>
      <c r="Y50" s="88">
        <v>0.6</v>
      </c>
      <c r="Z50" s="88">
        <f t="shared" si="6"/>
        <v>0.10000000000000003</v>
      </c>
      <c r="AA50" s="6">
        <f t="shared" si="13"/>
        <v>4.6311997912978763E-2</v>
      </c>
      <c r="AB50" s="22">
        <f t="shared" si="14"/>
        <v>1.0804736107873185E-2</v>
      </c>
      <c r="AC50" s="6">
        <f t="shared" si="10"/>
        <v>0.10394583256616488</v>
      </c>
    </row>
    <row r="51" spans="1:29" ht="15.75" thickBot="1" x14ac:dyDescent="0.3">
      <c r="A51" s="91"/>
      <c r="Q51" s="95" t="s">
        <v>20</v>
      </c>
      <c r="R51" s="96"/>
      <c r="S51" s="96"/>
      <c r="T51" s="97"/>
      <c r="W51" s="23">
        <f t="shared" si="12"/>
        <v>0.55098119302788851</v>
      </c>
      <c r="X51" s="87">
        <v>0.5</v>
      </c>
      <c r="Y51" s="87">
        <v>0.1</v>
      </c>
      <c r="Z51" s="87">
        <f t="shared" si="6"/>
        <v>0.4</v>
      </c>
      <c r="AA51" s="6">
        <f t="shared" si="13"/>
        <v>2.7707956033595035E-2</v>
      </c>
      <c r="AB51" s="22">
        <f t="shared" si="14"/>
        <v>2.5107007896875855E-3</v>
      </c>
      <c r="AC51" s="6">
        <f t="shared" si="10"/>
        <v>5.0106893634385134E-2</v>
      </c>
    </row>
    <row r="52" spans="1:29" ht="15.75" thickBot="1" x14ac:dyDescent="0.3">
      <c r="A52" s="91"/>
      <c r="W52" s="23">
        <f t="shared" si="12"/>
        <v>0.53697964098934292</v>
      </c>
      <c r="X52" s="87">
        <v>0.5</v>
      </c>
      <c r="Y52" s="87">
        <v>0.2</v>
      </c>
      <c r="Z52" s="87">
        <f t="shared" si="6"/>
        <v>0.30000000000000004</v>
      </c>
      <c r="AA52" s="6">
        <f t="shared" si="13"/>
        <v>3.14108136235728E-2</v>
      </c>
      <c r="AB52" s="22">
        <f t="shared" si="14"/>
        <v>3.399954191756253E-3</v>
      </c>
      <c r="AC52" s="6">
        <f t="shared" si="10"/>
        <v>5.8309126144680416E-2</v>
      </c>
    </row>
    <row r="53" spans="1:29" x14ac:dyDescent="0.25">
      <c r="A53" s="91"/>
      <c r="Q53" s="35" t="s">
        <v>10</v>
      </c>
      <c r="R53" s="40">
        <f>AVERAGE(R3:R38)</f>
        <v>2.3780713619879931E-2</v>
      </c>
      <c r="S53" s="41">
        <f>AVERAGE(S3:S38)</f>
        <v>6.1258059167132201E-2</v>
      </c>
      <c r="T53" s="42">
        <f>AVERAGE(T3:T38)</f>
        <v>2.4229483267354631E-2</v>
      </c>
      <c r="W53" s="23">
        <f t="shared" si="12"/>
        <v>0.50893019528572125</v>
      </c>
      <c r="X53" s="87">
        <v>0.5</v>
      </c>
      <c r="Y53" s="87">
        <v>0.3</v>
      </c>
      <c r="Z53" s="87">
        <f t="shared" si="6"/>
        <v>0.19999999999999996</v>
      </c>
      <c r="AA53" s="6">
        <f t="shared" si="13"/>
        <v>3.5113671213550551E-2</v>
      </c>
      <c r="AB53" s="22">
        <f t="shared" si="14"/>
        <v>4.7332436525901389E-3</v>
      </c>
      <c r="AC53" s="6">
        <f t="shared" si="10"/>
        <v>6.8798573041816344E-2</v>
      </c>
    </row>
    <row r="54" spans="1:29" x14ac:dyDescent="0.25">
      <c r="A54" s="91"/>
      <c r="Q54" s="36" t="s">
        <v>11</v>
      </c>
      <c r="R54" s="43">
        <f>_xlfn.VAR.S(R3:R38)</f>
        <v>3.2020590127058955E-3</v>
      </c>
      <c r="S54" s="39">
        <f>_xlfn.VAR.S(S3:S38)</f>
        <v>2.4589132092066937E-2</v>
      </c>
      <c r="T54" s="44">
        <f>_xlfn.VAR.S(T3:T38)</f>
        <v>2.1212877408203932E-3</v>
      </c>
      <c r="W54" s="23">
        <f t="shared" si="12"/>
        <v>0.47982948815931364</v>
      </c>
      <c r="X54" s="88">
        <v>0.5</v>
      </c>
      <c r="Y54" s="88">
        <v>0.4</v>
      </c>
      <c r="Z54" s="88">
        <f t="shared" si="6"/>
        <v>9.9999999999999978E-2</v>
      </c>
      <c r="AA54" s="6">
        <f t="shared" si="13"/>
        <v>3.8816528803528316E-2</v>
      </c>
      <c r="AB54" s="22">
        <f t="shared" si="14"/>
        <v>6.5105691721892489E-3</v>
      </c>
      <c r="AC54" s="6">
        <f t="shared" si="10"/>
        <v>8.0688098082612209E-2</v>
      </c>
    </row>
    <row r="55" spans="1:29" x14ac:dyDescent="0.25">
      <c r="A55" s="91"/>
      <c r="Q55" s="36" t="s">
        <v>12</v>
      </c>
      <c r="R55" s="45">
        <f>_xlfn.STDEV.S(R3:R38)</f>
        <v>5.6586738841409613E-2</v>
      </c>
      <c r="S55" s="38">
        <f>_xlfn.STDEV.S(S3:S38)</f>
        <v>0.15680922196116828</v>
      </c>
      <c r="T55" s="46">
        <f>_xlfn.STDEV.S(T3:T38)</f>
        <v>4.6057439581683145E-2</v>
      </c>
      <c r="W55" s="23">
        <f t="shared" si="12"/>
        <v>0.51092236275713065</v>
      </c>
      <c r="X55" s="88">
        <v>0.7</v>
      </c>
      <c r="Y55" s="88">
        <v>0.1</v>
      </c>
      <c r="Z55" s="88">
        <f t="shared" si="6"/>
        <v>0.20000000000000007</v>
      </c>
      <c r="AA55" s="6">
        <f t="shared" si="13"/>
        <v>2.7618202104100101E-2</v>
      </c>
      <c r="AB55" s="22">
        <f t="shared" si="14"/>
        <v>2.9008835019742403E-3</v>
      </c>
      <c r="AC55" s="6">
        <f t="shared" si="10"/>
        <v>5.3859850556553165E-2</v>
      </c>
    </row>
    <row r="56" spans="1:29" x14ac:dyDescent="0.25">
      <c r="A56" s="91"/>
      <c r="Q56" s="36" t="s">
        <v>14</v>
      </c>
      <c r="R56" s="43">
        <f>_xlfn.COVARIANCE.S(R3:R38,S3:S38)</f>
        <v>3.5682659487207371E-3</v>
      </c>
      <c r="S56" s="39">
        <f>_xlfn.COVARIANCE.S(S3:S38,T3:T38)</f>
        <v>2.2543084473131583E-3</v>
      </c>
      <c r="T56" s="44">
        <f>_xlfn.COVARIANCE.S(R3:R38,T3:T38)</f>
        <v>1.4692935160051318E-3</v>
      </c>
      <c r="W56" s="23">
        <f t="shared" si="12"/>
        <v>0.50195051570632732</v>
      </c>
      <c r="X56" s="88">
        <v>0.7</v>
      </c>
      <c r="Y56" s="88">
        <v>0.2</v>
      </c>
      <c r="Z56" s="88">
        <f t="shared" si="6"/>
        <v>0.10000000000000009</v>
      </c>
      <c r="AA56" s="6">
        <f t="shared" si="13"/>
        <v>3.1321059694077856E-2</v>
      </c>
      <c r="AB56" s="22">
        <f t="shared" si="14"/>
        <v>3.8687749730918213E-3</v>
      </c>
      <c r="AC56" s="6">
        <f t="shared" si="10"/>
        <v>6.2199477273461243E-2</v>
      </c>
    </row>
    <row r="57" spans="1:29" ht="15.75" thickBot="1" x14ac:dyDescent="0.3">
      <c r="A57" s="91"/>
      <c r="Q57" s="37" t="s">
        <v>13</v>
      </c>
      <c r="R57" s="47">
        <f>CORREL(R3:R38,S3:S38)</f>
        <v>0.40213414449022361</v>
      </c>
      <c r="S57" s="48">
        <f>CORREL(S3:S38,T3:T38)</f>
        <v>0.31213462490789939</v>
      </c>
      <c r="T57" s="49">
        <f>CORREL(R3:R38,T3:T38)</f>
        <v>0.56375980104752477</v>
      </c>
      <c r="W57" s="23">
        <f t="shared" si="12"/>
        <v>0.48814821344232945</v>
      </c>
      <c r="X57" s="87">
        <v>0.8</v>
      </c>
      <c r="Y57" s="87">
        <v>0.1</v>
      </c>
      <c r="Z57" s="87">
        <f t="shared" si="6"/>
        <v>9.9999999999999978E-2</v>
      </c>
      <c r="AA57" s="6">
        <f t="shared" si="13"/>
        <v>2.7573325139352629E-2</v>
      </c>
      <c r="AB57" s="22">
        <f t="shared" si="14"/>
        <v>3.1675176497630488E-3</v>
      </c>
      <c r="AC57" s="6">
        <f t="shared" si="10"/>
        <v>5.6280704062431991E-2</v>
      </c>
    </row>
    <row r="58" spans="1:29" ht="15.75" thickBot="1" x14ac:dyDescent="0.3">
      <c r="A58" s="91"/>
      <c r="W58" s="23">
        <f t="shared" si="12"/>
        <v>0.52389979743795456</v>
      </c>
      <c r="X58" s="87">
        <v>0</v>
      </c>
      <c r="Y58" s="87">
        <v>0</v>
      </c>
      <c r="Z58" s="87">
        <f t="shared" si="6"/>
        <v>1</v>
      </c>
      <c r="AA58" s="6">
        <f t="shared" si="13"/>
        <v>2.4229483267354631E-2</v>
      </c>
      <c r="AB58" s="22">
        <f t="shared" si="14"/>
        <v>2.1212877408203932E-3</v>
      </c>
      <c r="AC58" s="6">
        <f t="shared" si="10"/>
        <v>4.6057439581683145E-2</v>
      </c>
    </row>
    <row r="59" spans="1:29" ht="15.75" thickBot="1" x14ac:dyDescent="0.3">
      <c r="A59" s="91"/>
      <c r="Q59" s="32" t="s">
        <v>21</v>
      </c>
      <c r="R59" s="27">
        <v>1E-4</v>
      </c>
      <c r="W59" s="23">
        <f t="shared" si="12"/>
        <v>0.3900157044480278</v>
      </c>
      <c r="X59" s="87">
        <v>0</v>
      </c>
      <c r="Y59" s="87">
        <v>1</v>
      </c>
      <c r="Z59" s="87">
        <f t="shared" si="6"/>
        <v>0</v>
      </c>
      <c r="AA59" s="6">
        <f t="shared" si="13"/>
        <v>6.1258059167132201E-2</v>
      </c>
      <c r="AB59" s="22">
        <f t="shared" si="14"/>
        <v>2.4589132092066937E-2</v>
      </c>
      <c r="AC59" s="6">
        <f t="shared" si="10"/>
        <v>0.15680922196116828</v>
      </c>
    </row>
    <row r="60" spans="1:29" x14ac:dyDescent="0.25">
      <c r="A60" s="91"/>
      <c r="W60" s="23">
        <f t="shared" si="12"/>
        <v>0.41848521587801096</v>
      </c>
      <c r="X60" s="87">
        <v>1</v>
      </c>
      <c r="Y60" s="87">
        <v>0</v>
      </c>
      <c r="Z60" s="87">
        <f t="shared" si="6"/>
        <v>0</v>
      </c>
      <c r="AA60" s="6">
        <f t="shared" si="13"/>
        <v>2.3780713619879931E-2</v>
      </c>
      <c r="AB60" s="22">
        <f t="shared" si="14"/>
        <v>3.2020590127058955E-3</v>
      </c>
      <c r="AC60" s="6">
        <f t="shared" si="10"/>
        <v>5.6586738841409613E-2</v>
      </c>
    </row>
    <row r="61" spans="1:29" x14ac:dyDescent="0.25">
      <c r="A61" s="91"/>
    </row>
    <row r="62" spans="1:29" x14ac:dyDescent="0.25">
      <c r="A62" s="91"/>
      <c r="V62" s="29" t="s">
        <v>22</v>
      </c>
      <c r="W62" s="24">
        <f>MAX(W3:W60)</f>
        <v>0.5806047967167749</v>
      </c>
      <c r="X62" s="25">
        <f>VLOOKUP($W$62,Opportunity_Set3,2,FALSE)</f>
        <v>0.2</v>
      </c>
      <c r="Y62" s="25">
        <f>VLOOKUP($W$62,Opportunity_Set3,3,FALSE)</f>
        <v>0.1</v>
      </c>
      <c r="Z62" s="25">
        <f>VLOOKUP($W$62,Opportunity_Set3,4,FALSE)</f>
        <v>0.7</v>
      </c>
      <c r="AA62" s="26">
        <f>VLOOKUP($W$62,Opportunity_Set3,5,FALSE)</f>
        <v>2.7842586927837448E-2</v>
      </c>
      <c r="AB62" s="25">
        <f>VLOOKUP($W$62,Opportunity_Set3,6,FALSE)</f>
        <v>2.2831406794850064E-3</v>
      </c>
      <c r="AC62" s="26">
        <f>VLOOKUP($W$62,Opportunity_Set3,7,FALSE)</f>
        <v>4.7782221374534341E-2</v>
      </c>
    </row>
    <row r="63" spans="1:29" x14ac:dyDescent="0.25">
      <c r="A63" s="91"/>
      <c r="V63" s="30" t="s">
        <v>23</v>
      </c>
      <c r="W63" s="28"/>
      <c r="X63" s="28"/>
      <c r="Y63" s="28"/>
      <c r="Z63" s="28"/>
      <c r="AA63" s="31">
        <f>R59</f>
        <v>1E-4</v>
      </c>
      <c r="AB63" s="33"/>
      <c r="AC63" s="33">
        <v>0</v>
      </c>
    </row>
    <row r="64" spans="1:29" x14ac:dyDescent="0.25">
      <c r="A64" s="91"/>
    </row>
    <row r="65" spans="1:1" x14ac:dyDescent="0.25">
      <c r="A65" s="91"/>
    </row>
    <row r="66" spans="1:1" x14ac:dyDescent="0.25">
      <c r="A66" s="91"/>
    </row>
    <row r="67" spans="1:1" x14ac:dyDescent="0.25">
      <c r="A67" s="91"/>
    </row>
    <row r="68" spans="1:1" x14ac:dyDescent="0.25">
      <c r="A68" s="91"/>
    </row>
    <row r="69" spans="1:1" x14ac:dyDescent="0.25">
      <c r="A69" s="91"/>
    </row>
    <row r="70" spans="1:1" x14ac:dyDescent="0.25">
      <c r="A70" s="91"/>
    </row>
    <row r="71" spans="1:1" x14ac:dyDescent="0.25">
      <c r="A71" s="91"/>
    </row>
    <row r="72" spans="1:1" x14ac:dyDescent="0.25">
      <c r="A72" s="91"/>
    </row>
    <row r="73" spans="1:1" x14ac:dyDescent="0.25">
      <c r="A73" s="91"/>
    </row>
    <row r="74" spans="1:1" x14ac:dyDescent="0.25">
      <c r="A74" s="91"/>
    </row>
    <row r="75" spans="1:1" x14ac:dyDescent="0.25">
      <c r="A75" s="91"/>
    </row>
    <row r="76" spans="1:1" x14ac:dyDescent="0.25">
      <c r="A76" s="91"/>
    </row>
    <row r="77" spans="1:1" x14ac:dyDescent="0.25">
      <c r="A77" s="91"/>
    </row>
    <row r="78" spans="1:1" x14ac:dyDescent="0.25">
      <c r="A78" s="91"/>
    </row>
    <row r="79" spans="1:1" x14ac:dyDescent="0.25">
      <c r="A79" s="91"/>
    </row>
    <row r="80" spans="1:1" x14ac:dyDescent="0.25">
      <c r="A80" s="91"/>
    </row>
    <row r="81" spans="1:1" x14ac:dyDescent="0.25">
      <c r="A81" s="91"/>
    </row>
    <row r="82" spans="1:1" x14ac:dyDescent="0.25">
      <c r="A82" s="91"/>
    </row>
    <row r="83" spans="1:1" x14ac:dyDescent="0.25">
      <c r="A83" s="91"/>
    </row>
    <row r="84" spans="1:1" x14ac:dyDescent="0.25">
      <c r="A84" s="91"/>
    </row>
    <row r="85" spans="1:1" x14ac:dyDescent="0.25">
      <c r="A85" s="91"/>
    </row>
    <row r="86" spans="1:1" x14ac:dyDescent="0.25">
      <c r="A86" s="91"/>
    </row>
    <row r="87" spans="1:1" x14ac:dyDescent="0.25">
      <c r="A87" s="91"/>
    </row>
    <row r="88" spans="1:1" x14ac:dyDescent="0.25">
      <c r="A88" s="91"/>
    </row>
    <row r="89" spans="1:1" x14ac:dyDescent="0.25">
      <c r="A89" s="91"/>
    </row>
    <row r="90" spans="1:1" x14ac:dyDescent="0.25">
      <c r="A90" s="91"/>
    </row>
    <row r="91" spans="1:1" x14ac:dyDescent="0.25">
      <c r="A91" s="91"/>
    </row>
    <row r="92" spans="1:1" x14ac:dyDescent="0.25">
      <c r="A92" s="91"/>
    </row>
    <row r="93" spans="1:1" x14ac:dyDescent="0.25">
      <c r="A93" s="91"/>
    </row>
    <row r="94" spans="1:1" x14ac:dyDescent="0.25">
      <c r="A94" s="91"/>
    </row>
    <row r="95" spans="1:1" x14ac:dyDescent="0.25">
      <c r="A95" s="91"/>
    </row>
    <row r="96" spans="1:1" x14ac:dyDescent="0.25">
      <c r="A96" s="91"/>
    </row>
  </sheetData>
  <mergeCells count="1">
    <mergeCell ref="Q51:T51"/>
  </mergeCells>
  <dataValidations count="1">
    <dataValidation type="list" allowBlank="1" showInputMessage="1" showErrorMessage="1" sqref="R2:T2">
      <formula1>Companies3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2 Assets</vt:lpstr>
      <vt:lpstr>3 Assets</vt:lpstr>
      <vt:lpstr>4 Assets</vt:lpstr>
      <vt:lpstr>3 Assets (3 Years)</vt:lpstr>
      <vt:lpstr>Companies</vt:lpstr>
      <vt:lpstr>'3 Assets (3 Years)'!Companies3</vt:lpstr>
      <vt:lpstr>Companies3</vt:lpstr>
      <vt:lpstr>Companies3_3</vt:lpstr>
      <vt:lpstr>Companies4</vt:lpstr>
      <vt:lpstr>'3 Assets'!ExternalData_1</vt:lpstr>
      <vt:lpstr>'3 Assets (3 Years)'!ExternalData_1</vt:lpstr>
      <vt:lpstr>Opportunity_Set</vt:lpstr>
      <vt:lpstr>'3 Assets (3 Years)'!Opportunity_Set3</vt:lpstr>
      <vt:lpstr>Opportunity_Set3</vt:lpstr>
      <vt:lpstr>Opportunity_Set4</vt:lpstr>
      <vt:lpstr>Returns</vt:lpstr>
      <vt:lpstr>'3 Assets (3 Years)'!Returns3</vt:lpstr>
      <vt:lpstr>Returns3</vt:lpstr>
      <vt:lpstr>Returns3Years3</vt:lpstr>
      <vt:lpstr>Returns4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Vygodina, Anna</dc:creator>
  <cp:lastModifiedBy>LastAncientOne</cp:lastModifiedBy>
  <dcterms:created xsi:type="dcterms:W3CDTF">2014-09-25T15:57:19Z</dcterms:created>
  <dcterms:modified xsi:type="dcterms:W3CDTF">2015-12-30T00:24:54Z</dcterms:modified>
</cp:coreProperties>
</file>