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1_Main\DayTrader\Document\(1) COLLEGE COURSES\FIN 134\"/>
    </mc:Choice>
  </mc:AlternateContent>
  <xr:revisionPtr revIDLastSave="0" documentId="8_{DC36B4DC-8FE8-46F6-B9BC-B86B6AD1658B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Topic 1.3" sheetId="11" r:id="rId1"/>
    <sheet name="Data" sheetId="1" r:id="rId2"/>
    <sheet name="Data2" sheetId="9" r:id="rId3"/>
    <sheet name="Payback" sheetId="2" r:id="rId4"/>
    <sheet name="Discounted" sheetId="3" r:id="rId5"/>
    <sheet name="NPV" sheetId="5" r:id="rId6"/>
    <sheet name="MIRR" sheetId="6" r:id="rId7"/>
    <sheet name="STD" sheetId="7" r:id="rId8"/>
    <sheet name="VBA Functions" sheetId="10" r:id="rId9"/>
  </sheets>
  <calcPr calcId="181029"/>
</workbook>
</file>

<file path=xl/calcChain.xml><?xml version="1.0" encoding="utf-8"?>
<calcChain xmlns="http://schemas.openxmlformats.org/spreadsheetml/2006/main">
  <c r="C13" i="7" l="1"/>
  <c r="E13" i="7" s="1"/>
  <c r="D6" i="7"/>
  <c r="C3" i="2" l="1"/>
  <c r="C4" i="2" s="1"/>
  <c r="C5" i="2" s="1"/>
  <c r="C6" i="2" s="1"/>
  <c r="E1" i="10"/>
  <c r="C7" i="2" l="1"/>
  <c r="C8" i="2" s="1"/>
  <c r="C9" i="2" s="1"/>
  <c r="C10" i="2" s="1"/>
  <c r="C11" i="2" s="1"/>
  <c r="C15" i="2"/>
  <c r="D4" i="7" l="1"/>
  <c r="D3" i="7"/>
  <c r="D5" i="7"/>
  <c r="D2" i="7"/>
  <c r="D7" i="7" s="1"/>
  <c r="B14" i="1"/>
  <c r="B15" i="1" s="1"/>
  <c r="B16" i="1" s="1"/>
  <c r="C14" i="7"/>
  <c r="E14" i="7" s="1"/>
  <c r="C15" i="7"/>
  <c r="C16" i="7"/>
  <c r="E16" i="7" s="1"/>
  <c r="C17" i="7"/>
  <c r="C18" i="7"/>
  <c r="C19" i="7"/>
  <c r="E19" i="7" s="1"/>
  <c r="C20" i="7"/>
  <c r="C21" i="7"/>
  <c r="E21" i="7" s="1"/>
  <c r="E20" i="7"/>
  <c r="E18" i="7"/>
  <c r="E15" i="7"/>
  <c r="E17" i="7"/>
  <c r="B25" i="7" l="1"/>
  <c r="B24" i="7"/>
  <c r="B23" i="7"/>
  <c r="B26" i="7" l="1"/>
  <c r="B12" i="6" l="1"/>
  <c r="B11" i="6"/>
  <c r="B13" i="6" s="1"/>
  <c r="D8" i="6"/>
  <c r="C9" i="6"/>
  <c r="D9" i="6" s="1"/>
  <c r="C8" i="6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C27" i="5"/>
  <c r="C17" i="5"/>
  <c r="C22" i="5"/>
  <c r="D11" i="5"/>
  <c r="D10" i="5"/>
  <c r="D9" i="5"/>
  <c r="D8" i="5"/>
  <c r="D7" i="5"/>
  <c r="D6" i="5"/>
  <c r="D5" i="5"/>
  <c r="D4" i="5"/>
  <c r="D3" i="5"/>
  <c r="C3" i="5"/>
  <c r="C4" i="5" s="1"/>
  <c r="C5" i="5" s="1"/>
  <c r="C6" i="5" s="1"/>
  <c r="C4" i="3"/>
  <c r="C5" i="3"/>
  <c r="C6" i="3"/>
  <c r="C7" i="3"/>
  <c r="C8" i="3"/>
  <c r="C9" i="3"/>
  <c r="C10" i="3"/>
  <c r="C11" i="3"/>
  <c r="C3" i="3"/>
  <c r="D4" i="2"/>
  <c r="D5" i="2"/>
  <c r="D6" i="2"/>
  <c r="D7" i="2"/>
  <c r="D8" i="2"/>
  <c r="D9" i="2"/>
  <c r="D10" i="2"/>
  <c r="D11" i="2"/>
  <c r="D3" i="2"/>
  <c r="E3" i="2" s="1"/>
  <c r="E4" i="2" s="1"/>
  <c r="E5" i="2" s="1"/>
  <c r="E6" i="2" s="1"/>
  <c r="E7" i="2" s="1"/>
  <c r="E8" i="2" s="1"/>
  <c r="C19" i="2" s="1"/>
  <c r="E9" i="2" l="1"/>
  <c r="E10" i="2" s="1"/>
  <c r="E11" i="2" s="1"/>
  <c r="C7" i="5"/>
  <c r="C8" i="5" s="1"/>
  <c r="C9" i="5" s="1"/>
  <c r="C10" i="5" s="1"/>
  <c r="C11" i="5" s="1"/>
</calcChain>
</file>

<file path=xl/sharedStrings.xml><?xml version="1.0" encoding="utf-8"?>
<sst xmlns="http://schemas.openxmlformats.org/spreadsheetml/2006/main" count="106" uniqueCount="79">
  <si>
    <t>Year</t>
  </si>
  <si>
    <t>Cashflow</t>
  </si>
  <si>
    <t>Initial Investment</t>
  </si>
  <si>
    <t>Cash Balance</t>
  </si>
  <si>
    <t>Present Value</t>
  </si>
  <si>
    <t>Payback Period Formula</t>
  </si>
  <si>
    <t>Payback Period</t>
  </si>
  <si>
    <t>Percent Required Return</t>
  </si>
  <si>
    <t>Discounted Cashflow</t>
  </si>
  <si>
    <t>NPV</t>
  </si>
  <si>
    <t>NPV Formula</t>
  </si>
  <si>
    <t>Rate</t>
  </si>
  <si>
    <t>NPV Excel Formula</t>
  </si>
  <si>
    <t>IRR</t>
  </si>
  <si>
    <t>IRR Formula</t>
  </si>
  <si>
    <t>IRR Excel Forumla</t>
  </si>
  <si>
    <t xml:space="preserve"> = NPV (C13,B3:B9) + B2</t>
  </si>
  <si>
    <t xml:space="preserve"> = IRR (B2:B11)</t>
  </si>
  <si>
    <t>MIRR Formula</t>
  </si>
  <si>
    <t>MIRR Excel Forumla</t>
  </si>
  <si>
    <t>MIRR</t>
  </si>
  <si>
    <t xml:space="preserve"> = MIRR (B2:B11,C13,C13)</t>
  </si>
  <si>
    <t>Future Value</t>
  </si>
  <si>
    <t>Rates</t>
  </si>
  <si>
    <t>Discount CF0</t>
  </si>
  <si>
    <t>Discount CF9</t>
  </si>
  <si>
    <t>Cash Outflow</t>
  </si>
  <si>
    <t>Cash Flow</t>
  </si>
  <si>
    <t>Payback Excel Formula</t>
  </si>
  <si>
    <t>Total Discount</t>
  </si>
  <si>
    <t>Initial Investment / Cash Inflow per Period</t>
  </si>
  <si>
    <t>Cumulative Cash Flow</t>
  </si>
  <si>
    <t>Discounted Payback Period</t>
  </si>
  <si>
    <t>Discounted Payback Excel Formula</t>
  </si>
  <si>
    <t>Discounted Payback Period Formula</t>
  </si>
  <si>
    <t>Actual Cash Inflow / (1 + i) ^n</t>
  </si>
  <si>
    <t>Cumulative Discounted Cash Flow</t>
  </si>
  <si>
    <t>Discounted Cash Flow</t>
  </si>
  <si>
    <t xml:space="preserve"> = 6 + (ABS(E8)/D9)</t>
  </si>
  <si>
    <t>Mean</t>
  </si>
  <si>
    <t>Variance</t>
  </si>
  <si>
    <t>Standard Deviation</t>
  </si>
  <si>
    <t>Time Period</t>
  </si>
  <si>
    <t>Yearly Return</t>
  </si>
  <si>
    <t>Risk Free Rate</t>
  </si>
  <si>
    <t>Excess Return</t>
  </si>
  <si>
    <t>Sharpe Ratio</t>
  </si>
  <si>
    <t>Overall Cash</t>
  </si>
  <si>
    <t>Total Ending Cash</t>
  </si>
  <si>
    <t>Gain or Loss Profit</t>
  </si>
  <si>
    <t>Calculation</t>
  </si>
  <si>
    <t xml:space="preserve"> = B14 - B2</t>
  </si>
  <si>
    <t xml:space="preserve"> = SUM(B3:B11)</t>
  </si>
  <si>
    <t xml:space="preserve"> = B2 + B15</t>
  </si>
  <si>
    <t>Calculation:</t>
  </si>
  <si>
    <t xml:space="preserve"> = AVERAGE(E18:E26)</t>
  </si>
  <si>
    <t xml:space="preserve"> = B28/B29</t>
  </si>
  <si>
    <t xml:space="preserve"> = D2/D4</t>
  </si>
  <si>
    <t xml:space="preserve"> = STDEV(A1:A10)</t>
  </si>
  <si>
    <t xml:space="preserve"> = STDEV(E18:E26)</t>
  </si>
  <si>
    <t xml:space="preserve"> = AVERAGE(A2:A10)</t>
  </si>
  <si>
    <t xml:space="preserve"> = VAR(A2:A10)</t>
  </si>
  <si>
    <t>Median</t>
  </si>
  <si>
    <t>Mode</t>
  </si>
  <si>
    <t xml:space="preserve"> = MEDIAN(A2:A10)</t>
  </si>
  <si>
    <t xml:space="preserve"> = MODE.SNGL(A2:A10)</t>
  </si>
  <si>
    <t xml:space="preserve"> =  VAR(E13:E21)</t>
  </si>
  <si>
    <t>PAYBACKPERIOD</t>
  </si>
  <si>
    <t xml:space="preserve"> = 4 + ((ABS(C6))/B7)</t>
  </si>
  <si>
    <t xml:space="preserve"> =PaybackPeriod(A2:A11, B2:B11)</t>
  </si>
  <si>
    <t>Mini Case</t>
  </si>
  <si>
    <t>Topic 1.3 Bullock Gold Mining</t>
  </si>
  <si>
    <t>California State University, Sacramento</t>
  </si>
  <si>
    <r>
      <rPr>
        <b/>
        <sz val="12"/>
        <color theme="1"/>
        <rFont val="Calibri"/>
        <family val="2"/>
        <scheme val="minor"/>
      </rPr>
      <t>Name:</t>
    </r>
    <r>
      <rPr>
        <sz val="12"/>
        <color theme="1"/>
        <rFont val="Calibri"/>
        <family val="2"/>
        <scheme val="minor"/>
      </rPr>
      <t xml:space="preserve"> Tin Hang</t>
    </r>
  </si>
  <si>
    <r>
      <rPr>
        <b/>
        <sz val="12"/>
        <color theme="1"/>
        <rFont val="Calibri"/>
        <family val="2"/>
        <scheme val="minor"/>
      </rPr>
      <t>Email:</t>
    </r>
    <r>
      <rPr>
        <sz val="12"/>
        <color theme="1"/>
        <rFont val="Calibri"/>
        <family val="2"/>
        <scheme val="minor"/>
      </rPr>
      <t xml:space="preserve"> th2535@saclink.csus</t>
    </r>
  </si>
  <si>
    <r>
      <rPr>
        <b/>
        <sz val="12"/>
        <color theme="1"/>
        <rFont val="Calibri"/>
        <family val="2"/>
        <scheme val="minor"/>
      </rPr>
      <t>Course Name:</t>
    </r>
    <r>
      <rPr>
        <sz val="12"/>
        <color theme="1"/>
        <rFont val="Calibri"/>
        <family val="2"/>
        <scheme val="minor"/>
      </rPr>
      <t xml:space="preserve"> FIN 134 Financial Management</t>
    </r>
  </si>
  <si>
    <r>
      <rPr>
        <b/>
        <sz val="12"/>
        <color theme="1"/>
        <rFont val="Calibri"/>
        <family val="2"/>
        <scheme val="minor"/>
      </rPr>
      <t>Course Number:</t>
    </r>
    <r>
      <rPr>
        <sz val="12"/>
        <color theme="1"/>
        <rFont val="Calibri"/>
        <family val="2"/>
        <scheme val="minor"/>
      </rPr>
      <t xml:space="preserve"> 31435</t>
    </r>
  </si>
  <si>
    <r>
      <rPr>
        <b/>
        <sz val="12"/>
        <color theme="1"/>
        <rFont val="Calibri"/>
        <family val="2"/>
        <scheme val="minor"/>
      </rPr>
      <t>Instructor’s Name</t>
    </r>
    <r>
      <rPr>
        <sz val="12"/>
        <color theme="1"/>
        <rFont val="Calibri"/>
        <family val="2"/>
        <scheme val="minor"/>
      </rPr>
      <t>: Lan Liu</t>
    </r>
  </si>
  <si>
    <r>
      <rPr>
        <b/>
        <sz val="12"/>
        <color theme="1"/>
        <rFont val="Calibri"/>
        <family val="2"/>
        <scheme val="minor"/>
      </rPr>
      <t>Instructor’s Email:</t>
    </r>
    <r>
      <rPr>
        <sz val="12"/>
        <color theme="1"/>
        <rFont val="Calibri"/>
        <family val="2"/>
        <scheme val="minor"/>
      </rPr>
      <t xml:space="preserve"> linl@csus.edu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</si>
</sst>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  <numFmt numFmtId="166" formatCode="_(* #,##0_);_(* \(#,##0\);_(* &quot;-&quot;??_);_(@_)"/>
    <numFmt numFmtId="167" formatCode="#,##0.0000"/>
    <numFmt numFmtId="168" formatCode="_(* #,##0.0000_);_(* \(#,##0.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4"/>
      <color rgb="FFB4B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1291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1" xfId="0" applyFont="1" applyFill="1" applyBorder="1"/>
    <xf numFmtId="0" fontId="0" fillId="0" borderId="9" xfId="0" applyBorder="1"/>
    <xf numFmtId="0" fontId="0" fillId="0" borderId="11" xfId="0" applyBorder="1"/>
    <xf numFmtId="8" fontId="0" fillId="0" borderId="0" xfId="0" applyNumberFormat="1"/>
    <xf numFmtId="44" fontId="0" fillId="0" borderId="9" xfId="1" applyFont="1" applyBorder="1"/>
    <xf numFmtId="44" fontId="0" fillId="0" borderId="10" xfId="1" applyFont="1" applyBorder="1"/>
    <xf numFmtId="44" fontId="0" fillId="0" borderId="11" xfId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1" xfId="0" applyBorder="1"/>
    <xf numFmtId="9" fontId="0" fillId="0" borderId="1" xfId="0" applyNumberFormat="1" applyBorder="1"/>
    <xf numFmtId="0" fontId="0" fillId="3" borderId="9" xfId="0" applyFill="1" applyBorder="1"/>
    <xf numFmtId="3" fontId="2" fillId="0" borderId="9" xfId="0" applyNumberFormat="1" applyFont="1" applyBorder="1"/>
    <xf numFmtId="44" fontId="2" fillId="0" borderId="11" xfId="1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44" fontId="0" fillId="0" borderId="10" xfId="1" applyNumberFormat="1" applyFont="1" applyBorder="1"/>
    <xf numFmtId="44" fontId="0" fillId="0" borderId="11" xfId="1" applyNumberFormat="1" applyFont="1" applyBorder="1"/>
    <xf numFmtId="44" fontId="2" fillId="0" borderId="9" xfId="1" applyNumberFormat="1" applyFont="1" applyBorder="1"/>
    <xf numFmtId="44" fontId="2" fillId="0" borderId="10" xfId="1" applyNumberFormat="1" applyFont="1" applyBorder="1"/>
    <xf numFmtId="44" fontId="0" fillId="0" borderId="1" xfId="0" applyNumberFormat="1" applyBorder="1"/>
    <xf numFmtId="0" fontId="4" fillId="0" borderId="0" xfId="0" applyFont="1"/>
    <xf numFmtId="0" fontId="0" fillId="0" borderId="2" xfId="0" applyBorder="1" applyAlignment="1">
      <alignment horizontal="left"/>
    </xf>
    <xf numFmtId="165" fontId="0" fillId="0" borderId="1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0" fontId="3" fillId="2" borderId="9" xfId="0" applyFont="1" applyFill="1" applyBorder="1"/>
    <xf numFmtId="0" fontId="3" fillId="2" borderId="11" xfId="0" applyFont="1" applyFill="1" applyBorder="1"/>
    <xf numFmtId="3" fontId="2" fillId="0" borderId="11" xfId="0" applyNumberFormat="1" applyFont="1" applyBorder="1"/>
    <xf numFmtId="44" fontId="0" fillId="4" borderId="1" xfId="0" applyNumberFormat="1" applyFill="1" applyBorder="1"/>
    <xf numFmtId="0" fontId="0" fillId="0" borderId="8" xfId="0" applyBorder="1"/>
    <xf numFmtId="2" fontId="3" fillId="0" borderId="7" xfId="0" applyNumberFormat="1" applyFont="1" applyBorder="1" applyAlignment="1">
      <alignment horizontal="left"/>
    </xf>
    <xf numFmtId="164" fontId="3" fillId="0" borderId="7" xfId="1" applyNumberFormat="1" applyFont="1" applyFill="1" applyBorder="1" applyAlignment="1"/>
    <xf numFmtId="164" fontId="3" fillId="0" borderId="8" xfId="1" applyNumberFormat="1" applyFont="1" applyFill="1" applyBorder="1" applyAlignment="1"/>
    <xf numFmtId="0" fontId="3" fillId="0" borderId="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164" fontId="3" fillId="0" borderId="14" xfId="1" applyNumberFormat="1" applyFont="1" applyFill="1" applyBorder="1" applyAlignment="1"/>
    <xf numFmtId="0" fontId="3" fillId="0" borderId="7" xfId="0" applyFont="1" applyBorder="1" applyAlignment="1"/>
    <xf numFmtId="0" fontId="3" fillId="0" borderId="14" xfId="0" applyFont="1" applyBorder="1" applyAlignment="1"/>
    <xf numFmtId="0" fontId="3" fillId="0" borderId="8" xfId="0" applyFont="1" applyBorder="1" applyAlignment="1"/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44" fontId="2" fillId="4" borderId="10" xfId="1" applyNumberFormat="1" applyFont="1" applyFill="1" applyBorder="1"/>
    <xf numFmtId="164" fontId="0" fillId="4" borderId="10" xfId="1" applyNumberFormat="1" applyFont="1" applyFill="1" applyBorder="1"/>
    <xf numFmtId="0" fontId="0" fillId="4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44" fontId="2" fillId="5" borderId="10" xfId="1" applyNumberFormat="1" applyFont="1" applyFill="1" applyBorder="1"/>
    <xf numFmtId="44" fontId="0" fillId="5" borderId="10" xfId="1" applyNumberFormat="1" applyFont="1" applyFill="1" applyBorder="1"/>
    <xf numFmtId="164" fontId="0" fillId="0" borderId="10" xfId="1" applyNumberFormat="1" applyFont="1" applyFill="1" applyBorder="1"/>
    <xf numFmtId="44" fontId="0" fillId="0" borderId="10" xfId="1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3" xfId="0" applyBorder="1"/>
    <xf numFmtId="167" fontId="0" fillId="0" borderId="10" xfId="0" applyNumberFormat="1" applyBorder="1"/>
    <xf numFmtId="167" fontId="0" fillId="0" borderId="9" xfId="0" applyNumberFormat="1" applyBorder="1"/>
    <xf numFmtId="167" fontId="0" fillId="0" borderId="11" xfId="0" applyNumberFormat="1" applyBorder="1"/>
    <xf numFmtId="168" fontId="0" fillId="0" borderId="16" xfId="2" applyNumberFormat="1" applyFont="1" applyBorder="1"/>
    <xf numFmtId="165" fontId="0" fillId="0" borderId="18" xfId="0" applyNumberFormat="1" applyBorder="1"/>
    <xf numFmtId="43" fontId="0" fillId="0" borderId="20" xfId="2" applyNumberFormat="1" applyFont="1" applyBorder="1"/>
    <xf numFmtId="166" fontId="0" fillId="0" borderId="21" xfId="2" applyNumberFormat="1" applyFont="1" applyBorder="1"/>
    <xf numFmtId="2" fontId="0" fillId="0" borderId="21" xfId="0" applyNumberFormat="1" applyBorder="1"/>
    <xf numFmtId="3" fontId="0" fillId="0" borderId="0" xfId="0" applyNumberFormat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0" borderId="15" xfId="0" applyFont="1" applyBorder="1"/>
    <xf numFmtId="0" fontId="3" fillId="0" borderId="17" xfId="0" applyFont="1" applyBorder="1"/>
    <xf numFmtId="0" fontId="3" fillId="0" borderId="19" xfId="0" applyFont="1" applyBorder="1"/>
    <xf numFmtId="3" fontId="0" fillId="0" borderId="21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3" fontId="2" fillId="0" borderId="20" xfId="0" applyNumberFormat="1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9" xfId="0" applyFont="1" applyFill="1" applyBorder="1"/>
    <xf numFmtId="168" fontId="0" fillId="0" borderId="16" xfId="2" applyNumberFormat="1" applyFon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43" fontId="0" fillId="0" borderId="20" xfId="2" applyNumberFormat="1" applyFont="1" applyBorder="1" applyAlignment="1">
      <alignment horizontal="left"/>
    </xf>
    <xf numFmtId="0" fontId="0" fillId="0" borderId="15" xfId="0" applyFont="1" applyBorder="1"/>
    <xf numFmtId="0" fontId="0" fillId="0" borderId="17" xfId="0" applyFont="1" applyBorder="1"/>
    <xf numFmtId="0" fontId="0" fillId="0" borderId="19" xfId="0" applyFont="1" applyBorder="1"/>
    <xf numFmtId="43" fontId="0" fillId="0" borderId="18" xfId="2" applyNumberFormat="1" applyFont="1" applyBorder="1" applyAlignment="1">
      <alignment horizontal="left"/>
    </xf>
    <xf numFmtId="0" fontId="0" fillId="0" borderId="20" xfId="0" applyBorder="1"/>
    <xf numFmtId="0" fontId="3" fillId="0" borderId="1" xfId="0" applyFont="1" applyBorder="1"/>
    <xf numFmtId="2" fontId="0" fillId="4" borderId="1" xfId="0" applyNumberFormat="1" applyFill="1" applyBorder="1"/>
    <xf numFmtId="44" fontId="5" fillId="0" borderId="10" xfId="1" applyNumberFormat="1" applyFont="1" applyBorder="1"/>
    <xf numFmtId="44" fontId="0" fillId="0" borderId="0" xfId="0" applyNumberFormat="1"/>
    <xf numFmtId="44" fontId="5" fillId="0" borderId="11" xfId="1" applyNumberFormat="1" applyFont="1" applyBorder="1"/>
    <xf numFmtId="164" fontId="0" fillId="0" borderId="0" xfId="1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4" fontId="2" fillId="0" borderId="0" xfId="1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2" xfId="0" applyBorder="1"/>
    <xf numFmtId="0" fontId="0" fillId="0" borderId="12" xfId="0" applyBorder="1"/>
    <xf numFmtId="0" fontId="0" fillId="0" borderId="3" xfId="0" applyBorder="1"/>
    <xf numFmtId="0" fontId="0" fillId="0" borderId="28" xfId="0" applyBorder="1"/>
    <xf numFmtId="0" fontId="0" fillId="0" borderId="6" xfId="0" applyBorder="1"/>
    <xf numFmtId="0" fontId="7" fillId="0" borderId="4" xfId="3" applyBorder="1" applyAlignment="1">
      <alignment horizontal="center"/>
    </xf>
    <xf numFmtId="0" fontId="7" fillId="0" borderId="0" xfId="3" applyBorder="1" applyAlignment="1">
      <alignment horizontal="center"/>
    </xf>
    <xf numFmtId="0" fontId="7" fillId="0" borderId="28" xfId="3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2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Title" xfId="3" builtinId="15"/>
  </cellStyles>
  <dxfs count="0"/>
  <tableStyles count="0" defaultTableStyle="TableStyleMedium2" defaultPivotStyle="PivotStyleLight16"/>
  <colors>
    <mruColors>
      <color rgb="FFB4B000"/>
      <color rgb="FF212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BULLOCK</a:t>
            </a:r>
            <a:r>
              <a:rPr lang="en-US" baseline="0"/>
              <a:t> GOLD MINING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Data!$A$2:$A$11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15D-84AB-FF61FDE64B6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Cash Flow</c:v>
                </c:pt>
              </c:strCache>
            </c:strRef>
          </c:tx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Data!$B$2:$B$11</c:f>
              <c:numCache>
                <c:formatCode>#,##0</c:formatCode>
                <c:ptCount val="10"/>
                <c:pt idx="0">
                  <c:v>-750000000</c:v>
                </c:pt>
                <c:pt idx="1">
                  <c:v>130000000</c:v>
                </c:pt>
                <c:pt idx="2">
                  <c:v>180000000</c:v>
                </c:pt>
                <c:pt idx="3">
                  <c:v>190000000</c:v>
                </c:pt>
                <c:pt idx="4">
                  <c:v>245000000</c:v>
                </c:pt>
                <c:pt idx="5">
                  <c:v>205000000</c:v>
                </c:pt>
                <c:pt idx="6">
                  <c:v>155000000</c:v>
                </c:pt>
                <c:pt idx="7">
                  <c:v>135000000</c:v>
                </c:pt>
                <c:pt idx="8">
                  <c:v>95000000</c:v>
                </c:pt>
                <c:pt idx="9">
                  <c:v>-75000000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15D-84AB-FF61FDE6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93408"/>
        <c:axId val="82199680"/>
      </c:barChart>
      <c:catAx>
        <c:axId val="821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2199680"/>
        <c:crosses val="autoZero"/>
        <c:auto val="1"/>
        <c:lblAlgn val="ctr"/>
        <c:lblOffset val="100"/>
        <c:noMultiLvlLbl val="0"/>
      </c:catAx>
      <c:valAx>
        <c:axId val="82199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Cash Flow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219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  <a:latin typeface="+mn-lt"/>
              </a:rPr>
              <a:t>BULLOCK GOLD MINING CF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Data2!$A$1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Data2!$A$2:$A$9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D-4058-8D0F-9B473F46C638}"/>
            </c:ext>
          </c:extLst>
        </c:ser>
        <c:ser>
          <c:idx val="1"/>
          <c:order val="1"/>
          <c:tx>
            <c:strRef>
              <c:f>Data2!$B$1</c:f>
              <c:strCache>
                <c:ptCount val="1"/>
                <c:pt idx="0">
                  <c:v>Cash Flow</c:v>
                </c:pt>
              </c:strCache>
            </c:strRef>
          </c:tx>
          <c:invertIfNegative val="0"/>
          <c:val>
            <c:numRef>
              <c:f>Data2!$B$2:$B$9</c:f>
              <c:numCache>
                <c:formatCode>#,##0</c:formatCode>
                <c:ptCount val="8"/>
                <c:pt idx="0">
                  <c:v>130000000</c:v>
                </c:pt>
                <c:pt idx="1">
                  <c:v>180000000</c:v>
                </c:pt>
                <c:pt idx="2">
                  <c:v>190000000</c:v>
                </c:pt>
                <c:pt idx="3">
                  <c:v>245000000</c:v>
                </c:pt>
                <c:pt idx="4">
                  <c:v>205000000</c:v>
                </c:pt>
                <c:pt idx="5">
                  <c:v>155000000</c:v>
                </c:pt>
                <c:pt idx="6">
                  <c:v>135000000</c:v>
                </c:pt>
                <c:pt idx="7">
                  <c:v>95000000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D-4058-8D0F-9B473F46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33984"/>
        <c:axId val="82236160"/>
      </c:barChart>
      <c:catAx>
        <c:axId val="8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82236160"/>
        <c:crosses val="autoZero"/>
        <c:auto val="1"/>
        <c:lblAlgn val="ctr"/>
        <c:lblOffset val="100"/>
        <c:noMultiLvlLbl val="0"/>
      </c:catAx>
      <c:valAx>
        <c:axId val="82236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Cash Flow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223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11</xdr:row>
      <xdr:rowOff>66675</xdr:rowOff>
    </xdr:from>
    <xdr:to>
      <xdr:col>13</xdr:col>
      <xdr:colOff>295275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</xdr:row>
      <xdr:rowOff>0</xdr:rowOff>
    </xdr:from>
    <xdr:to>
      <xdr:col>12</xdr:col>
      <xdr:colOff>247650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13</xdr:row>
      <xdr:rowOff>9525</xdr:rowOff>
    </xdr:from>
    <xdr:to>
      <xdr:col>2</xdr:col>
      <xdr:colOff>1790700</xdr:colOff>
      <xdr:row>14</xdr:row>
      <xdr:rowOff>183237</xdr:rowOff>
    </xdr:to>
    <xdr:pic>
      <xdr:nvPicPr>
        <xdr:cNvPr id="2" name="Picture 1" descr="Net Present Value (NPV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524125"/>
          <a:ext cx="1266825" cy="36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628650</xdr:colOff>
      <xdr:row>18</xdr:row>
      <xdr:rowOff>19051</xdr:rowOff>
    </xdr:from>
    <xdr:to>
      <xdr:col>2</xdr:col>
      <xdr:colOff>1641865</xdr:colOff>
      <xdr:row>19</xdr:row>
      <xdr:rowOff>180974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00275" y="3524251"/>
          <a:ext cx="1013215" cy="352423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23</xdr:row>
      <xdr:rowOff>32153</xdr:rowOff>
    </xdr:from>
    <xdr:to>
      <xdr:col>2</xdr:col>
      <xdr:colOff>2105025</xdr:colOff>
      <xdr:row>24</xdr:row>
      <xdr:rowOff>181080</xdr:rowOff>
    </xdr:to>
    <xdr:pic>
      <xdr:nvPicPr>
        <xdr:cNvPr id="6" name="Picture 5" descr="http://i.investopedia.com/inv/dictionary/terms/MIRRFormula.gif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4527953"/>
          <a:ext cx="2047875" cy="339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M30"/>
  <sheetViews>
    <sheetView topLeftCell="A7" workbookViewId="0">
      <selection activeCell="F30" sqref="F30"/>
    </sheetView>
  </sheetViews>
  <sheetFormatPr defaultRowHeight="15" x14ac:dyDescent="0.25"/>
  <sheetData>
    <row r="1" spans="1:13" x14ac:dyDescent="0.25">
      <c r="A1" s="65"/>
      <c r="B1" s="65"/>
      <c r="C1" s="65"/>
      <c r="D1" s="65"/>
      <c r="E1" s="65"/>
      <c r="F1" s="65"/>
      <c r="G1" s="65"/>
      <c r="H1" s="65"/>
    </row>
    <row r="2" spans="1:13" ht="15.75" thickBot="1" x14ac:dyDescent="0.3">
      <c r="A2" s="65"/>
      <c r="B2" s="65"/>
      <c r="C2" s="65"/>
      <c r="D2" s="65"/>
      <c r="E2" s="65"/>
      <c r="F2" s="65"/>
      <c r="G2" s="65"/>
      <c r="H2" s="65"/>
    </row>
    <row r="3" spans="1:13" x14ac:dyDescent="0.25">
      <c r="F3" s="114"/>
      <c r="G3" s="115"/>
      <c r="H3" s="115"/>
      <c r="I3" s="115"/>
      <c r="J3" s="115"/>
      <c r="K3" s="115"/>
      <c r="L3" s="115"/>
      <c r="M3" s="116"/>
    </row>
    <row r="4" spans="1:13" x14ac:dyDescent="0.25">
      <c r="F4" s="64"/>
      <c r="G4" s="65"/>
      <c r="H4" s="65"/>
      <c r="I4" s="65"/>
      <c r="J4" s="65"/>
      <c r="K4" s="65"/>
      <c r="L4" s="65"/>
      <c r="M4" s="117"/>
    </row>
    <row r="5" spans="1:13" ht="22.5" x14ac:dyDescent="0.3">
      <c r="A5" s="65"/>
      <c r="B5" s="65"/>
      <c r="C5" s="65"/>
      <c r="D5" s="65"/>
      <c r="E5" s="65"/>
      <c r="F5" s="119" t="s">
        <v>70</v>
      </c>
      <c r="G5" s="120"/>
      <c r="H5" s="120"/>
      <c r="I5" s="120"/>
      <c r="J5" s="120"/>
      <c r="K5" s="120"/>
      <c r="L5" s="120"/>
      <c r="M5" s="121"/>
    </row>
    <row r="6" spans="1:13" ht="22.5" x14ac:dyDescent="0.3">
      <c r="A6" s="65"/>
      <c r="B6" s="65"/>
      <c r="C6" s="65"/>
      <c r="D6" s="65"/>
      <c r="E6" s="65"/>
      <c r="F6" s="119" t="s">
        <v>71</v>
      </c>
      <c r="G6" s="120"/>
      <c r="H6" s="120"/>
      <c r="I6" s="120"/>
      <c r="J6" s="120"/>
      <c r="K6" s="120"/>
      <c r="L6" s="120"/>
      <c r="M6" s="121"/>
    </row>
    <row r="7" spans="1:13" x14ac:dyDescent="0.25">
      <c r="A7" s="65"/>
      <c r="B7" s="65"/>
      <c r="C7" s="65"/>
      <c r="D7" s="65"/>
      <c r="E7" s="65"/>
      <c r="F7" s="64"/>
      <c r="G7" s="65"/>
      <c r="H7" s="65"/>
      <c r="I7" s="65"/>
      <c r="J7" s="65"/>
      <c r="K7" s="65"/>
      <c r="L7" s="65"/>
      <c r="M7" s="117"/>
    </row>
    <row r="8" spans="1:13" x14ac:dyDescent="0.25">
      <c r="A8" s="65"/>
      <c r="B8" s="65"/>
      <c r="C8" s="65"/>
      <c r="D8" s="65"/>
      <c r="E8" s="65"/>
      <c r="F8" s="64"/>
      <c r="G8" s="65"/>
      <c r="H8" s="65"/>
      <c r="I8" s="65"/>
      <c r="J8" s="65"/>
      <c r="K8" s="65"/>
      <c r="L8" s="65"/>
      <c r="M8" s="117"/>
    </row>
    <row r="9" spans="1:13" x14ac:dyDescent="0.25">
      <c r="A9" s="65"/>
      <c r="B9" s="65"/>
      <c r="C9" s="65"/>
      <c r="D9" s="65"/>
      <c r="E9" s="65"/>
      <c r="F9" s="64"/>
      <c r="G9" s="65"/>
      <c r="H9" s="65"/>
      <c r="I9" s="65"/>
      <c r="J9" s="65"/>
      <c r="K9" s="65"/>
      <c r="L9" s="65"/>
      <c r="M9" s="117"/>
    </row>
    <row r="10" spans="1:13" x14ac:dyDescent="0.25">
      <c r="A10" s="65"/>
      <c r="B10" s="65"/>
      <c r="C10" s="65"/>
      <c r="D10" s="65"/>
      <c r="E10" s="65"/>
      <c r="F10" s="64"/>
      <c r="G10" s="65"/>
      <c r="H10" s="65"/>
      <c r="I10" s="65"/>
      <c r="J10" s="65"/>
      <c r="K10" s="65"/>
      <c r="L10" s="65"/>
      <c r="M10" s="117"/>
    </row>
    <row r="11" spans="1:13" x14ac:dyDescent="0.25">
      <c r="F11" s="64"/>
      <c r="G11" s="65"/>
      <c r="H11" s="65"/>
      <c r="I11" s="65"/>
      <c r="J11" s="65"/>
      <c r="K11" s="65"/>
      <c r="L11" s="65"/>
      <c r="M11" s="117"/>
    </row>
    <row r="12" spans="1:13" x14ac:dyDescent="0.25">
      <c r="F12" s="64"/>
      <c r="G12" s="65"/>
      <c r="H12" s="65"/>
      <c r="I12" s="65"/>
      <c r="J12" s="65"/>
      <c r="K12" s="65"/>
      <c r="L12" s="65"/>
      <c r="M12" s="117"/>
    </row>
    <row r="13" spans="1:13" ht="15.75" x14ac:dyDescent="0.25">
      <c r="F13" s="122" t="s">
        <v>73</v>
      </c>
      <c r="G13" s="123"/>
      <c r="H13" s="123"/>
      <c r="I13" s="123"/>
      <c r="J13" s="123"/>
      <c r="K13" s="123"/>
      <c r="L13" s="123"/>
      <c r="M13" s="124"/>
    </row>
    <row r="14" spans="1:13" ht="15.75" x14ac:dyDescent="0.25">
      <c r="F14" s="122" t="s">
        <v>74</v>
      </c>
      <c r="G14" s="123"/>
      <c r="H14" s="123"/>
      <c r="I14" s="123"/>
      <c r="J14" s="123"/>
      <c r="K14" s="123"/>
      <c r="L14" s="123"/>
      <c r="M14" s="124"/>
    </row>
    <row r="15" spans="1:13" ht="15.75" x14ac:dyDescent="0.25">
      <c r="F15" s="122" t="s">
        <v>75</v>
      </c>
      <c r="G15" s="123"/>
      <c r="H15" s="123"/>
      <c r="I15" s="123"/>
      <c r="J15" s="123"/>
      <c r="K15" s="123"/>
      <c r="L15" s="123"/>
      <c r="M15" s="124"/>
    </row>
    <row r="16" spans="1:13" ht="15.75" x14ac:dyDescent="0.25">
      <c r="F16" s="122" t="s">
        <v>76</v>
      </c>
      <c r="G16" s="123"/>
      <c r="H16" s="123"/>
      <c r="I16" s="123"/>
      <c r="J16" s="123"/>
      <c r="K16" s="123"/>
      <c r="L16" s="123"/>
      <c r="M16" s="124"/>
    </row>
    <row r="17" spans="1:13" ht="15.75" x14ac:dyDescent="0.25">
      <c r="A17" s="65"/>
      <c r="B17" s="65"/>
      <c r="C17" s="65"/>
      <c r="D17" s="65"/>
      <c r="E17" s="65"/>
      <c r="F17" s="122" t="s">
        <v>77</v>
      </c>
      <c r="G17" s="123"/>
      <c r="H17" s="123"/>
      <c r="I17" s="123"/>
      <c r="J17" s="123"/>
      <c r="K17" s="123"/>
      <c r="L17" s="123"/>
      <c r="M17" s="124"/>
    </row>
    <row r="18" spans="1:13" ht="15.75" x14ac:dyDescent="0.25">
      <c r="A18" s="65"/>
      <c r="B18" s="65"/>
      <c r="C18" s="65"/>
      <c r="D18" s="65"/>
      <c r="E18" s="65"/>
      <c r="F18" s="122" t="s">
        <v>78</v>
      </c>
      <c r="G18" s="123"/>
      <c r="H18" s="123"/>
      <c r="I18" s="123"/>
      <c r="J18" s="123"/>
      <c r="K18" s="123"/>
      <c r="L18" s="123"/>
      <c r="M18" s="124"/>
    </row>
    <row r="19" spans="1:13" x14ac:dyDescent="0.25">
      <c r="A19" s="65"/>
      <c r="B19" s="65"/>
      <c r="C19" s="65"/>
      <c r="D19" s="65"/>
      <c r="E19" s="65"/>
      <c r="F19" s="64"/>
      <c r="G19" s="65"/>
      <c r="H19" s="65"/>
      <c r="I19" s="65"/>
      <c r="J19" s="65"/>
      <c r="K19" s="65"/>
      <c r="L19" s="65"/>
      <c r="M19" s="117"/>
    </row>
    <row r="20" spans="1:13" x14ac:dyDescent="0.25">
      <c r="A20" s="65"/>
      <c r="B20" s="65"/>
      <c r="C20" s="65"/>
      <c r="D20" s="65"/>
      <c r="E20" s="65"/>
      <c r="F20" s="64"/>
      <c r="G20" s="65"/>
      <c r="H20" s="65"/>
      <c r="I20" s="65"/>
      <c r="J20" s="65"/>
      <c r="K20" s="65"/>
      <c r="L20" s="65"/>
      <c r="M20" s="117"/>
    </row>
    <row r="21" spans="1:13" x14ac:dyDescent="0.25">
      <c r="A21" s="65"/>
      <c r="B21" s="65"/>
      <c r="C21" s="65"/>
      <c r="D21" s="65"/>
      <c r="E21" s="65"/>
      <c r="F21" s="64"/>
      <c r="G21" s="65"/>
      <c r="H21" s="65"/>
      <c r="I21" s="65"/>
      <c r="J21" s="65"/>
      <c r="K21" s="65"/>
      <c r="L21" s="65"/>
      <c r="M21" s="117"/>
    </row>
    <row r="22" spans="1:13" x14ac:dyDescent="0.25">
      <c r="A22" s="65"/>
      <c r="B22" s="65"/>
      <c r="C22" s="65"/>
      <c r="D22" s="65"/>
      <c r="E22" s="65"/>
      <c r="F22" s="64"/>
      <c r="G22" s="65"/>
      <c r="H22" s="65"/>
      <c r="I22" s="65"/>
      <c r="J22" s="65"/>
      <c r="K22" s="65"/>
      <c r="L22" s="65"/>
      <c r="M22" s="117"/>
    </row>
    <row r="23" spans="1:13" x14ac:dyDescent="0.25">
      <c r="F23" s="64"/>
      <c r="G23" s="65"/>
      <c r="H23" s="65"/>
      <c r="I23" s="65"/>
      <c r="J23" s="65"/>
      <c r="K23" s="65"/>
      <c r="L23" s="65"/>
      <c r="M23" s="117"/>
    </row>
    <row r="24" spans="1:13" x14ac:dyDescent="0.25">
      <c r="A24" s="65"/>
      <c r="B24" s="65"/>
      <c r="C24" s="65"/>
      <c r="D24" s="65"/>
      <c r="E24" s="65"/>
      <c r="F24" s="64"/>
      <c r="G24" s="65"/>
      <c r="H24" s="65"/>
      <c r="I24" s="65"/>
      <c r="J24" s="65"/>
      <c r="K24" s="65"/>
      <c r="L24" s="65"/>
      <c r="M24" s="117"/>
    </row>
    <row r="25" spans="1:13" ht="18.75" x14ac:dyDescent="0.3">
      <c r="A25" s="65"/>
      <c r="B25" s="65"/>
      <c r="C25" s="65"/>
      <c r="D25" s="65"/>
      <c r="E25" s="65"/>
      <c r="F25" s="125" t="s">
        <v>72</v>
      </c>
      <c r="G25" s="126"/>
      <c r="H25" s="126"/>
      <c r="I25" s="126"/>
      <c r="J25" s="126"/>
      <c r="K25" s="126"/>
      <c r="L25" s="126"/>
      <c r="M25" s="127"/>
    </row>
    <row r="26" spans="1:13" x14ac:dyDescent="0.25">
      <c r="A26" s="65"/>
      <c r="B26" s="65"/>
      <c r="C26" s="65"/>
      <c r="D26" s="65"/>
      <c r="E26" s="65"/>
      <c r="F26" s="64"/>
      <c r="G26" s="65"/>
      <c r="H26" s="65"/>
      <c r="I26" s="65"/>
      <c r="J26" s="65"/>
      <c r="K26" s="65"/>
      <c r="L26" s="65"/>
      <c r="M26" s="117"/>
    </row>
    <row r="27" spans="1:13" x14ac:dyDescent="0.25">
      <c r="A27" s="65"/>
      <c r="B27" s="65"/>
      <c r="C27" s="65"/>
      <c r="D27" s="65"/>
      <c r="E27" s="65"/>
      <c r="F27" s="64"/>
      <c r="G27" s="65"/>
      <c r="H27" s="65"/>
      <c r="I27" s="65"/>
      <c r="J27" s="65"/>
      <c r="K27" s="65"/>
      <c r="L27" s="65"/>
      <c r="M27" s="117"/>
    </row>
    <row r="28" spans="1:13" x14ac:dyDescent="0.25">
      <c r="A28" s="65"/>
      <c r="B28" s="65"/>
      <c r="C28" s="65"/>
      <c r="D28" s="65"/>
      <c r="E28" s="65"/>
      <c r="F28" s="64"/>
      <c r="G28" s="65"/>
      <c r="H28" s="65"/>
      <c r="I28" s="65"/>
      <c r="J28" s="65"/>
      <c r="K28" s="65"/>
      <c r="L28" s="65"/>
      <c r="M28" s="117"/>
    </row>
    <row r="29" spans="1:13" x14ac:dyDescent="0.25">
      <c r="A29" s="65"/>
      <c r="B29" s="65"/>
      <c r="C29" s="65"/>
      <c r="D29" s="65"/>
      <c r="E29" s="65"/>
      <c r="F29" s="64"/>
      <c r="G29" s="65"/>
      <c r="H29" s="65"/>
      <c r="I29" s="65"/>
      <c r="J29" s="65"/>
      <c r="K29" s="65"/>
      <c r="L29" s="65"/>
      <c r="M29" s="117"/>
    </row>
    <row r="30" spans="1:13" ht="15.75" thickBot="1" x14ac:dyDescent="0.3">
      <c r="A30" s="65"/>
      <c r="B30" s="65"/>
      <c r="C30" s="65"/>
      <c r="D30" s="65"/>
      <c r="E30" s="65"/>
      <c r="F30" s="66"/>
      <c r="G30" s="67"/>
      <c r="H30" s="67"/>
      <c r="I30" s="67"/>
      <c r="J30" s="67"/>
      <c r="K30" s="67"/>
      <c r="L30" s="67"/>
      <c r="M30" s="118"/>
    </row>
  </sheetData>
  <mergeCells count="9">
    <mergeCell ref="F5:M5"/>
    <mergeCell ref="F6:M6"/>
    <mergeCell ref="F13:M13"/>
    <mergeCell ref="F16:M16"/>
    <mergeCell ref="F25:M25"/>
    <mergeCell ref="F18:M18"/>
    <mergeCell ref="F17:M17"/>
    <mergeCell ref="F15:M15"/>
    <mergeCell ref="F14:M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16"/>
  <sheetViews>
    <sheetView workbookViewId="0">
      <selection activeCell="D35" sqref="D35"/>
    </sheetView>
  </sheetViews>
  <sheetFormatPr defaultRowHeight="15" x14ac:dyDescent="0.25"/>
  <cols>
    <col min="1" max="1" width="16.5703125" bestFit="1" customWidth="1"/>
    <col min="2" max="2" width="12.7109375" bestFit="1" customWidth="1"/>
    <col min="4" max="4" width="14.28515625" bestFit="1" customWidth="1"/>
  </cols>
  <sheetData>
    <row r="1" spans="1:4" ht="15.75" thickBot="1" x14ac:dyDescent="0.3">
      <c r="A1" s="9" t="s">
        <v>0</v>
      </c>
      <c r="B1" s="8" t="s">
        <v>27</v>
      </c>
    </row>
    <row r="2" spans="1:4" x14ac:dyDescent="0.25">
      <c r="A2" s="2">
        <v>0</v>
      </c>
      <c r="B2" s="21">
        <v>-750000000</v>
      </c>
      <c r="C2" s="31" t="s">
        <v>2</v>
      </c>
    </row>
    <row r="3" spans="1:4" x14ac:dyDescent="0.25">
      <c r="A3" s="2">
        <v>1</v>
      </c>
      <c r="B3" s="5">
        <v>130000000</v>
      </c>
    </row>
    <row r="4" spans="1:4" x14ac:dyDescent="0.25">
      <c r="A4" s="2">
        <v>2</v>
      </c>
      <c r="B4" s="5">
        <v>180000000</v>
      </c>
    </row>
    <row r="5" spans="1:4" x14ac:dyDescent="0.25">
      <c r="A5" s="2">
        <v>3</v>
      </c>
      <c r="B5" s="5">
        <v>190000000</v>
      </c>
    </row>
    <row r="6" spans="1:4" x14ac:dyDescent="0.25">
      <c r="A6" s="2">
        <v>4</v>
      </c>
      <c r="B6" s="5">
        <v>245000000</v>
      </c>
    </row>
    <row r="7" spans="1:4" x14ac:dyDescent="0.25">
      <c r="A7" s="2">
        <v>5</v>
      </c>
      <c r="B7" s="5">
        <v>205000000</v>
      </c>
    </row>
    <row r="8" spans="1:4" x14ac:dyDescent="0.25">
      <c r="A8" s="2">
        <v>6</v>
      </c>
      <c r="B8" s="5">
        <v>155000000</v>
      </c>
    </row>
    <row r="9" spans="1:4" x14ac:dyDescent="0.25">
      <c r="A9" s="2">
        <v>7</v>
      </c>
      <c r="B9" s="5">
        <v>135000000</v>
      </c>
    </row>
    <row r="10" spans="1:4" x14ac:dyDescent="0.25">
      <c r="A10" s="2">
        <v>8</v>
      </c>
      <c r="B10" s="5">
        <v>95000000</v>
      </c>
    </row>
    <row r="11" spans="1:4" ht="15.75" thickBot="1" x14ac:dyDescent="0.3">
      <c r="A11" s="3">
        <v>9</v>
      </c>
      <c r="B11" s="38">
        <v>-75000000</v>
      </c>
      <c r="C11" s="31" t="s">
        <v>26</v>
      </c>
    </row>
    <row r="12" spans="1:4" ht="15.75" thickBot="1" x14ac:dyDescent="0.3"/>
    <row r="13" spans="1:4" ht="15.75" thickBot="1" x14ac:dyDescent="0.3">
      <c r="D13" s="10" t="s">
        <v>50</v>
      </c>
    </row>
    <row r="14" spans="1:4" x14ac:dyDescent="0.25">
      <c r="A14" s="80" t="s">
        <v>47</v>
      </c>
      <c r="B14" s="84">
        <f>SUM(B3:B11)</f>
        <v>1260000000</v>
      </c>
      <c r="D14" s="87" t="s">
        <v>52</v>
      </c>
    </row>
    <row r="15" spans="1:4" x14ac:dyDescent="0.25">
      <c r="A15" s="81" t="s">
        <v>48</v>
      </c>
      <c r="B15" s="85">
        <f>B14+B2</f>
        <v>510000000</v>
      </c>
      <c r="D15" s="88" t="s">
        <v>51</v>
      </c>
    </row>
    <row r="16" spans="1:4" ht="15.75" thickBot="1" x14ac:dyDescent="0.3">
      <c r="A16" s="82" t="s">
        <v>49</v>
      </c>
      <c r="B16" s="86">
        <f>B2+B15</f>
        <v>-240000000</v>
      </c>
      <c r="D16" s="89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9"/>
  <sheetViews>
    <sheetView workbookViewId="0">
      <selection activeCell="E16" sqref="E16"/>
    </sheetView>
  </sheetViews>
  <sheetFormatPr defaultRowHeight="15" x14ac:dyDescent="0.25"/>
  <cols>
    <col min="2" max="2" width="11.140625" bestFit="1" customWidth="1"/>
  </cols>
  <sheetData>
    <row r="1" spans="1:2" ht="15.75" thickBot="1" x14ac:dyDescent="0.3">
      <c r="A1" s="9" t="s">
        <v>0</v>
      </c>
      <c r="B1" s="8" t="s">
        <v>27</v>
      </c>
    </row>
    <row r="2" spans="1:2" x14ac:dyDescent="0.25">
      <c r="A2" s="32">
        <v>1</v>
      </c>
      <c r="B2" s="4">
        <v>130000000</v>
      </c>
    </row>
    <row r="3" spans="1:2" x14ac:dyDescent="0.25">
      <c r="A3" s="2">
        <v>2</v>
      </c>
      <c r="B3" s="5">
        <v>180000000</v>
      </c>
    </row>
    <row r="4" spans="1:2" x14ac:dyDescent="0.25">
      <c r="A4" s="2">
        <v>3</v>
      </c>
      <c r="B4" s="5">
        <v>190000000</v>
      </c>
    </row>
    <row r="5" spans="1:2" x14ac:dyDescent="0.25">
      <c r="A5" s="2">
        <v>4</v>
      </c>
      <c r="B5" s="5">
        <v>245000000</v>
      </c>
    </row>
    <row r="6" spans="1:2" x14ac:dyDescent="0.25">
      <c r="A6" s="2">
        <v>5</v>
      </c>
      <c r="B6" s="5">
        <v>205000000</v>
      </c>
    </row>
    <row r="7" spans="1:2" x14ac:dyDescent="0.25">
      <c r="A7" s="2">
        <v>6</v>
      </c>
      <c r="B7" s="5">
        <v>155000000</v>
      </c>
    </row>
    <row r="8" spans="1:2" x14ac:dyDescent="0.25">
      <c r="A8" s="2">
        <v>7</v>
      </c>
      <c r="B8" s="5">
        <v>135000000</v>
      </c>
    </row>
    <row r="9" spans="1:2" ht="15.75" thickBot="1" x14ac:dyDescent="0.3">
      <c r="A9" s="3">
        <v>8</v>
      </c>
      <c r="B9" s="6">
        <v>95000000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19"/>
  <sheetViews>
    <sheetView tabSelected="1" workbookViewId="0">
      <selection activeCell="D21" sqref="D21"/>
    </sheetView>
  </sheetViews>
  <sheetFormatPr defaultRowHeight="15" x14ac:dyDescent="0.25"/>
  <cols>
    <col min="2" max="2" width="17" bestFit="1" customWidth="1"/>
    <col min="3" max="3" width="17.7109375" customWidth="1"/>
    <col min="4" max="4" width="16.7109375" customWidth="1"/>
    <col min="5" max="5" width="20.140625" customWidth="1"/>
    <col min="6" max="6" width="15.28515625" bestFit="1" customWidth="1"/>
    <col min="9" max="9" width="14.42578125" bestFit="1" customWidth="1"/>
    <col min="10" max="10" width="22.28515625" bestFit="1" customWidth="1"/>
    <col min="11" max="11" width="13.7109375" bestFit="1" customWidth="1"/>
    <col min="12" max="12" width="19.28515625" bestFit="1" customWidth="1"/>
  </cols>
  <sheetData>
    <row r="1" spans="1:12" ht="33" customHeight="1" thickBot="1" x14ac:dyDescent="0.3">
      <c r="A1" s="7" t="s">
        <v>0</v>
      </c>
      <c r="B1" s="51" t="s">
        <v>27</v>
      </c>
      <c r="C1" s="52" t="s">
        <v>31</v>
      </c>
      <c r="D1" s="51" t="s">
        <v>37</v>
      </c>
      <c r="E1" s="50" t="s">
        <v>36</v>
      </c>
      <c r="F1" s="12"/>
      <c r="G1" s="105"/>
      <c r="H1" s="106"/>
      <c r="I1" s="107"/>
      <c r="J1" s="108"/>
      <c r="K1" s="108"/>
      <c r="L1" s="109"/>
    </row>
    <row r="2" spans="1:12" x14ac:dyDescent="0.25">
      <c r="A2" s="2">
        <v>0</v>
      </c>
      <c r="B2" s="23">
        <v>-750000000</v>
      </c>
      <c r="C2" s="28">
        <v>-750000000</v>
      </c>
      <c r="D2" s="28">
        <v>-750000000</v>
      </c>
      <c r="E2" s="28">
        <v>-750000000</v>
      </c>
      <c r="G2" s="105"/>
      <c r="H2" s="110"/>
      <c r="I2" s="111"/>
      <c r="J2" s="112"/>
      <c r="K2" s="105"/>
      <c r="L2" s="112"/>
    </row>
    <row r="3" spans="1:12" x14ac:dyDescent="0.25">
      <c r="A3" s="2">
        <v>1</v>
      </c>
      <c r="B3" s="16">
        <v>130000000</v>
      </c>
      <c r="C3" s="29">
        <f>C2+B3</f>
        <v>-620000000</v>
      </c>
      <c r="D3" s="26">
        <f>PV(0.12,A3,0,-B3)</f>
        <v>116071428.57142857</v>
      </c>
      <c r="E3" s="29">
        <f>E2+D3</f>
        <v>-633928571.42857146</v>
      </c>
      <c r="G3" s="105"/>
      <c r="H3" s="110"/>
      <c r="I3" s="104"/>
      <c r="J3" s="112"/>
      <c r="K3" s="112"/>
      <c r="L3" s="112"/>
    </row>
    <row r="4" spans="1:12" x14ac:dyDescent="0.25">
      <c r="A4" s="2">
        <v>2</v>
      </c>
      <c r="B4" s="16">
        <v>180000000</v>
      </c>
      <c r="C4" s="29">
        <f t="shared" ref="C4:C11" si="0">C3+B4</f>
        <v>-440000000</v>
      </c>
      <c r="D4" s="26">
        <f t="shared" ref="D4:D11" si="1">PV(0.12,A4,0,-B4)</f>
        <v>143494897.95918366</v>
      </c>
      <c r="E4" s="29">
        <f t="shared" ref="E4:E11" si="2">E3+D4</f>
        <v>-490433673.46938777</v>
      </c>
      <c r="G4" s="105"/>
      <c r="H4" s="110"/>
      <c r="I4" s="104"/>
      <c r="J4" s="112"/>
      <c r="K4" s="112"/>
      <c r="L4" s="112"/>
    </row>
    <row r="5" spans="1:12" x14ac:dyDescent="0.25">
      <c r="A5" s="2">
        <v>3</v>
      </c>
      <c r="B5" s="59">
        <v>190000000</v>
      </c>
      <c r="C5" s="29">
        <f t="shared" si="0"/>
        <v>-250000000</v>
      </c>
      <c r="D5" s="26">
        <f t="shared" si="1"/>
        <v>135238247.08454806</v>
      </c>
      <c r="E5" s="29">
        <f t="shared" si="2"/>
        <v>-355195426.38483971</v>
      </c>
      <c r="G5" s="105"/>
      <c r="H5" s="110"/>
      <c r="I5" s="104"/>
      <c r="J5" s="112"/>
      <c r="K5" s="112"/>
      <c r="L5" s="112"/>
    </row>
    <row r="6" spans="1:12" x14ac:dyDescent="0.25">
      <c r="A6" s="55">
        <v>4</v>
      </c>
      <c r="B6" s="16">
        <v>245000000</v>
      </c>
      <c r="C6" s="53">
        <f t="shared" si="0"/>
        <v>-5000000</v>
      </c>
      <c r="D6" s="26">
        <f t="shared" si="1"/>
        <v>155701929.20918363</v>
      </c>
      <c r="E6" s="29">
        <f t="shared" si="2"/>
        <v>-199493497.17565608</v>
      </c>
      <c r="G6" s="105"/>
      <c r="H6" s="110"/>
      <c r="I6" s="104"/>
      <c r="J6" s="112"/>
      <c r="K6" s="112"/>
      <c r="L6" s="112"/>
    </row>
    <row r="7" spans="1:12" x14ac:dyDescent="0.25">
      <c r="A7" s="2">
        <v>5</v>
      </c>
      <c r="B7" s="54">
        <v>205000000</v>
      </c>
      <c r="C7" s="101">
        <f t="shared" si="0"/>
        <v>200000000</v>
      </c>
      <c r="D7" s="60">
        <f t="shared" si="1"/>
        <v>116322505.42231284</v>
      </c>
      <c r="E7" s="29">
        <f t="shared" si="2"/>
        <v>-83170991.753343239</v>
      </c>
      <c r="G7" s="105"/>
      <c r="H7" s="110"/>
      <c r="I7" s="104"/>
      <c r="J7" s="112"/>
      <c r="K7" s="112"/>
      <c r="L7" s="112"/>
    </row>
    <row r="8" spans="1:12" x14ac:dyDescent="0.25">
      <c r="A8" s="56">
        <v>6</v>
      </c>
      <c r="B8" s="16">
        <v>155000000</v>
      </c>
      <c r="C8" s="101">
        <f t="shared" si="0"/>
        <v>355000000</v>
      </c>
      <c r="D8" s="26">
        <f t="shared" si="1"/>
        <v>78527823.78248471</v>
      </c>
      <c r="E8" s="57">
        <f t="shared" si="2"/>
        <v>-4643167.9708585292</v>
      </c>
      <c r="G8" s="105"/>
      <c r="H8" s="110"/>
      <c r="I8" s="104"/>
      <c r="J8" s="112"/>
      <c r="K8" s="112"/>
      <c r="L8" s="112"/>
    </row>
    <row r="9" spans="1:12" x14ac:dyDescent="0.25">
      <c r="A9" s="2">
        <v>7</v>
      </c>
      <c r="B9" s="16">
        <v>135000000</v>
      </c>
      <c r="C9" s="101">
        <f t="shared" si="0"/>
        <v>490000000</v>
      </c>
      <c r="D9" s="58">
        <f t="shared" si="1"/>
        <v>61067144.070480615</v>
      </c>
      <c r="E9" s="26">
        <f t="shared" si="2"/>
        <v>56423976.099622086</v>
      </c>
      <c r="G9" s="105"/>
      <c r="H9" s="110"/>
      <c r="I9" s="104"/>
      <c r="J9" s="112"/>
      <c r="K9" s="112"/>
      <c r="L9" s="112"/>
    </row>
    <row r="10" spans="1:12" x14ac:dyDescent="0.25">
      <c r="A10" s="2">
        <v>8</v>
      </c>
      <c r="B10" s="16">
        <v>95000000</v>
      </c>
      <c r="C10" s="101">
        <f t="shared" si="0"/>
        <v>585000000</v>
      </c>
      <c r="D10" s="26">
        <f t="shared" si="1"/>
        <v>38368906.658040069</v>
      </c>
      <c r="E10" s="26">
        <f t="shared" si="2"/>
        <v>94792882.757662147</v>
      </c>
      <c r="G10" s="105"/>
      <c r="H10" s="110"/>
      <c r="I10" s="104"/>
      <c r="J10" s="112"/>
      <c r="K10" s="112"/>
      <c r="L10" s="112"/>
    </row>
    <row r="11" spans="1:12" ht="15.75" thickBot="1" x14ac:dyDescent="0.3">
      <c r="A11" s="3">
        <v>9</v>
      </c>
      <c r="B11" s="25">
        <v>-75000000</v>
      </c>
      <c r="C11" s="103">
        <f t="shared" si="0"/>
        <v>510000000</v>
      </c>
      <c r="D11" s="27">
        <f t="shared" si="1"/>
        <v>-27045751.873618469</v>
      </c>
      <c r="E11" s="27">
        <f t="shared" si="2"/>
        <v>67747130.884043679</v>
      </c>
      <c r="G11" s="105"/>
      <c r="H11" s="110"/>
      <c r="I11" s="111"/>
      <c r="J11" s="112"/>
      <c r="K11" s="112"/>
      <c r="L11" s="112"/>
    </row>
    <row r="12" spans="1:12" ht="15.75" thickBot="1" x14ac:dyDescent="0.3">
      <c r="G12" s="105"/>
      <c r="H12" s="105"/>
      <c r="I12" s="105"/>
      <c r="J12" s="105"/>
      <c r="K12" s="105"/>
      <c r="L12" s="105"/>
    </row>
    <row r="13" spans="1:12" ht="15.75" thickBot="1" x14ac:dyDescent="0.3">
      <c r="A13" s="131" t="s">
        <v>5</v>
      </c>
      <c r="B13" s="132"/>
      <c r="C13" s="128" t="s">
        <v>30</v>
      </c>
      <c r="D13" s="129"/>
      <c r="E13" s="130"/>
      <c r="G13" s="105"/>
      <c r="H13" s="105"/>
      <c r="I13" s="105"/>
      <c r="J13" s="105"/>
      <c r="K13" s="105"/>
      <c r="L13" s="105"/>
    </row>
    <row r="14" spans="1:12" ht="15.75" thickBot="1" x14ac:dyDescent="0.3">
      <c r="A14" s="131" t="s">
        <v>28</v>
      </c>
      <c r="B14" s="133"/>
      <c r="C14" s="44" t="s">
        <v>68</v>
      </c>
      <c r="D14" s="45"/>
      <c r="E14" s="40"/>
      <c r="F14" s="102"/>
      <c r="G14" s="105"/>
      <c r="H14" s="105"/>
      <c r="I14" s="113"/>
      <c r="J14" s="113"/>
      <c r="K14" s="105"/>
      <c r="L14" s="105"/>
    </row>
    <row r="15" spans="1:12" ht="15.75" thickBot="1" x14ac:dyDescent="0.3">
      <c r="A15" s="131" t="s">
        <v>6</v>
      </c>
      <c r="B15" s="133"/>
      <c r="C15" s="41">
        <f>4 + (ABS(C6)/B7)</f>
        <v>4.024390243902439</v>
      </c>
      <c r="D15" s="45"/>
      <c r="E15" s="40"/>
      <c r="F15" s="102"/>
    </row>
    <row r="16" spans="1:12" ht="15.75" thickBot="1" x14ac:dyDescent="0.3"/>
    <row r="17" spans="1:5" ht="15.75" thickBot="1" x14ac:dyDescent="0.3">
      <c r="A17" s="131" t="s">
        <v>34</v>
      </c>
      <c r="B17" s="132"/>
      <c r="C17" s="42" t="s">
        <v>35</v>
      </c>
      <c r="D17" s="46"/>
      <c r="E17" s="43"/>
    </row>
    <row r="18" spans="1:5" ht="15.75" thickBot="1" x14ac:dyDescent="0.3">
      <c r="A18" s="131" t="s">
        <v>33</v>
      </c>
      <c r="B18" s="133"/>
      <c r="C18" s="47" t="s">
        <v>38</v>
      </c>
      <c r="D18" s="48"/>
      <c r="E18" s="49"/>
    </row>
    <row r="19" spans="1:5" ht="15.75" thickBot="1" x14ac:dyDescent="0.3">
      <c r="A19" s="131" t="s">
        <v>32</v>
      </c>
      <c r="B19" s="133"/>
      <c r="C19" s="41">
        <f>6 + (ABS(E8)/D9)</f>
        <v>6.0760338155899287</v>
      </c>
      <c r="D19" s="45"/>
      <c r="E19" s="40"/>
    </row>
  </sheetData>
  <mergeCells count="7">
    <mergeCell ref="C13:E13"/>
    <mergeCell ref="A17:B17"/>
    <mergeCell ref="A18:B18"/>
    <mergeCell ref="A19:B19"/>
    <mergeCell ref="A15:B15"/>
    <mergeCell ref="A13:B13"/>
    <mergeCell ref="A14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C13"/>
  <sheetViews>
    <sheetView workbookViewId="0">
      <selection activeCell="C32" sqref="C32"/>
    </sheetView>
  </sheetViews>
  <sheetFormatPr defaultRowHeight="15" x14ac:dyDescent="0.25"/>
  <cols>
    <col min="1" max="1" width="23.28515625" bestFit="1" customWidth="1"/>
    <col min="2" max="2" width="11.85546875" bestFit="1" customWidth="1"/>
    <col min="3" max="3" width="19.85546875" bestFit="1" customWidth="1"/>
  </cols>
  <sheetData>
    <row r="1" spans="1:3" ht="15.75" thickBot="1" x14ac:dyDescent="0.3">
      <c r="A1" s="7" t="s">
        <v>0</v>
      </c>
      <c r="B1" s="9" t="s">
        <v>1</v>
      </c>
      <c r="C1" s="9" t="s">
        <v>8</v>
      </c>
    </row>
    <row r="2" spans="1:3" x14ac:dyDescent="0.25">
      <c r="A2" s="2">
        <v>0</v>
      </c>
      <c r="B2" s="21">
        <v>-750000000</v>
      </c>
      <c r="C2" s="20"/>
    </row>
    <row r="3" spans="1:3" x14ac:dyDescent="0.25">
      <c r="A3" s="2">
        <v>1</v>
      </c>
      <c r="B3" s="5">
        <v>130000000</v>
      </c>
      <c r="C3" s="14">
        <f>B3/(1+$B$13)^A3</f>
        <v>116071428.57142857</v>
      </c>
    </row>
    <row r="4" spans="1:3" x14ac:dyDescent="0.25">
      <c r="A4" s="2">
        <v>2</v>
      </c>
      <c r="B4" s="5">
        <v>180000000</v>
      </c>
      <c r="C4" s="14">
        <f t="shared" ref="C4:C11" si="0">B4/(1+$B$13)^A4</f>
        <v>143494897.95918366</v>
      </c>
    </row>
    <row r="5" spans="1:3" x14ac:dyDescent="0.25">
      <c r="A5" s="2">
        <v>3</v>
      </c>
      <c r="B5" s="5">
        <v>190000000</v>
      </c>
      <c r="C5" s="14">
        <f t="shared" si="0"/>
        <v>135238247.08454806</v>
      </c>
    </row>
    <row r="6" spans="1:3" x14ac:dyDescent="0.25">
      <c r="A6" s="2">
        <v>4</v>
      </c>
      <c r="B6" s="5">
        <v>245000000</v>
      </c>
      <c r="C6" s="14">
        <f t="shared" si="0"/>
        <v>155701929.20918363</v>
      </c>
    </row>
    <row r="7" spans="1:3" x14ac:dyDescent="0.25">
      <c r="A7" s="2">
        <v>5</v>
      </c>
      <c r="B7" s="5">
        <v>205000000</v>
      </c>
      <c r="C7" s="14">
        <f t="shared" si="0"/>
        <v>116322505.42231284</v>
      </c>
    </row>
    <row r="8" spans="1:3" x14ac:dyDescent="0.25">
      <c r="A8" s="2">
        <v>6</v>
      </c>
      <c r="B8" s="5">
        <v>155000000</v>
      </c>
      <c r="C8" s="14">
        <f t="shared" si="0"/>
        <v>78527823.78248471</v>
      </c>
    </row>
    <row r="9" spans="1:3" x14ac:dyDescent="0.25">
      <c r="A9" s="2">
        <v>7</v>
      </c>
      <c r="B9" s="5">
        <v>135000000</v>
      </c>
      <c r="C9" s="14">
        <f t="shared" si="0"/>
        <v>61067144.070480615</v>
      </c>
    </row>
    <row r="10" spans="1:3" x14ac:dyDescent="0.25">
      <c r="A10" s="2">
        <v>8</v>
      </c>
      <c r="B10" s="5">
        <v>95000000</v>
      </c>
      <c r="C10" s="14">
        <f t="shared" si="0"/>
        <v>38368906.658040069</v>
      </c>
    </row>
    <row r="11" spans="1:3" ht="15.75" thickBot="1" x14ac:dyDescent="0.3">
      <c r="A11" s="3">
        <v>9</v>
      </c>
      <c r="B11" s="6">
        <v>-75000000</v>
      </c>
      <c r="C11" s="22">
        <f t="shared" si="0"/>
        <v>-27045751.873618469</v>
      </c>
    </row>
    <row r="12" spans="1:3" ht="15.75" thickBot="1" x14ac:dyDescent="0.3"/>
    <row r="13" spans="1:3" ht="15.75" thickBot="1" x14ac:dyDescent="0.3">
      <c r="A13" s="9" t="s">
        <v>7</v>
      </c>
      <c r="B13" s="19">
        <v>0.12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27"/>
  <sheetViews>
    <sheetView topLeftCell="A11" workbookViewId="0">
      <selection activeCell="D34" sqref="D34"/>
    </sheetView>
  </sheetViews>
  <sheetFormatPr defaultRowHeight="15" x14ac:dyDescent="0.25"/>
  <cols>
    <col min="2" max="2" width="14.42578125" bestFit="1" customWidth="1"/>
    <col min="3" max="3" width="35.7109375" bestFit="1" customWidth="1"/>
    <col min="4" max="4" width="16.28515625" bestFit="1" customWidth="1"/>
  </cols>
  <sheetData>
    <row r="1" spans="1:4" ht="15.75" thickBot="1" x14ac:dyDescent="0.3">
      <c r="A1" s="7" t="s">
        <v>0</v>
      </c>
      <c r="B1" s="9" t="s">
        <v>1</v>
      </c>
      <c r="C1" s="8" t="s">
        <v>3</v>
      </c>
      <c r="D1" s="9" t="s">
        <v>4</v>
      </c>
    </row>
    <row r="2" spans="1:4" x14ac:dyDescent="0.25">
      <c r="A2" s="2">
        <v>0</v>
      </c>
      <c r="B2" s="23">
        <v>-750000000</v>
      </c>
      <c r="C2" s="23">
        <v>-750000000</v>
      </c>
      <c r="D2" s="23">
        <v>-750000000</v>
      </c>
    </row>
    <row r="3" spans="1:4" x14ac:dyDescent="0.25">
      <c r="A3" s="2">
        <v>1</v>
      </c>
      <c r="B3" s="16">
        <v>130000000</v>
      </c>
      <c r="C3" s="24">
        <f>C2+B3</f>
        <v>-620000000</v>
      </c>
      <c r="D3" s="26">
        <f>PV(0.12,A3,0,-B3)</f>
        <v>116071428.57142857</v>
      </c>
    </row>
    <row r="4" spans="1:4" x14ac:dyDescent="0.25">
      <c r="A4" s="2">
        <v>2</v>
      </c>
      <c r="B4" s="16">
        <v>180000000</v>
      </c>
      <c r="C4" s="24">
        <f t="shared" ref="C4:C11" si="0">C3+B4</f>
        <v>-440000000</v>
      </c>
      <c r="D4" s="26">
        <f t="shared" ref="D4:D11" si="1">PV(0.12,A4,0,-B4)</f>
        <v>143494897.95918366</v>
      </c>
    </row>
    <row r="5" spans="1:4" x14ac:dyDescent="0.25">
      <c r="A5" s="2">
        <v>3</v>
      </c>
      <c r="B5" s="16">
        <v>190000000</v>
      </c>
      <c r="C5" s="24">
        <f t="shared" si="0"/>
        <v>-250000000</v>
      </c>
      <c r="D5" s="26">
        <f t="shared" si="1"/>
        <v>135238247.08454806</v>
      </c>
    </row>
    <row r="6" spans="1:4" x14ac:dyDescent="0.25">
      <c r="A6" s="2">
        <v>4</v>
      </c>
      <c r="B6" s="16">
        <v>245000000</v>
      </c>
      <c r="C6" s="24">
        <f t="shared" si="0"/>
        <v>-5000000</v>
      </c>
      <c r="D6" s="26">
        <f t="shared" si="1"/>
        <v>155701929.20918363</v>
      </c>
    </row>
    <row r="7" spans="1:4" x14ac:dyDescent="0.25">
      <c r="A7" s="2">
        <v>5</v>
      </c>
      <c r="B7" s="16">
        <v>205000000</v>
      </c>
      <c r="C7" s="16">
        <f t="shared" si="0"/>
        <v>200000000</v>
      </c>
      <c r="D7" s="26">
        <f t="shared" si="1"/>
        <v>116322505.42231284</v>
      </c>
    </row>
    <row r="8" spans="1:4" x14ac:dyDescent="0.25">
      <c r="A8" s="2">
        <v>6</v>
      </c>
      <c r="B8" s="16">
        <v>155000000</v>
      </c>
      <c r="C8" s="16">
        <f t="shared" si="0"/>
        <v>355000000</v>
      </c>
      <c r="D8" s="26">
        <f t="shared" si="1"/>
        <v>78527823.78248471</v>
      </c>
    </row>
    <row r="9" spans="1:4" x14ac:dyDescent="0.25">
      <c r="A9" s="2">
        <v>7</v>
      </c>
      <c r="B9" s="16">
        <v>135000000</v>
      </c>
      <c r="C9" s="16">
        <f t="shared" si="0"/>
        <v>490000000</v>
      </c>
      <c r="D9" s="26">
        <f t="shared" si="1"/>
        <v>61067144.070480615</v>
      </c>
    </row>
    <row r="10" spans="1:4" x14ac:dyDescent="0.25">
      <c r="A10" s="2">
        <v>8</v>
      </c>
      <c r="B10" s="16">
        <v>95000000</v>
      </c>
      <c r="C10" s="16">
        <f t="shared" si="0"/>
        <v>585000000</v>
      </c>
      <c r="D10" s="26">
        <f t="shared" si="1"/>
        <v>38368906.658040069</v>
      </c>
    </row>
    <row r="11" spans="1:4" ht="15.75" thickBot="1" x14ac:dyDescent="0.3">
      <c r="A11" s="3">
        <v>9</v>
      </c>
      <c r="B11" s="25">
        <v>-75000000</v>
      </c>
      <c r="C11" s="17">
        <f t="shared" si="0"/>
        <v>510000000</v>
      </c>
      <c r="D11" s="27">
        <f t="shared" si="1"/>
        <v>-27045751.873618469</v>
      </c>
    </row>
    <row r="12" spans="1:4" ht="15.75" thickBot="1" x14ac:dyDescent="0.3"/>
    <row r="13" spans="1:4" ht="15.75" thickBot="1" x14ac:dyDescent="0.3">
      <c r="A13" s="131" t="s">
        <v>11</v>
      </c>
      <c r="B13" s="132"/>
      <c r="C13" s="19">
        <v>0.12</v>
      </c>
      <c r="D13" s="1"/>
    </row>
    <row r="14" spans="1:4" x14ac:dyDescent="0.25">
      <c r="A14" s="134" t="s">
        <v>10</v>
      </c>
      <c r="B14" s="135"/>
      <c r="C14" s="10"/>
    </row>
    <row r="15" spans="1:4" ht="15.75" thickBot="1" x14ac:dyDescent="0.3">
      <c r="A15" s="136"/>
      <c r="B15" s="137"/>
      <c r="C15" s="11"/>
    </row>
    <row r="16" spans="1:4" ht="15.75" thickBot="1" x14ac:dyDescent="0.3">
      <c r="A16" s="131" t="s">
        <v>12</v>
      </c>
      <c r="B16" s="132"/>
      <c r="C16" s="18" t="s">
        <v>16</v>
      </c>
    </row>
    <row r="17" spans="1:3" ht="15.75" thickBot="1" x14ac:dyDescent="0.3">
      <c r="A17" s="131" t="s">
        <v>9</v>
      </c>
      <c r="B17" s="132"/>
      <c r="C17" s="30">
        <f>NPV(C13,B3:B11)+B2</f>
        <v>67747130.884043574</v>
      </c>
    </row>
    <row r="18" spans="1:3" ht="15.75" thickBot="1" x14ac:dyDescent="0.3">
      <c r="C18" s="12"/>
    </row>
    <row r="19" spans="1:3" x14ac:dyDescent="0.25">
      <c r="A19" s="134" t="s">
        <v>14</v>
      </c>
      <c r="B19" s="135"/>
      <c r="C19" s="10"/>
    </row>
    <row r="20" spans="1:3" ht="15.75" thickBot="1" x14ac:dyDescent="0.3">
      <c r="A20" s="136"/>
      <c r="B20" s="137"/>
      <c r="C20" s="11"/>
    </row>
    <row r="21" spans="1:3" ht="15.75" thickBot="1" x14ac:dyDescent="0.3">
      <c r="A21" s="131" t="s">
        <v>15</v>
      </c>
      <c r="B21" s="132"/>
      <c r="C21" s="18" t="s">
        <v>17</v>
      </c>
    </row>
    <row r="22" spans="1:3" ht="15.75" thickBot="1" x14ac:dyDescent="0.3">
      <c r="A22" s="131" t="s">
        <v>13</v>
      </c>
      <c r="B22" s="132"/>
      <c r="C22" s="19">
        <f>IRR(B2:B11)</f>
        <v>0.14722426587654547</v>
      </c>
    </row>
    <row r="23" spans="1:3" ht="15.75" thickBot="1" x14ac:dyDescent="0.3"/>
    <row r="24" spans="1:3" x14ac:dyDescent="0.25">
      <c r="A24" s="134" t="s">
        <v>18</v>
      </c>
      <c r="B24" s="135"/>
      <c r="C24" s="10"/>
    </row>
    <row r="25" spans="1:3" ht="15.75" thickBot="1" x14ac:dyDescent="0.3">
      <c r="A25" s="136"/>
      <c r="B25" s="137"/>
      <c r="C25" s="11"/>
    </row>
    <row r="26" spans="1:3" ht="15.75" thickBot="1" x14ac:dyDescent="0.3">
      <c r="A26" s="131" t="s">
        <v>19</v>
      </c>
      <c r="B26" s="132"/>
      <c r="C26" s="18" t="s">
        <v>21</v>
      </c>
    </row>
    <row r="27" spans="1:3" ht="15.75" thickBot="1" x14ac:dyDescent="0.3">
      <c r="A27" s="131" t="s">
        <v>20</v>
      </c>
      <c r="B27" s="132"/>
      <c r="C27" s="19">
        <f>MIRR(B2:B11,C13,C13)</f>
        <v>0.13045105165780524</v>
      </c>
    </row>
  </sheetData>
  <mergeCells count="10">
    <mergeCell ref="A13:B13"/>
    <mergeCell ref="A14:B15"/>
    <mergeCell ref="A16:B16"/>
    <mergeCell ref="A21:B21"/>
    <mergeCell ref="A27:B27"/>
    <mergeCell ref="A17:B17"/>
    <mergeCell ref="A19:B20"/>
    <mergeCell ref="A22:B22"/>
    <mergeCell ref="A24:B25"/>
    <mergeCell ref="A26:B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13"/>
  <sheetViews>
    <sheetView workbookViewId="0">
      <selection activeCell="C14" sqref="C14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2.85546875" bestFit="1" customWidth="1"/>
    <col min="4" max="4" width="16.28515625" bestFit="1" customWidth="1"/>
  </cols>
  <sheetData>
    <row r="1" spans="1:4" ht="15.75" thickBot="1" x14ac:dyDescent="0.3">
      <c r="A1" s="7" t="s">
        <v>0</v>
      </c>
      <c r="B1" s="9" t="s">
        <v>1</v>
      </c>
      <c r="C1" s="9" t="s">
        <v>23</v>
      </c>
      <c r="D1" s="36" t="s">
        <v>22</v>
      </c>
    </row>
    <row r="2" spans="1:4" x14ac:dyDescent="0.25">
      <c r="A2" s="32">
        <v>1</v>
      </c>
      <c r="B2" s="4">
        <v>130000000</v>
      </c>
      <c r="C2" s="33">
        <f>(1.12)^8</f>
        <v>2.4759631762948109</v>
      </c>
      <c r="D2" s="13">
        <f>B2*C2</f>
        <v>321875212.91832542</v>
      </c>
    </row>
    <row r="3" spans="1:4" x14ac:dyDescent="0.25">
      <c r="A3" s="2">
        <v>2</v>
      </c>
      <c r="B3" s="5">
        <v>180000000</v>
      </c>
      <c r="C3" s="34">
        <f>(1.12)^7</f>
        <v>2.210681407406081</v>
      </c>
      <c r="D3" s="14">
        <f t="shared" ref="D3:D9" si="0">B3*C3</f>
        <v>397922653.3330946</v>
      </c>
    </row>
    <row r="4" spans="1:4" x14ac:dyDescent="0.25">
      <c r="A4" s="2">
        <v>3</v>
      </c>
      <c r="B4" s="5">
        <v>190000000</v>
      </c>
      <c r="C4" s="34">
        <f>(1.12)^6</f>
        <v>1.9738226851840008</v>
      </c>
      <c r="D4" s="14">
        <f t="shared" si="0"/>
        <v>375026310.18496019</v>
      </c>
    </row>
    <row r="5" spans="1:4" x14ac:dyDescent="0.25">
      <c r="A5" s="2">
        <v>4</v>
      </c>
      <c r="B5" s="5">
        <v>245000000</v>
      </c>
      <c r="C5" s="34">
        <f>(1.12)^5</f>
        <v>1.7623416832000005</v>
      </c>
      <c r="D5" s="14">
        <f t="shared" si="0"/>
        <v>431773712.38400012</v>
      </c>
    </row>
    <row r="6" spans="1:4" x14ac:dyDescent="0.25">
      <c r="A6" s="2">
        <v>5</v>
      </c>
      <c r="B6" s="5">
        <v>205000000</v>
      </c>
      <c r="C6" s="34">
        <f>(1.12)^4</f>
        <v>1.5735193600000004</v>
      </c>
      <c r="D6" s="14">
        <f t="shared" si="0"/>
        <v>322571468.80000007</v>
      </c>
    </row>
    <row r="7" spans="1:4" x14ac:dyDescent="0.25">
      <c r="A7" s="2">
        <v>6</v>
      </c>
      <c r="B7" s="5">
        <v>155000000</v>
      </c>
      <c r="C7" s="34">
        <f>(1.12)^3</f>
        <v>1.4049280000000004</v>
      </c>
      <c r="D7" s="14">
        <f t="shared" si="0"/>
        <v>217763840.00000006</v>
      </c>
    </row>
    <row r="8" spans="1:4" x14ac:dyDescent="0.25">
      <c r="A8" s="2">
        <v>7</v>
      </c>
      <c r="B8" s="5">
        <v>135000000</v>
      </c>
      <c r="C8" s="34">
        <f>(1.12)^2</f>
        <v>1.2544000000000002</v>
      </c>
      <c r="D8" s="14">
        <f t="shared" si="0"/>
        <v>169344000.00000003</v>
      </c>
    </row>
    <row r="9" spans="1:4" ht="15.75" thickBot="1" x14ac:dyDescent="0.3">
      <c r="A9" s="3">
        <v>8</v>
      </c>
      <c r="B9" s="6">
        <v>95000000</v>
      </c>
      <c r="C9" s="35">
        <f>(1.12)^1</f>
        <v>1.1200000000000001</v>
      </c>
      <c r="D9" s="15">
        <f t="shared" si="0"/>
        <v>106400000.00000001</v>
      </c>
    </row>
    <row r="10" spans="1:4" ht="15.75" thickBot="1" x14ac:dyDescent="0.3"/>
    <row r="11" spans="1:4" ht="15.75" thickBot="1" x14ac:dyDescent="0.3">
      <c r="A11" s="9" t="s">
        <v>24</v>
      </c>
      <c r="B11" s="13">
        <f>750000000/((1.12)^0)</f>
        <v>750000000</v>
      </c>
    </row>
    <row r="12" spans="1:4" ht="15.75" thickBot="1" x14ac:dyDescent="0.3">
      <c r="A12" s="37" t="s">
        <v>25</v>
      </c>
      <c r="B12" s="15">
        <f>B8/(1.12)^9</f>
        <v>48682353.372513242</v>
      </c>
    </row>
    <row r="13" spans="1:4" ht="15.75" thickBot="1" x14ac:dyDescent="0.3">
      <c r="A13" s="37" t="s">
        <v>29</v>
      </c>
      <c r="B13" s="39">
        <f>B11+B12</f>
        <v>798682353.37251329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32"/>
  <sheetViews>
    <sheetView workbookViewId="0">
      <selection activeCell="C13" sqref="C13"/>
    </sheetView>
  </sheetViews>
  <sheetFormatPr defaultRowHeight="15" x14ac:dyDescent="0.25"/>
  <cols>
    <col min="1" max="1" width="18.140625" bestFit="1" customWidth="1"/>
    <col min="2" max="2" width="12.85546875" bestFit="1" customWidth="1"/>
    <col min="3" max="3" width="18.140625" bestFit="1" customWidth="1"/>
    <col min="4" max="4" width="15.28515625" bestFit="1" customWidth="1"/>
    <col min="5" max="5" width="13.28515625" bestFit="1" customWidth="1"/>
    <col min="6" max="6" width="18.140625" bestFit="1" customWidth="1"/>
    <col min="7" max="7" width="20.85546875" bestFit="1" customWidth="1"/>
  </cols>
  <sheetData>
    <row r="1" spans="1:8" ht="15.75" thickBot="1" x14ac:dyDescent="0.3">
      <c r="A1" s="21">
        <v>-750000000</v>
      </c>
      <c r="F1" s="90" t="s">
        <v>54</v>
      </c>
    </row>
    <row r="2" spans="1:8" x14ac:dyDescent="0.25">
      <c r="A2" s="5">
        <v>130000000</v>
      </c>
      <c r="C2" s="63" t="s">
        <v>39</v>
      </c>
      <c r="D2" s="74">
        <f>AVERAGE(A2:A10)</f>
        <v>140000000</v>
      </c>
      <c r="F2" s="94" t="s">
        <v>39</v>
      </c>
      <c r="G2" s="91" t="s">
        <v>60</v>
      </c>
      <c r="H2" s="65"/>
    </row>
    <row r="3" spans="1:8" x14ac:dyDescent="0.25">
      <c r="A3" s="5">
        <v>180000000</v>
      </c>
      <c r="C3" s="63" t="s">
        <v>62</v>
      </c>
      <c r="D3" s="83">
        <f>MEDIAN(A2:A10)</f>
        <v>155000000</v>
      </c>
      <c r="F3" s="61" t="s">
        <v>62</v>
      </c>
      <c r="G3" s="85" t="s">
        <v>64</v>
      </c>
      <c r="H3" s="65"/>
    </row>
    <row r="4" spans="1:8" x14ac:dyDescent="0.25">
      <c r="A4" s="5">
        <v>190000000</v>
      </c>
      <c r="C4" s="63" t="s">
        <v>63</v>
      </c>
      <c r="D4" s="63" t="e">
        <f>_xlfn.MODE.SNGL(A2:A10)</f>
        <v>#N/A</v>
      </c>
      <c r="F4" s="61" t="s">
        <v>63</v>
      </c>
      <c r="G4" s="62" t="s">
        <v>65</v>
      </c>
      <c r="H4" s="65"/>
    </row>
    <row r="5" spans="1:8" x14ac:dyDescent="0.25">
      <c r="A5" s="5">
        <v>245000000</v>
      </c>
      <c r="C5" s="63" t="s">
        <v>40</v>
      </c>
      <c r="D5" s="63">
        <f>VAR(A2:A10)</f>
        <v>8493750000000000</v>
      </c>
      <c r="F5" s="95" t="s">
        <v>40</v>
      </c>
      <c r="G5" s="92" t="s">
        <v>61</v>
      </c>
      <c r="H5" s="65"/>
    </row>
    <row r="6" spans="1:8" x14ac:dyDescent="0.25">
      <c r="A6" s="5">
        <v>205000000</v>
      </c>
      <c r="C6" s="63" t="s">
        <v>41</v>
      </c>
      <c r="D6" s="74">
        <f>STDEV(A2:A10)</f>
        <v>92161542.955833808</v>
      </c>
      <c r="F6" s="95" t="s">
        <v>41</v>
      </c>
      <c r="G6" s="97" t="s">
        <v>58</v>
      </c>
    </row>
    <row r="7" spans="1:8" ht="15.75" thickBot="1" x14ac:dyDescent="0.3">
      <c r="A7" s="5">
        <v>155000000</v>
      </c>
      <c r="C7" s="63" t="s">
        <v>46</v>
      </c>
      <c r="D7" s="75">
        <f>D2/D6</f>
        <v>1.5190717897061643</v>
      </c>
      <c r="F7" s="96" t="s">
        <v>46</v>
      </c>
      <c r="G7" s="98" t="s">
        <v>57</v>
      </c>
    </row>
    <row r="8" spans="1:8" x14ac:dyDescent="0.25">
      <c r="A8" s="5">
        <v>135000000</v>
      </c>
      <c r="C8" s="76"/>
    </row>
    <row r="9" spans="1:8" x14ac:dyDescent="0.25">
      <c r="A9" s="5">
        <v>95000000</v>
      </c>
    </row>
    <row r="10" spans="1:8" ht="15.75" thickBot="1" x14ac:dyDescent="0.3">
      <c r="A10" s="38">
        <v>-75000000</v>
      </c>
    </row>
    <row r="11" spans="1:8" ht="15.75" thickBot="1" x14ac:dyDescent="0.3"/>
    <row r="12" spans="1:8" ht="15.75" thickBot="1" x14ac:dyDescent="0.3">
      <c r="A12" s="77" t="s">
        <v>42</v>
      </c>
      <c r="B12" s="78" t="s">
        <v>27</v>
      </c>
      <c r="C12" s="78" t="s">
        <v>43</v>
      </c>
      <c r="D12" s="78" t="s">
        <v>44</v>
      </c>
      <c r="E12" s="79" t="s">
        <v>45</v>
      </c>
    </row>
    <row r="13" spans="1:8" x14ac:dyDescent="0.25">
      <c r="A13" s="64">
        <v>1</v>
      </c>
      <c r="B13" s="5">
        <v>130000000</v>
      </c>
      <c r="C13" s="69">
        <f>B13/-$A$1</f>
        <v>0.17333333333333334</v>
      </c>
      <c r="D13" s="65">
        <v>0.05</v>
      </c>
      <c r="E13" s="69">
        <f>C13-D13</f>
        <v>0.12333333333333334</v>
      </c>
    </row>
    <row r="14" spans="1:8" x14ac:dyDescent="0.25">
      <c r="A14" s="64">
        <v>2</v>
      </c>
      <c r="B14" s="5">
        <v>180000000</v>
      </c>
      <c r="C14" s="68">
        <f t="shared" ref="C14:C21" si="0">B14/-$A$1</f>
        <v>0.24</v>
      </c>
      <c r="D14" s="65">
        <v>0.05</v>
      </c>
      <c r="E14" s="68">
        <f t="shared" ref="E14:E21" si="1">C14-D14</f>
        <v>0.19</v>
      </c>
    </row>
    <row r="15" spans="1:8" x14ac:dyDescent="0.25">
      <c r="A15" s="64">
        <v>3</v>
      </c>
      <c r="B15" s="5">
        <v>190000000</v>
      </c>
      <c r="C15" s="68">
        <f t="shared" si="0"/>
        <v>0.25333333333333335</v>
      </c>
      <c r="D15" s="65">
        <v>0.05</v>
      </c>
      <c r="E15" s="68">
        <f t="shared" si="1"/>
        <v>0.20333333333333337</v>
      </c>
    </row>
    <row r="16" spans="1:8" x14ac:dyDescent="0.25">
      <c r="A16" s="64">
        <v>4</v>
      </c>
      <c r="B16" s="5">
        <v>245000000</v>
      </c>
      <c r="C16" s="68">
        <f t="shared" si="0"/>
        <v>0.32666666666666666</v>
      </c>
      <c r="D16" s="65">
        <v>0.05</v>
      </c>
      <c r="E16" s="68">
        <f t="shared" si="1"/>
        <v>0.27666666666666667</v>
      </c>
    </row>
    <row r="17" spans="1:5" x14ac:dyDescent="0.25">
      <c r="A17" s="64">
        <v>5</v>
      </c>
      <c r="B17" s="5">
        <v>205000000</v>
      </c>
      <c r="C17" s="68">
        <f t="shared" si="0"/>
        <v>0.27333333333333332</v>
      </c>
      <c r="D17" s="65">
        <v>0.05</v>
      </c>
      <c r="E17" s="68">
        <f t="shared" si="1"/>
        <v>0.22333333333333333</v>
      </c>
    </row>
    <row r="18" spans="1:5" x14ac:dyDescent="0.25">
      <c r="A18" s="64">
        <v>6</v>
      </c>
      <c r="B18" s="5">
        <v>155000000</v>
      </c>
      <c r="C18" s="68">
        <f t="shared" si="0"/>
        <v>0.20666666666666667</v>
      </c>
      <c r="D18" s="65">
        <v>0.05</v>
      </c>
      <c r="E18" s="68">
        <f t="shared" si="1"/>
        <v>0.15666666666666668</v>
      </c>
    </row>
    <row r="19" spans="1:5" x14ac:dyDescent="0.25">
      <c r="A19" s="64">
        <v>7</v>
      </c>
      <c r="B19" s="5">
        <v>135000000</v>
      </c>
      <c r="C19" s="68">
        <f t="shared" si="0"/>
        <v>0.18</v>
      </c>
      <c r="D19" s="65">
        <v>0.05</v>
      </c>
      <c r="E19" s="68">
        <f t="shared" si="1"/>
        <v>0.13</v>
      </c>
    </row>
    <row r="20" spans="1:5" x14ac:dyDescent="0.25">
      <c r="A20" s="64">
        <v>8</v>
      </c>
      <c r="B20" s="5">
        <v>95000000</v>
      </c>
      <c r="C20" s="68">
        <f t="shared" si="0"/>
        <v>0.12666666666666668</v>
      </c>
      <c r="D20" s="65">
        <v>0.05</v>
      </c>
      <c r="E20" s="68">
        <f t="shared" si="1"/>
        <v>7.6666666666666675E-2</v>
      </c>
    </row>
    <row r="21" spans="1:5" ht="15.75" thickBot="1" x14ac:dyDescent="0.3">
      <c r="A21" s="66">
        <v>9</v>
      </c>
      <c r="B21" s="38">
        <v>-75000000</v>
      </c>
      <c r="C21" s="70">
        <f t="shared" si="0"/>
        <v>-0.1</v>
      </c>
      <c r="D21" s="67">
        <v>0.05</v>
      </c>
      <c r="E21" s="70">
        <f t="shared" si="1"/>
        <v>-0.15000000000000002</v>
      </c>
    </row>
    <row r="22" spans="1:5" ht="15.75" thickBot="1" x14ac:dyDescent="0.3"/>
    <row r="23" spans="1:5" x14ac:dyDescent="0.25">
      <c r="A23" s="80" t="s">
        <v>39</v>
      </c>
      <c r="B23" s="71">
        <f>AVERAGE(E13:E21)</f>
        <v>0.13666666666666671</v>
      </c>
    </row>
    <row r="24" spans="1:5" x14ac:dyDescent="0.25">
      <c r="A24" s="81" t="s">
        <v>40</v>
      </c>
      <c r="B24" s="62">
        <f>VAR(E13:E21)</f>
        <v>1.5099999999999992E-2</v>
      </c>
    </row>
    <row r="25" spans="1:5" x14ac:dyDescent="0.25">
      <c r="A25" s="81" t="s">
        <v>41</v>
      </c>
      <c r="B25" s="72">
        <f>STDEV(E13:E21)</f>
        <v>0.12288205727444504</v>
      </c>
    </row>
    <row r="26" spans="1:5" ht="15.75" thickBot="1" x14ac:dyDescent="0.3">
      <c r="A26" s="82" t="s">
        <v>46</v>
      </c>
      <c r="B26" s="73">
        <f>B23/B25</f>
        <v>1.1121775603205852</v>
      </c>
    </row>
    <row r="27" spans="1:5" ht="15.75" thickBot="1" x14ac:dyDescent="0.3"/>
    <row r="28" spans="1:5" ht="15.75" thickBot="1" x14ac:dyDescent="0.3">
      <c r="A28" s="90" t="s">
        <v>54</v>
      </c>
    </row>
    <row r="29" spans="1:5" x14ac:dyDescent="0.25">
      <c r="A29" s="80" t="s">
        <v>39</v>
      </c>
      <c r="B29" s="91" t="s">
        <v>55</v>
      </c>
    </row>
    <row r="30" spans="1:5" x14ac:dyDescent="0.25">
      <c r="A30" s="81" t="s">
        <v>40</v>
      </c>
      <c r="B30" s="62" t="s">
        <v>66</v>
      </c>
    </row>
    <row r="31" spans="1:5" x14ac:dyDescent="0.25">
      <c r="A31" s="81" t="s">
        <v>41</v>
      </c>
      <c r="B31" s="92" t="s">
        <v>59</v>
      </c>
    </row>
    <row r="32" spans="1:5" ht="15.75" thickBot="1" x14ac:dyDescent="0.3">
      <c r="A32" s="82" t="s">
        <v>46</v>
      </c>
      <c r="B32" s="93" t="s">
        <v>56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E11"/>
  <sheetViews>
    <sheetView workbookViewId="0">
      <selection activeCell="D3" sqref="D3"/>
    </sheetView>
  </sheetViews>
  <sheetFormatPr defaultRowHeight="15" x14ac:dyDescent="0.25"/>
  <cols>
    <col min="1" max="1" width="5" bestFit="1" customWidth="1"/>
    <col min="2" max="2" width="11.85546875" bestFit="1" customWidth="1"/>
    <col min="4" max="4" width="16" bestFit="1" customWidth="1"/>
    <col min="5" max="5" width="9.5703125" bestFit="1" customWidth="1"/>
  </cols>
  <sheetData>
    <row r="1" spans="1:5" ht="15.75" thickBot="1" x14ac:dyDescent="0.3">
      <c r="A1" s="9" t="s">
        <v>0</v>
      </c>
      <c r="B1" s="8" t="s">
        <v>27</v>
      </c>
      <c r="D1" s="99" t="s">
        <v>67</v>
      </c>
      <c r="E1" s="100" t="e">
        <f ca="1">PaybackPeriod(A2:A11, B2:B11)</f>
        <v>#NAME?</v>
      </c>
    </row>
    <row r="2" spans="1:5" x14ac:dyDescent="0.25">
      <c r="A2" s="2">
        <v>0</v>
      </c>
      <c r="B2" s="21">
        <v>-750000000</v>
      </c>
      <c r="D2" t="s">
        <v>69</v>
      </c>
    </row>
    <row r="3" spans="1:5" x14ac:dyDescent="0.25">
      <c r="A3" s="2">
        <v>1</v>
      </c>
      <c r="B3" s="5">
        <v>130000000</v>
      </c>
    </row>
    <row r="4" spans="1:5" x14ac:dyDescent="0.25">
      <c r="A4" s="2">
        <v>2</v>
      </c>
      <c r="B4" s="5">
        <v>180000000</v>
      </c>
    </row>
    <row r="5" spans="1:5" x14ac:dyDescent="0.25">
      <c r="A5" s="2">
        <v>3</v>
      </c>
      <c r="B5" s="5">
        <v>190000000</v>
      </c>
    </row>
    <row r="6" spans="1:5" x14ac:dyDescent="0.25">
      <c r="A6" s="2">
        <v>4</v>
      </c>
      <c r="B6" s="5">
        <v>245000000</v>
      </c>
    </row>
    <row r="7" spans="1:5" x14ac:dyDescent="0.25">
      <c r="A7" s="2">
        <v>5</v>
      </c>
      <c r="B7" s="5">
        <v>205000000</v>
      </c>
    </row>
    <row r="8" spans="1:5" x14ac:dyDescent="0.25">
      <c r="A8" s="2">
        <v>6</v>
      </c>
      <c r="B8" s="5">
        <v>155000000</v>
      </c>
    </row>
    <row r="9" spans="1:5" x14ac:dyDescent="0.25">
      <c r="A9" s="2">
        <v>7</v>
      </c>
      <c r="B9" s="5">
        <v>135000000</v>
      </c>
    </row>
    <row r="10" spans="1:5" x14ac:dyDescent="0.25">
      <c r="A10" s="2">
        <v>8</v>
      </c>
      <c r="B10" s="5">
        <v>95000000</v>
      </c>
    </row>
    <row r="11" spans="1:5" ht="15.75" thickBot="1" x14ac:dyDescent="0.3">
      <c r="A11" s="3">
        <v>9</v>
      </c>
      <c r="B11" s="38">
        <v>-75000000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Topic 1.3</vt:lpstr>
      <vt:lpstr>Data</vt:lpstr>
      <vt:lpstr>Data2</vt:lpstr>
      <vt:lpstr>Payback</vt:lpstr>
      <vt:lpstr>Discounted</vt:lpstr>
      <vt:lpstr>NPV</vt:lpstr>
      <vt:lpstr>MIRR</vt:lpstr>
      <vt:lpstr>STD</vt:lpstr>
      <vt:lpstr>VBA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Tin Hang</cp:lastModifiedBy>
  <dcterms:created xsi:type="dcterms:W3CDTF">2014-02-03T22:17:22Z</dcterms:created>
  <dcterms:modified xsi:type="dcterms:W3CDTF">2019-04-28T00:53:08Z</dcterms:modified>
</cp:coreProperties>
</file>