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2"/>
  <workbookPr autoCompressPictures="0"/>
  <mc:AlternateContent xmlns:mc="http://schemas.openxmlformats.org/markup-compatibility/2006">
    <mc:Choice Requires="x15">
      <x15ac:absPath xmlns:x15ac="http://schemas.microsoft.com/office/spreadsheetml/2010/11/ac" url="\\ENS06.labos.polymtl.ca\profiles\sager2\profiles\downloads\"/>
    </mc:Choice>
  </mc:AlternateContent>
  <xr:revisionPtr revIDLastSave="0" documentId="13_ncr:1_{A436D1F5-C5E7-461C-8331-F34EB720311E}" xr6:coauthVersionLast="36" xr6:coauthVersionMax="47" xr10:uidLastSave="{00000000-0000-0000-0000-000000000000}"/>
  <bookViews>
    <workbookView xWindow="0" yWindow="0" windowWidth="28800" windowHeight="12225" tabRatio="954" xr2:uid="{00000000-000D-0000-FFFF-FFFF00000000}"/>
  </bookViews>
  <sheets>
    <sheet name="Modèle" sheetId="102" r:id="rId1"/>
    <sheet name="Calcul perso" sheetId="101" r:id="rId2"/>
  </sheets>
  <calcPr calcId="191028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6" i="102" l="1"/>
  <c r="E121" i="102"/>
  <c r="D121" i="102"/>
  <c r="C121" i="102"/>
  <c r="B121" i="102"/>
  <c r="E122" i="102"/>
  <c r="D122" i="102"/>
  <c r="C122" i="102"/>
  <c r="B122" i="102"/>
  <c r="E119" i="102"/>
  <c r="E120" i="102"/>
  <c r="E118" i="102"/>
  <c r="D106" i="102"/>
  <c r="H95" i="102"/>
  <c r="B90" i="102"/>
  <c r="C93" i="102"/>
  <c r="E95" i="102"/>
  <c r="I95" i="102"/>
  <c r="D95" i="102"/>
  <c r="G89" i="102"/>
  <c r="F89" i="102"/>
  <c r="C89" i="102"/>
  <c r="H64" i="102"/>
  <c r="D44" i="102"/>
  <c r="D45" i="102" s="1"/>
  <c r="I44" i="102"/>
  <c r="I45" i="102" s="1"/>
  <c r="H44" i="102"/>
  <c r="H45" i="102" s="1"/>
  <c r="G44" i="102"/>
  <c r="G45" i="102" s="1"/>
  <c r="F44" i="102"/>
  <c r="F45" i="102" s="1"/>
  <c r="E44" i="102"/>
  <c r="E45" i="102" s="1"/>
  <c r="I43" i="102"/>
  <c r="F43" i="102"/>
  <c r="G43" i="102"/>
  <c r="H43" i="102"/>
  <c r="E43" i="102"/>
  <c r="D43" i="102"/>
  <c r="I40" i="102"/>
  <c r="I41" i="102" s="1"/>
  <c r="I27" i="102"/>
  <c r="F27" i="102"/>
  <c r="G27" i="102"/>
  <c r="H27" i="102"/>
  <c r="E27" i="102"/>
  <c r="I26" i="102"/>
  <c r="F26" i="102"/>
  <c r="G26" i="102"/>
  <c r="H26" i="102"/>
  <c r="E26" i="102"/>
  <c r="G25" i="102"/>
  <c r="H25" i="102"/>
  <c r="I25" i="102" s="1"/>
  <c r="F25" i="102"/>
  <c r="K37" i="102"/>
  <c r="P33" i="102"/>
  <c r="O33" i="102"/>
  <c r="O35" i="102" s="1"/>
  <c r="N33" i="102"/>
  <c r="N35" i="102" s="1"/>
  <c r="M35" i="102"/>
  <c r="M33" i="102"/>
  <c r="L33" i="102"/>
  <c r="L35" i="102" s="1"/>
  <c r="D21" i="102"/>
  <c r="F31" i="102"/>
  <c r="G31" i="102" s="1"/>
  <c r="H31" i="102" s="1"/>
  <c r="I31" i="102" s="1"/>
  <c r="K33" i="102"/>
  <c r="K35" i="102" s="1"/>
  <c r="C27" i="102"/>
  <c r="C26" i="102"/>
  <c r="C28" i="102" s="1"/>
  <c r="C46" i="102" l="1"/>
  <c r="I34" i="102"/>
  <c r="H34" i="102"/>
  <c r="G34" i="102"/>
  <c r="F34" i="102"/>
  <c r="E34" i="102"/>
  <c r="I28" i="102"/>
  <c r="H28" i="102"/>
  <c r="G28" i="102"/>
  <c r="F28" i="102"/>
  <c r="E28" i="102"/>
</calcChain>
</file>

<file path=xl/sharedStrings.xml><?xml version="1.0" encoding="utf-8"?>
<sst xmlns="http://schemas.openxmlformats.org/spreadsheetml/2006/main" count="117" uniqueCount="80">
  <si>
    <t>SSH3201 - Économique de l'ingénieur</t>
  </si>
  <si>
    <t>Laboratoire 5</t>
  </si>
  <si>
    <t>A2021</t>
  </si>
  <si>
    <t>Méthodes d'analyse de projets avant impôt</t>
  </si>
  <si>
    <t>Coordonnées :</t>
  </si>
  <si>
    <t>Nom :</t>
  </si>
  <si>
    <t>Prénom :</t>
  </si>
  <si>
    <t>Matricule :</t>
  </si>
  <si>
    <t xml:space="preserve">Groupe : </t>
  </si>
  <si>
    <t>Question 1.</t>
  </si>
  <si>
    <t>a)</t>
  </si>
  <si>
    <t>VAN avant impôt</t>
  </si>
  <si>
    <t>Données</t>
  </si>
  <si>
    <t>Produits</t>
  </si>
  <si>
    <t>Prix de vente unitaire</t>
  </si>
  <si>
    <t>Revenus des droits de diffusion</t>
  </si>
  <si>
    <t>Total</t>
  </si>
  <si>
    <t>Coût des ventes</t>
  </si>
  <si>
    <t>Investissements initiaux</t>
  </si>
  <si>
    <t>Valeurs résiduelles</t>
  </si>
  <si>
    <t>Flux monétaires</t>
  </si>
  <si>
    <t>Facteur d'actualisation</t>
  </si>
  <si>
    <t>Flux monétaires actualisés</t>
  </si>
  <si>
    <t>Valeur actuelle nette</t>
  </si>
  <si>
    <t>b)</t>
  </si>
  <si>
    <t>TRI par interpolation</t>
  </si>
  <si>
    <t>TRI (%)</t>
  </si>
  <si>
    <t>Question 2.</t>
  </si>
  <si>
    <t>TRIM</t>
  </si>
  <si>
    <t>Taux de réinvestissement</t>
  </si>
  <si>
    <t xml:space="preserve">TRIM </t>
  </si>
  <si>
    <t>Taux d'emprunt</t>
  </si>
  <si>
    <t>Année</t>
  </si>
  <si>
    <t>Recette à l'année 5</t>
  </si>
  <si>
    <t>Question 3.</t>
  </si>
  <si>
    <t>TRAM :</t>
  </si>
  <si>
    <t>TRI</t>
  </si>
  <si>
    <t>Recommandation</t>
  </si>
  <si>
    <t>Nombre de billets vendus</t>
  </si>
  <si>
    <t>Revenus des ventes de billets</t>
  </si>
  <si>
    <t>Valeur potentielle de TRI i1 :</t>
  </si>
  <si>
    <t>Valeur potentielle de TRI i2 :</t>
  </si>
  <si>
    <t>Comparaison de projets à l'aide du TRI différentiel</t>
  </si>
  <si>
    <t>Coûts acquisition équipe</t>
  </si>
  <si>
    <t>Coûts acquisition terrain</t>
  </si>
  <si>
    <t>Coûts acquisition équipements</t>
  </si>
  <si>
    <t>Coûts acquisition stade</t>
  </si>
  <si>
    <t>Gervais</t>
  </si>
  <si>
    <t>Samuel</t>
  </si>
  <si>
    <t>Piché</t>
  </si>
  <si>
    <t>Sébastien</t>
  </si>
  <si>
    <t>El-Seidy</t>
  </si>
  <si>
    <t>Abd El Rahman</t>
  </si>
  <si>
    <t>Salaires</t>
  </si>
  <si>
    <t>Publicité</t>
  </si>
  <si>
    <t>Autres dépenses</t>
  </si>
  <si>
    <t>Stade</t>
  </si>
  <si>
    <t>Équipement</t>
  </si>
  <si>
    <t>Terrain</t>
  </si>
  <si>
    <t>Équipe</t>
  </si>
  <si>
    <t>i1+VAN1/(VAN1-VAN2)*(i2-i1)</t>
  </si>
  <si>
    <t>Formule :</t>
  </si>
  <si>
    <t>VAN1 :</t>
  </si>
  <si>
    <t>VAN2 :</t>
  </si>
  <si>
    <t>Recettes</t>
  </si>
  <si>
    <t>Variable</t>
  </si>
  <si>
    <t>Formule</t>
  </si>
  <si>
    <t>FMN_*(P/F;TRAM;n)</t>
  </si>
  <si>
    <t>MP</t>
  </si>
  <si>
    <t xml:space="preserve">Somme MP : </t>
  </si>
  <si>
    <t>MF à partir de TRIM et MP :</t>
  </si>
  <si>
    <t>MF par an</t>
  </si>
  <si>
    <t>FMN+*(F/P;e;n)</t>
  </si>
  <si>
    <t>Pour recettes de l'an 5</t>
  </si>
  <si>
    <t>(P/F,7%,5)</t>
  </si>
  <si>
    <t>Projet A</t>
  </si>
  <si>
    <t>Projet B</t>
  </si>
  <si>
    <t>Projet C</t>
  </si>
  <si>
    <t>C-A</t>
  </si>
  <si>
    <t>B-A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</si>
</sst>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8" formatCode="#,##0.00\ &quot;$&quot;_);[Red]\(#,##0.00\ &quot;$&quot;\)"/>
    <numFmt numFmtId="44" formatCode="_ * #,##0.00_)\ &quot;$&quot;_ ;_ * \(#,##0.00\)\ &quot;$&quot;_ ;_ * &quot;-&quot;??_)\ &quot;$&quot;_ ;_ @_ "/>
    <numFmt numFmtId="164" formatCode="_-* #,##0.00\ &quot;$&quot;_-;_-* #,##0.00\ &quot;$&quot;\-;_-* &quot;-&quot;??\ &quot;$&quot;_-;_-@_-"/>
    <numFmt numFmtId="165" formatCode="_ * #,##0_)\ &quot;$&quot;_ ;_ * \(#,##0\)\ &quot;$&quot;_ ;_ * &quot;-&quot;??_)\ &quot;$&quot;_ ;_ @_ "/>
    <numFmt numFmtId="166" formatCode="_-* #,##0\ &quot;$&quot;_-;_-* #,##0\ &quot;$&quot;\-;_-* &quot;-&quot;??\ &quot;$&quot;_-;_-@_-"/>
    <numFmt numFmtId="167" formatCode="#,##0\ &quot;$&quot;_-;[Red]#,##0\ &quot;$&quot;\-"/>
    <numFmt numFmtId="168" formatCode="0.0000"/>
    <numFmt numFmtId="169" formatCode="#,##0\ &quot;$&quot;"/>
    <numFmt numFmtId="171" formatCode="#,##0.00\ &quot;$&quot;"/>
    <numFmt numFmtId="172" formatCode="#,##0.000\ &quot;$&quot;"/>
    <numFmt numFmtId="180" formatCode="0.0000%"/>
  </numFmts>
  <fonts count="1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8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</cellStyleXfs>
  <cellXfs count="212">
    <xf numFmtId="0" fontId="0" fillId="0" borderId="0" xfId="0"/>
    <xf numFmtId="10" fontId="6" fillId="0" borderId="14" xfId="2" applyNumberFormat="1" applyFont="1" applyBorder="1"/>
    <xf numFmtId="10" fontId="6" fillId="0" borderId="12" xfId="2" applyNumberFormat="1" applyFont="1" applyBorder="1"/>
    <xf numFmtId="9" fontId="5" fillId="0" borderId="13" xfId="2" applyFont="1" applyBorder="1" applyAlignment="1">
      <alignment horizontal="center"/>
    </xf>
    <xf numFmtId="165" fontId="6" fillId="0" borderId="13" xfId="1" applyNumberFormat="1" applyFont="1" applyBorder="1" applyAlignment="1">
      <alignment horizontal="center"/>
    </xf>
    <xf numFmtId="0" fontId="2" fillId="0" borderId="0" xfId="283" applyFont="1" applyAlignment="1">
      <alignment vertical="center"/>
    </xf>
    <xf numFmtId="0" fontId="1" fillId="0" borderId="0" xfId="283"/>
    <xf numFmtId="0" fontId="2" fillId="0" borderId="0" xfId="283" applyFont="1" applyAlignment="1">
      <alignment horizontal="right"/>
    </xf>
    <xf numFmtId="49" fontId="7" fillId="0" borderId="0" xfId="283" applyNumberFormat="1" applyFont="1" applyAlignment="1">
      <alignment horizontal="right"/>
    </xf>
    <xf numFmtId="0" fontId="6" fillId="0" borderId="0" xfId="283" applyFont="1"/>
    <xf numFmtId="49" fontId="7" fillId="0" borderId="22" xfId="283" applyNumberFormat="1" applyFont="1" applyBorder="1"/>
    <xf numFmtId="0" fontId="6" fillId="0" borderId="22" xfId="283" applyFont="1" applyBorder="1"/>
    <xf numFmtId="49" fontId="6" fillId="0" borderId="22" xfId="283" applyNumberFormat="1" applyFont="1" applyBorder="1"/>
    <xf numFmtId="49" fontId="7" fillId="0" borderId="0" xfId="283" applyNumberFormat="1" applyFont="1"/>
    <xf numFmtId="49" fontId="6" fillId="0" borderId="0" xfId="283" applyNumberFormat="1" applyFont="1"/>
    <xf numFmtId="0" fontId="7" fillId="0" borderId="0" xfId="283" applyFont="1"/>
    <xf numFmtId="0" fontId="6" fillId="0" borderId="0" xfId="283" applyFont="1" applyAlignment="1">
      <alignment horizontal="center" vertical="center"/>
    </xf>
    <xf numFmtId="44" fontId="2" fillId="0" borderId="0" xfId="283" applyNumberFormat="1" applyFont="1" applyAlignment="1">
      <alignment horizontal="center" vertical="center"/>
    </xf>
    <xf numFmtId="0" fontId="1" fillId="0" borderId="0" xfId="283" applyAlignment="1">
      <alignment horizontal="center"/>
    </xf>
    <xf numFmtId="0" fontId="1" fillId="0" borderId="10" xfId="283" applyBorder="1"/>
    <xf numFmtId="0" fontId="6" fillId="0" borderId="15" xfId="283" applyFont="1" applyBorder="1"/>
    <xf numFmtId="0" fontId="6" fillId="0" borderId="11" xfId="283" applyFont="1" applyBorder="1"/>
    <xf numFmtId="0" fontId="5" fillId="0" borderId="0" xfId="283" applyFont="1"/>
    <xf numFmtId="0" fontId="5" fillId="0" borderId="9" xfId="283" applyFont="1" applyBorder="1" applyAlignment="1">
      <alignment horizontal="right"/>
    </xf>
    <xf numFmtId="0" fontId="1" fillId="0" borderId="15" xfId="283" applyBorder="1"/>
    <xf numFmtId="0" fontId="5" fillId="0" borderId="24" xfId="283" applyFont="1" applyBorder="1" applyAlignment="1">
      <alignment horizontal="right"/>
    </xf>
    <xf numFmtId="0" fontId="7" fillId="0" borderId="6" xfId="283" applyFont="1" applyBorder="1" applyAlignment="1">
      <alignment horizontal="center"/>
    </xf>
    <xf numFmtId="0" fontId="7" fillId="0" borderId="17" xfId="283" applyFont="1" applyBorder="1" applyAlignment="1">
      <alignment horizontal="center"/>
    </xf>
    <xf numFmtId="0" fontId="6" fillId="0" borderId="23" xfId="283" applyFont="1" applyBorder="1"/>
    <xf numFmtId="0" fontId="9" fillId="0" borderId="0" xfId="283" applyFont="1" applyAlignment="1">
      <alignment horizontal="left"/>
    </xf>
    <xf numFmtId="49" fontId="9" fillId="0" borderId="0" xfId="283" applyNumberFormat="1" applyFont="1" applyAlignment="1">
      <alignment horizontal="right"/>
    </xf>
    <xf numFmtId="0" fontId="9" fillId="0" borderId="0" xfId="283" applyFont="1"/>
    <xf numFmtId="0" fontId="5" fillId="0" borderId="0" xfId="283" applyFont="1" applyAlignment="1">
      <alignment horizontal="left"/>
    </xf>
    <xf numFmtId="0" fontId="2" fillId="0" borderId="0" xfId="283" applyFont="1" applyAlignment="1">
      <alignment horizontal="left"/>
    </xf>
    <xf numFmtId="0" fontId="12" fillId="0" borderId="0" xfId="283" applyFont="1" applyAlignment="1">
      <alignment vertical="center"/>
    </xf>
    <xf numFmtId="0" fontId="10" fillId="0" borderId="0" xfId="283" applyFont="1" applyAlignment="1">
      <alignment vertical="center"/>
    </xf>
    <xf numFmtId="0" fontId="7" fillId="0" borderId="0" xfId="283" applyFont="1" applyAlignment="1">
      <alignment horizontal="left"/>
    </xf>
    <xf numFmtId="0" fontId="10" fillId="0" borderId="0" xfId="283" applyFont="1"/>
    <xf numFmtId="0" fontId="11" fillId="0" borderId="0" xfId="283" applyFont="1"/>
    <xf numFmtId="0" fontId="7" fillId="0" borderId="0" xfId="283" applyFont="1" applyAlignment="1">
      <alignment horizontal="right"/>
    </xf>
    <xf numFmtId="0" fontId="10" fillId="0" borderId="0" xfId="283" applyFont="1" applyAlignment="1">
      <alignment horizontal="left"/>
    </xf>
    <xf numFmtId="0" fontId="10" fillId="0" borderId="0" xfId="283" applyFont="1" applyAlignment="1">
      <alignment horizontal="right"/>
    </xf>
    <xf numFmtId="0" fontId="9" fillId="0" borderId="22" xfId="283" applyFont="1" applyBorder="1"/>
    <xf numFmtId="49" fontId="9" fillId="0" borderId="22" xfId="283" applyNumberFormat="1" applyFont="1" applyBorder="1"/>
    <xf numFmtId="0" fontId="14" fillId="0" borderId="15" xfId="283" applyFont="1" applyBorder="1" applyAlignment="1">
      <alignment horizontal="left" vertical="center" indent="1"/>
    </xf>
    <xf numFmtId="0" fontId="2" fillId="0" borderId="0" xfId="283" applyFont="1"/>
    <xf numFmtId="0" fontId="5" fillId="0" borderId="0" xfId="283" applyFont="1" applyAlignment="1">
      <alignment horizontal="right"/>
    </xf>
    <xf numFmtId="0" fontId="8" fillId="0" borderId="0" xfId="283" applyFont="1" applyAlignment="1">
      <alignment vertical="center"/>
    </xf>
    <xf numFmtId="49" fontId="5" fillId="0" borderId="0" xfId="283" applyNumberFormat="1" applyFont="1" applyAlignment="1">
      <alignment horizontal="right"/>
    </xf>
    <xf numFmtId="49" fontId="17" fillId="0" borderId="0" xfId="283" applyNumberFormat="1" applyFont="1" applyAlignment="1">
      <alignment horizontal="left"/>
    </xf>
    <xf numFmtId="49" fontId="6" fillId="0" borderId="0" xfId="283" applyNumberFormat="1" applyFont="1" applyAlignment="1">
      <alignment horizontal="left"/>
    </xf>
    <xf numFmtId="0" fontId="6" fillId="0" borderId="0" xfId="283" applyFont="1" applyAlignment="1">
      <alignment horizontal="left"/>
    </xf>
    <xf numFmtId="0" fontId="2" fillId="0" borderId="9" xfId="283" applyFont="1" applyBorder="1" applyAlignment="1">
      <alignment vertical="center"/>
    </xf>
    <xf numFmtId="0" fontId="2" fillId="0" borderId="13" xfId="283" applyFont="1" applyBorder="1" applyAlignment="1">
      <alignment vertical="center"/>
    </xf>
    <xf numFmtId="0" fontId="2" fillId="0" borderId="25" xfId="283" applyFont="1" applyBorder="1" applyAlignment="1">
      <alignment horizontal="center" vertical="center"/>
    </xf>
    <xf numFmtId="0" fontId="2" fillId="0" borderId="13" xfId="283" applyFont="1" applyBorder="1" applyAlignment="1">
      <alignment horizontal="center" vertical="center"/>
    </xf>
    <xf numFmtId="0" fontId="2" fillId="0" borderId="10" xfId="283" applyFont="1" applyBorder="1" applyAlignment="1">
      <alignment horizontal="center" vertical="center"/>
    </xf>
    <xf numFmtId="0" fontId="2" fillId="3" borderId="9" xfId="283" applyFont="1" applyFill="1" applyBorder="1" applyAlignment="1">
      <alignment horizontal="left" vertical="center"/>
    </xf>
    <xf numFmtId="0" fontId="2" fillId="3" borderId="13" xfId="283" applyFont="1" applyFill="1" applyBorder="1" applyAlignment="1">
      <alignment vertical="center"/>
    </xf>
    <xf numFmtId="0" fontId="1" fillId="3" borderId="25" xfId="283" applyFill="1" applyBorder="1" applyAlignment="1">
      <alignment horizontal="center" vertical="center"/>
    </xf>
    <xf numFmtId="166" fontId="0" fillId="3" borderId="13" xfId="1" applyNumberFormat="1" applyFont="1" applyFill="1" applyBorder="1" applyAlignment="1">
      <alignment horizontal="center" vertical="center"/>
    </xf>
    <xf numFmtId="165" fontId="1" fillId="3" borderId="13" xfId="283" applyNumberFormat="1" applyFill="1" applyBorder="1" applyAlignment="1">
      <alignment vertical="center"/>
    </xf>
    <xf numFmtId="165" fontId="1" fillId="3" borderId="10" xfId="283" applyNumberFormat="1" applyFill="1" applyBorder="1" applyAlignment="1">
      <alignment vertical="center"/>
    </xf>
    <xf numFmtId="9" fontId="16" fillId="0" borderId="8" xfId="283" applyNumberFormat="1" applyFont="1" applyBorder="1" applyAlignment="1">
      <alignment horizontal="center" vertical="center"/>
    </xf>
    <xf numFmtId="165" fontId="16" fillId="0" borderId="0" xfId="1" applyNumberFormat="1" applyFont="1" applyFill="1" applyBorder="1" applyAlignment="1">
      <alignment horizontal="right" vertical="center"/>
    </xf>
    <xf numFmtId="165" fontId="1" fillId="3" borderId="0" xfId="283" applyNumberFormat="1" applyFill="1" applyAlignment="1">
      <alignment vertical="center"/>
    </xf>
    <xf numFmtId="165" fontId="1" fillId="3" borderId="14" xfId="283" applyNumberFormat="1" applyFill="1" applyBorder="1" applyAlignment="1">
      <alignment vertical="center"/>
    </xf>
    <xf numFmtId="0" fontId="16" fillId="0" borderId="8" xfId="283" applyFont="1" applyBorder="1" applyAlignment="1">
      <alignment horizontal="center" vertical="center"/>
    </xf>
    <xf numFmtId="0" fontId="13" fillId="0" borderId="15" xfId="283" applyFont="1" applyBorder="1" applyAlignment="1">
      <alignment horizontal="left" vertical="center" indent="1"/>
    </xf>
    <xf numFmtId="165" fontId="15" fillId="0" borderId="0" xfId="1" applyNumberFormat="1" applyFont="1" applyFill="1" applyBorder="1" applyAlignment="1">
      <alignment horizontal="right" vertical="center"/>
    </xf>
    <xf numFmtId="0" fontId="14" fillId="0" borderId="15" xfId="283" applyFont="1" applyBorder="1" applyAlignment="1">
      <alignment horizontal="left" vertical="center"/>
    </xf>
    <xf numFmtId="0" fontId="2" fillId="3" borderId="18" xfId="283" applyFont="1" applyFill="1" applyBorder="1" applyAlignment="1">
      <alignment horizontal="left" vertical="center"/>
    </xf>
    <xf numFmtId="0" fontId="2" fillId="3" borderId="1" xfId="283" applyFont="1" applyFill="1" applyBorder="1" applyAlignment="1">
      <alignment vertical="center"/>
    </xf>
    <xf numFmtId="0" fontId="1" fillId="3" borderId="1" xfId="283" applyFill="1" applyBorder="1" applyAlignment="1">
      <alignment horizontal="center" vertical="center"/>
    </xf>
    <xf numFmtId="1" fontId="1" fillId="3" borderId="1" xfId="283" applyNumberFormat="1" applyFill="1" applyBorder="1" applyAlignment="1">
      <alignment horizontal="center" vertical="center"/>
    </xf>
    <xf numFmtId="1" fontId="1" fillId="3" borderId="19" xfId="283" applyNumberFormat="1" applyFill="1" applyBorder="1" applyAlignment="1">
      <alignment horizontal="center" vertical="center"/>
    </xf>
    <xf numFmtId="0" fontId="14" fillId="0" borderId="15" xfId="283" applyFont="1" applyBorder="1" applyAlignment="1">
      <alignment horizontal="left" vertical="center" indent="2"/>
    </xf>
    <xf numFmtId="3" fontId="16" fillId="0" borderId="0" xfId="1" applyNumberFormat="1" applyFont="1" applyFill="1" applyBorder="1" applyAlignment="1">
      <alignment horizontal="right" vertical="center"/>
    </xf>
    <xf numFmtId="3" fontId="16" fillId="0" borderId="14" xfId="1" applyNumberFormat="1" applyFont="1" applyFill="1" applyBorder="1" applyAlignment="1">
      <alignment horizontal="right" vertical="center"/>
    </xf>
    <xf numFmtId="44" fontId="16" fillId="0" borderId="0" xfId="1" applyNumberFormat="1" applyFont="1" applyFill="1" applyBorder="1" applyAlignment="1">
      <alignment horizontal="center" vertical="center"/>
    </xf>
    <xf numFmtId="165" fontId="16" fillId="0" borderId="14" xfId="1" applyNumberFormat="1" applyFont="1" applyFill="1" applyBorder="1" applyAlignment="1">
      <alignment horizontal="right" vertical="center"/>
    </xf>
    <xf numFmtId="165" fontId="15" fillId="0" borderId="14" xfId="1" applyNumberFormat="1" applyFont="1" applyFill="1" applyBorder="1" applyAlignment="1">
      <alignment horizontal="right" vertical="center"/>
    </xf>
    <xf numFmtId="0" fontId="13" fillId="0" borderId="15" xfId="283" applyFont="1" applyBorder="1" applyAlignment="1">
      <alignment horizontal="left" vertical="center"/>
    </xf>
    <xf numFmtId="0" fontId="1" fillId="3" borderId="1" xfId="283" applyFill="1" applyBorder="1" applyAlignment="1">
      <alignment vertical="center"/>
    </xf>
    <xf numFmtId="167" fontId="1" fillId="3" borderId="7" xfId="283" applyNumberFormat="1" applyFill="1" applyBorder="1" applyAlignment="1">
      <alignment horizontal="center" vertical="center"/>
    </xf>
    <xf numFmtId="0" fontId="1" fillId="3" borderId="19" xfId="283" applyFill="1" applyBorder="1" applyAlignment="1">
      <alignment vertical="center"/>
    </xf>
    <xf numFmtId="165" fontId="16" fillId="3" borderId="0" xfId="1" applyNumberFormat="1" applyFont="1" applyFill="1" applyBorder="1" applyAlignment="1">
      <alignment horizontal="right" vertical="center"/>
    </xf>
    <xf numFmtId="0" fontId="2" fillId="3" borderId="18" xfId="283" applyFont="1" applyFill="1" applyBorder="1" applyAlignment="1">
      <alignment vertical="center"/>
    </xf>
    <xf numFmtId="9" fontId="0" fillId="3" borderId="7" xfId="2" applyFont="1" applyFill="1" applyBorder="1" applyAlignment="1">
      <alignment horizontal="center" vertical="center"/>
    </xf>
    <xf numFmtId="166" fontId="0" fillId="3" borderId="1" xfId="1" applyNumberFormat="1" applyFont="1" applyFill="1" applyBorder="1" applyAlignment="1">
      <alignment horizontal="center" vertical="center"/>
    </xf>
    <xf numFmtId="165" fontId="1" fillId="3" borderId="1" xfId="283" applyNumberFormat="1" applyFill="1" applyBorder="1" applyAlignment="1">
      <alignment vertical="center"/>
    </xf>
    <xf numFmtId="165" fontId="1" fillId="3" borderId="19" xfId="283" applyNumberFormat="1" applyFill="1" applyBorder="1" applyAlignment="1">
      <alignment vertical="center"/>
    </xf>
    <xf numFmtId="166" fontId="0" fillId="3" borderId="0" xfId="1" applyNumberFormat="1" applyFont="1" applyFill="1" applyBorder="1" applyAlignment="1">
      <alignment horizontal="center" vertical="center"/>
    </xf>
    <xf numFmtId="165" fontId="15" fillId="3" borderId="0" xfId="1" applyNumberFormat="1" applyFont="1" applyFill="1" applyBorder="1" applyAlignment="1">
      <alignment horizontal="right" vertical="center"/>
    </xf>
    <xf numFmtId="0" fontId="1" fillId="0" borderId="4" xfId="283" applyBorder="1"/>
    <xf numFmtId="0" fontId="2" fillId="0" borderId="18" xfId="283" applyFont="1" applyBorder="1" applyAlignment="1">
      <alignment vertical="center"/>
    </xf>
    <xf numFmtId="0" fontId="2" fillId="0" borderId="1" xfId="283" applyFont="1" applyBorder="1" applyAlignment="1">
      <alignment vertical="center"/>
    </xf>
    <xf numFmtId="0" fontId="16" fillId="0" borderId="7" xfId="283" applyFont="1" applyBorder="1" applyAlignment="1">
      <alignment horizontal="center" vertical="center"/>
    </xf>
    <xf numFmtId="165" fontId="15" fillId="0" borderId="26" xfId="1" applyNumberFormat="1" applyFont="1" applyFill="1" applyBorder="1" applyAlignment="1">
      <alignment horizontal="right" vertical="center"/>
    </xf>
    <xf numFmtId="165" fontId="15" fillId="0" borderId="1" xfId="1" applyNumberFormat="1" applyFont="1" applyFill="1" applyBorder="1" applyAlignment="1">
      <alignment horizontal="right" vertical="center"/>
    </xf>
    <xf numFmtId="165" fontId="15" fillId="0" borderId="19" xfId="1" applyNumberFormat="1" applyFont="1" applyFill="1" applyBorder="1" applyAlignment="1">
      <alignment horizontal="right" vertical="center"/>
    </xf>
    <xf numFmtId="0" fontId="2" fillId="0" borderId="15" xfId="283" applyFont="1" applyBorder="1" applyAlignment="1">
      <alignment vertical="center"/>
    </xf>
    <xf numFmtId="168" fontId="16" fillId="0" borderId="2" xfId="283" applyNumberFormat="1" applyFont="1" applyBorder="1" applyAlignment="1">
      <alignment horizontal="center" vertical="center"/>
    </xf>
    <xf numFmtId="168" fontId="16" fillId="0" borderId="14" xfId="283" applyNumberFormat="1" applyFont="1" applyBorder="1" applyAlignment="1">
      <alignment horizontal="center" vertical="center"/>
    </xf>
    <xf numFmtId="0" fontId="2" fillId="0" borderId="11" xfId="283" applyFont="1" applyBorder="1" applyAlignment="1">
      <alignment vertical="center"/>
    </xf>
    <xf numFmtId="0" fontId="2" fillId="0" borderId="16" xfId="283" applyFont="1" applyBorder="1" applyAlignment="1">
      <alignment vertical="center"/>
    </xf>
    <xf numFmtId="0" fontId="16" fillId="0" borderId="20" xfId="283" applyFont="1" applyBorder="1" applyAlignment="1">
      <alignment horizontal="center" vertical="center"/>
    </xf>
    <xf numFmtId="165" fontId="15" fillId="0" borderId="21" xfId="1" applyNumberFormat="1" applyFont="1" applyFill="1" applyBorder="1" applyAlignment="1">
      <alignment horizontal="right" vertical="center"/>
    </xf>
    <xf numFmtId="165" fontId="15" fillId="0" borderId="16" xfId="1" applyNumberFormat="1" applyFont="1" applyFill="1" applyBorder="1" applyAlignment="1">
      <alignment horizontal="right" vertical="center"/>
    </xf>
    <xf numFmtId="165" fontId="15" fillId="0" borderId="12" xfId="1" applyNumberFormat="1" applyFont="1" applyFill="1" applyBorder="1" applyAlignment="1">
      <alignment horizontal="right" vertical="center"/>
    </xf>
    <xf numFmtId="0" fontId="1" fillId="0" borderId="5" xfId="283" applyBorder="1"/>
    <xf numFmtId="10" fontId="1" fillId="0" borderId="0" xfId="283" applyNumberFormat="1"/>
    <xf numFmtId="165" fontId="1" fillId="0" borderId="0" xfId="283" applyNumberFormat="1"/>
    <xf numFmtId="0" fontId="1" fillId="0" borderId="4" xfId="283" applyBorder="1" applyAlignment="1">
      <alignment horizontal="center"/>
    </xf>
    <xf numFmtId="0" fontId="10" fillId="0" borderId="9" xfId="283" applyFont="1" applyBorder="1" applyAlignment="1">
      <alignment horizontal="left" indent="1"/>
    </xf>
    <xf numFmtId="0" fontId="6" fillId="0" borderId="13" xfId="283" applyFont="1" applyBorder="1" applyAlignment="1">
      <alignment horizontal="center"/>
    </xf>
    <xf numFmtId="0" fontId="6" fillId="0" borderId="13" xfId="283" applyFont="1" applyBorder="1"/>
    <xf numFmtId="0" fontId="10" fillId="0" borderId="13" xfId="283" applyFont="1" applyBorder="1" applyAlignment="1">
      <alignment horizontal="left" indent="1"/>
    </xf>
    <xf numFmtId="0" fontId="10" fillId="0" borderId="15" xfId="283" applyFont="1" applyBorder="1" applyAlignment="1">
      <alignment horizontal="left" indent="1"/>
    </xf>
    <xf numFmtId="0" fontId="6" fillId="0" borderId="0" xfId="283" applyFont="1" applyAlignment="1">
      <alignment horizontal="center"/>
    </xf>
    <xf numFmtId="0" fontId="1" fillId="0" borderId="14" xfId="283" applyBorder="1"/>
    <xf numFmtId="0" fontId="6" fillId="0" borderId="15" xfId="283" applyFont="1" applyBorder="1" applyAlignment="1">
      <alignment horizontal="left" indent="1"/>
    </xf>
    <xf numFmtId="0" fontId="5" fillId="0" borderId="0" xfId="283" applyFont="1" applyAlignment="1">
      <alignment horizontal="center"/>
    </xf>
    <xf numFmtId="0" fontId="10" fillId="0" borderId="0" xfId="283" applyFont="1" applyAlignment="1">
      <alignment horizontal="center"/>
    </xf>
    <xf numFmtId="0" fontId="10" fillId="0" borderId="14" xfId="283" applyFont="1" applyBorder="1" applyAlignment="1">
      <alignment horizontal="center"/>
    </xf>
    <xf numFmtId="0" fontId="6" fillId="0" borderId="16" xfId="283" applyFont="1" applyBorder="1"/>
    <xf numFmtId="0" fontId="1" fillId="0" borderId="12" xfId="283" applyBorder="1"/>
    <xf numFmtId="165" fontId="6" fillId="0" borderId="0" xfId="1" applyNumberFormat="1" applyFont="1" applyBorder="1"/>
    <xf numFmtId="165" fontId="6" fillId="0" borderId="16" xfId="1" applyNumberFormat="1" applyFont="1" applyBorder="1"/>
    <xf numFmtId="0" fontId="14" fillId="0" borderId="15" xfId="0" applyFont="1" applyBorder="1" applyAlignment="1">
      <alignment horizontal="left" vertical="center" indent="1"/>
    </xf>
    <xf numFmtId="0" fontId="5" fillId="3" borderId="0" xfId="283" applyFont="1" applyFill="1" applyAlignment="1">
      <alignment horizontal="justify" vertical="top" wrapText="1"/>
    </xf>
    <xf numFmtId="0" fontId="5" fillId="5" borderId="9" xfId="283" applyFont="1" applyFill="1" applyBorder="1" applyAlignment="1">
      <alignment horizontal="center" vertical="center"/>
    </xf>
    <xf numFmtId="0" fontId="5" fillId="5" borderId="13" xfId="283" applyFont="1" applyFill="1" applyBorder="1" applyAlignment="1">
      <alignment horizontal="center" vertical="center"/>
    </xf>
    <xf numFmtId="0" fontId="5" fillId="5" borderId="10" xfId="283" applyFont="1" applyFill="1" applyBorder="1" applyAlignment="1">
      <alignment horizontal="center" vertical="center"/>
    </xf>
    <xf numFmtId="0" fontId="5" fillId="5" borderId="15" xfId="283" applyFont="1" applyFill="1" applyBorder="1" applyAlignment="1">
      <alignment horizontal="center" vertical="center"/>
    </xf>
    <xf numFmtId="0" fontId="5" fillId="5" borderId="0" xfId="283" applyFont="1" applyFill="1" applyAlignment="1">
      <alignment horizontal="center" vertical="center"/>
    </xf>
    <xf numFmtId="0" fontId="5" fillId="5" borderId="14" xfId="283" applyFont="1" applyFill="1" applyBorder="1" applyAlignment="1">
      <alignment horizontal="center" vertical="center"/>
    </xf>
    <xf numFmtId="0" fontId="7" fillId="3" borderId="15" xfId="283" applyFont="1" applyFill="1" applyBorder="1" applyAlignment="1">
      <alignment horizontal="center" vertical="center"/>
    </xf>
    <xf numFmtId="0" fontId="7" fillId="3" borderId="14" xfId="283" applyFont="1" applyFill="1" applyBorder="1" applyAlignment="1">
      <alignment horizontal="center" vertical="center"/>
    </xf>
    <xf numFmtId="0" fontId="7" fillId="3" borderId="11" xfId="283" applyFont="1" applyFill="1" applyBorder="1" applyAlignment="1">
      <alignment horizontal="center" vertical="center"/>
    </xf>
    <xf numFmtId="0" fontId="7" fillId="3" borderId="12" xfId="283" applyFont="1" applyFill="1" applyBorder="1" applyAlignment="1">
      <alignment horizontal="center" vertical="center"/>
    </xf>
    <xf numFmtId="10" fontId="7" fillId="2" borderId="15" xfId="2" applyNumberFormat="1" applyFont="1" applyFill="1" applyBorder="1" applyAlignment="1">
      <alignment horizontal="center" vertical="center"/>
    </xf>
    <xf numFmtId="10" fontId="7" fillId="2" borderId="14" xfId="2" applyNumberFormat="1" applyFont="1" applyFill="1" applyBorder="1" applyAlignment="1">
      <alignment horizontal="center" vertical="center"/>
    </xf>
    <xf numFmtId="10" fontId="7" fillId="2" borderId="11" xfId="2" applyNumberFormat="1" applyFont="1" applyFill="1" applyBorder="1" applyAlignment="1">
      <alignment horizontal="center" vertical="center"/>
    </xf>
    <xf numFmtId="10" fontId="7" fillId="2" borderId="12" xfId="2" applyNumberFormat="1" applyFont="1" applyFill="1" applyBorder="1" applyAlignment="1">
      <alignment horizontal="center" vertical="center"/>
    </xf>
    <xf numFmtId="0" fontId="7" fillId="3" borderId="9" xfId="283" applyFont="1" applyFill="1" applyBorder="1" applyAlignment="1">
      <alignment horizontal="center" vertical="center"/>
    </xf>
    <xf numFmtId="0" fontId="7" fillId="3" borderId="10" xfId="283" applyFont="1" applyFill="1" applyBorder="1" applyAlignment="1">
      <alignment horizontal="center" vertical="center"/>
    </xf>
    <xf numFmtId="0" fontId="12" fillId="0" borderId="0" xfId="283" applyFont="1" applyAlignment="1">
      <alignment horizontal="right" vertical="center"/>
    </xf>
    <xf numFmtId="0" fontId="7" fillId="0" borderId="0" xfId="283" applyFont="1" applyAlignment="1">
      <alignment horizontal="center" vertical="center"/>
    </xf>
    <xf numFmtId="0" fontId="7" fillId="5" borderId="9" xfId="283" applyFont="1" applyFill="1" applyBorder="1" applyAlignment="1">
      <alignment horizontal="center" vertical="center"/>
    </xf>
    <xf numFmtId="0" fontId="7" fillId="5" borderId="13" xfId="283" applyFont="1" applyFill="1" applyBorder="1" applyAlignment="1">
      <alignment horizontal="center" vertical="center"/>
    </xf>
    <xf numFmtId="0" fontId="7" fillId="5" borderId="10" xfId="283" applyFont="1" applyFill="1" applyBorder="1" applyAlignment="1">
      <alignment horizontal="center" vertical="center"/>
    </xf>
    <xf numFmtId="0" fontId="7" fillId="5" borderId="15" xfId="283" applyFont="1" applyFill="1" applyBorder="1" applyAlignment="1">
      <alignment horizontal="center" vertical="center"/>
    </xf>
    <xf numFmtId="0" fontId="7" fillId="5" borderId="0" xfId="283" applyFont="1" applyFill="1" applyAlignment="1">
      <alignment horizontal="center" vertical="center"/>
    </xf>
    <xf numFmtId="0" fontId="7" fillId="5" borderId="14" xfId="283" applyFont="1" applyFill="1" applyBorder="1" applyAlignment="1">
      <alignment horizontal="center" vertical="center"/>
    </xf>
    <xf numFmtId="0" fontId="7" fillId="3" borderId="13" xfId="283" applyFont="1" applyFill="1" applyBorder="1" applyAlignment="1">
      <alignment horizontal="center" vertical="center"/>
    </xf>
    <xf numFmtId="0" fontId="7" fillId="3" borderId="16" xfId="283" applyFont="1" applyFill="1" applyBorder="1" applyAlignment="1">
      <alignment horizontal="center" vertical="center"/>
    </xf>
    <xf numFmtId="10" fontId="7" fillId="2" borderId="16" xfId="2" applyNumberFormat="1" applyFont="1" applyFill="1" applyBorder="1" applyAlignment="1">
      <alignment horizontal="center" vertical="center"/>
    </xf>
    <xf numFmtId="0" fontId="2" fillId="0" borderId="2" xfId="283" applyFont="1" applyBorder="1" applyAlignment="1">
      <alignment horizontal="left"/>
    </xf>
    <xf numFmtId="0" fontId="2" fillId="0" borderId="0" xfId="283" applyFont="1" applyAlignment="1">
      <alignment horizontal="left"/>
    </xf>
    <xf numFmtId="0" fontId="8" fillId="4" borderId="9" xfId="283" applyFont="1" applyFill="1" applyBorder="1" applyAlignment="1">
      <alignment horizontal="center" vertical="center"/>
    </xf>
    <xf numFmtId="0" fontId="8" fillId="4" borderId="10" xfId="283" applyFont="1" applyFill="1" applyBorder="1" applyAlignment="1">
      <alignment horizontal="center" vertical="center"/>
    </xf>
    <xf numFmtId="0" fontId="8" fillId="4" borderId="11" xfId="283" applyFont="1" applyFill="1" applyBorder="1" applyAlignment="1">
      <alignment horizontal="center" vertical="center"/>
    </xf>
    <xf numFmtId="0" fontId="8" fillId="4" borderId="12" xfId="283" applyFont="1" applyFill="1" applyBorder="1" applyAlignment="1">
      <alignment horizontal="center" vertical="center"/>
    </xf>
    <xf numFmtId="0" fontId="2" fillId="0" borderId="3" xfId="283" applyFont="1" applyBorder="1" applyAlignment="1">
      <alignment horizontal="left"/>
    </xf>
    <xf numFmtId="0" fontId="2" fillId="0" borderId="4" xfId="283" applyFont="1" applyBorder="1" applyAlignment="1">
      <alignment horizontal="left"/>
    </xf>
    <xf numFmtId="0" fontId="2" fillId="0" borderId="0" xfId="283" applyFont="1"/>
    <xf numFmtId="0" fontId="2" fillId="3" borderId="0" xfId="283" applyFont="1" applyFill="1" applyAlignment="1">
      <alignment horizontal="left"/>
    </xf>
    <xf numFmtId="0" fontId="2" fillId="5" borderId="9" xfId="283" applyFont="1" applyFill="1" applyBorder="1" applyAlignment="1">
      <alignment horizontal="center" vertical="center"/>
    </xf>
    <xf numFmtId="0" fontId="2" fillId="5" borderId="13" xfId="283" applyFont="1" applyFill="1" applyBorder="1" applyAlignment="1">
      <alignment horizontal="center" vertical="center"/>
    </xf>
    <xf numFmtId="0" fontId="2" fillId="5" borderId="10" xfId="283" applyFont="1" applyFill="1" applyBorder="1" applyAlignment="1">
      <alignment horizontal="center" vertical="center"/>
    </xf>
    <xf numFmtId="0" fontId="2" fillId="5" borderId="11" xfId="283" applyFont="1" applyFill="1" applyBorder="1" applyAlignment="1">
      <alignment horizontal="center" vertical="center"/>
    </xf>
    <xf numFmtId="0" fontId="2" fillId="5" borderId="16" xfId="283" applyFont="1" applyFill="1" applyBorder="1" applyAlignment="1">
      <alignment horizontal="center" vertical="center"/>
    </xf>
    <xf numFmtId="0" fontId="2" fillId="5" borderId="12" xfId="283" applyFont="1" applyFill="1" applyBorder="1" applyAlignment="1">
      <alignment horizontal="center" vertical="center"/>
    </xf>
    <xf numFmtId="0" fontId="2" fillId="0" borderId="2" xfId="283" applyFont="1" applyBorder="1" applyAlignment="1">
      <alignment horizontal="right" indent="1"/>
    </xf>
    <xf numFmtId="0" fontId="2" fillId="0" borderId="0" xfId="283" applyFont="1" applyAlignment="1">
      <alignment horizontal="right" indent="1"/>
    </xf>
    <xf numFmtId="0" fontId="8" fillId="0" borderId="0" xfId="283" applyFont="1" applyAlignment="1">
      <alignment horizontal="right" vertical="center"/>
    </xf>
    <xf numFmtId="0" fontId="5" fillId="0" borderId="0" xfId="283" applyFont="1" applyAlignment="1">
      <alignment horizontal="center" vertical="center"/>
    </xf>
    <xf numFmtId="0" fontId="5" fillId="3" borderId="0" xfId="283" applyFont="1" applyFill="1" applyAlignment="1">
      <alignment horizontal="left"/>
    </xf>
    <xf numFmtId="0" fontId="7" fillId="5" borderId="11" xfId="283" applyFont="1" applyFill="1" applyBorder="1" applyAlignment="1">
      <alignment horizontal="center" vertical="center"/>
    </xf>
    <xf numFmtId="0" fontId="7" fillId="5" borderId="16" xfId="283" applyFont="1" applyFill="1" applyBorder="1" applyAlignment="1">
      <alignment horizontal="center" vertical="center"/>
    </xf>
    <xf numFmtId="0" fontId="7" fillId="5" borderId="12" xfId="283" applyFont="1" applyFill="1" applyBorder="1" applyAlignment="1">
      <alignment horizontal="center" vertical="center"/>
    </xf>
    <xf numFmtId="0" fontId="2" fillId="0" borderId="11" xfId="283" applyFont="1" applyBorder="1" applyAlignment="1">
      <alignment horizontal="center" vertical="center"/>
    </xf>
    <xf numFmtId="0" fontId="2" fillId="0" borderId="16" xfId="283" applyFont="1" applyBorder="1" applyAlignment="1">
      <alignment horizontal="center" vertical="center"/>
    </xf>
    <xf numFmtId="169" fontId="2" fillId="2" borderId="21" xfId="283" applyNumberFormat="1" applyFont="1" applyFill="1" applyBorder="1" applyAlignment="1">
      <alignment horizontal="center" vertical="center"/>
    </xf>
    <xf numFmtId="169" fontId="2" fillId="2" borderId="12" xfId="283" applyNumberFormat="1" applyFont="1" applyFill="1" applyBorder="1" applyAlignment="1">
      <alignment horizontal="center" vertical="center"/>
    </xf>
    <xf numFmtId="171" fontId="16" fillId="0" borderId="8" xfId="283" applyNumberFormat="1" applyFont="1" applyBorder="1" applyAlignment="1">
      <alignment horizontal="center" vertical="center"/>
    </xf>
    <xf numFmtId="171" fontId="1" fillId="3" borderId="7" xfId="283" applyNumberFormat="1" applyFill="1" applyBorder="1" applyAlignment="1">
      <alignment horizontal="center" vertical="center"/>
    </xf>
    <xf numFmtId="171" fontId="1" fillId="0" borderId="0" xfId="283" applyNumberFormat="1"/>
    <xf numFmtId="172" fontId="1" fillId="0" borderId="0" xfId="283" applyNumberFormat="1"/>
    <xf numFmtId="171" fontId="16" fillId="0" borderId="2" xfId="283" applyNumberFormat="1" applyFont="1" applyBorder="1" applyAlignment="1">
      <alignment horizontal="center" vertical="center"/>
    </xf>
    <xf numFmtId="3" fontId="16" fillId="0" borderId="8" xfId="1" applyNumberFormat="1" applyFont="1" applyFill="1" applyBorder="1" applyAlignment="1">
      <alignment horizontal="center" vertical="center"/>
    </xf>
    <xf numFmtId="44" fontId="16" fillId="0" borderId="14" xfId="1" applyNumberFormat="1" applyFont="1" applyFill="1" applyBorder="1" applyAlignment="1">
      <alignment horizontal="right" vertical="center"/>
    </xf>
    <xf numFmtId="168" fontId="16" fillId="0" borderId="0" xfId="283" applyNumberFormat="1" applyFont="1" applyBorder="1" applyAlignment="1">
      <alignment horizontal="center" vertical="center"/>
    </xf>
    <xf numFmtId="9" fontId="1" fillId="0" borderId="0" xfId="283" applyNumberFormat="1"/>
    <xf numFmtId="171" fontId="1" fillId="0" borderId="0" xfId="283" applyNumberFormat="1" applyAlignment="1">
      <alignment horizontal="center"/>
    </xf>
    <xf numFmtId="9" fontId="7" fillId="0" borderId="0" xfId="2" applyFont="1" applyAlignment="1">
      <alignment horizontal="center" vertical="center"/>
    </xf>
    <xf numFmtId="9" fontId="7" fillId="0" borderId="13" xfId="2" applyFont="1" applyBorder="1" applyAlignment="1">
      <alignment horizontal="center" vertical="center"/>
    </xf>
    <xf numFmtId="171" fontId="6" fillId="0" borderId="0" xfId="283" applyNumberFormat="1" applyFont="1"/>
    <xf numFmtId="171" fontId="6" fillId="0" borderId="0" xfId="283" applyNumberFormat="1" applyFont="1" applyAlignment="1">
      <alignment horizontal="center"/>
    </xf>
    <xf numFmtId="171" fontId="6" fillId="0" borderId="14" xfId="283" applyNumberFormat="1" applyFont="1" applyBorder="1" applyAlignment="1">
      <alignment horizontal="center"/>
    </xf>
    <xf numFmtId="0" fontId="1" fillId="0" borderId="2" xfId="283" applyBorder="1"/>
    <xf numFmtId="8" fontId="6" fillId="0" borderId="0" xfId="283" applyNumberFormat="1" applyFont="1"/>
    <xf numFmtId="8" fontId="7" fillId="2" borderId="0" xfId="2" applyNumberFormat="1" applyFont="1" applyFill="1" applyBorder="1" applyAlignment="1">
      <alignment horizontal="center" vertical="center"/>
    </xf>
    <xf numFmtId="0" fontId="5" fillId="2" borderId="9" xfId="283" applyFont="1" applyFill="1" applyBorder="1" applyAlignment="1">
      <alignment horizontal="center" vertical="center"/>
    </xf>
    <xf numFmtId="0" fontId="5" fillId="2" borderId="10" xfId="283" applyFont="1" applyFill="1" applyBorder="1" applyAlignment="1">
      <alignment horizontal="center" vertical="center"/>
    </xf>
    <xf numFmtId="0" fontId="5" fillId="2" borderId="11" xfId="283" applyFont="1" applyFill="1" applyBorder="1" applyAlignment="1">
      <alignment horizontal="center" vertical="center"/>
    </xf>
    <xf numFmtId="0" fontId="5" fillId="2" borderId="12" xfId="283" applyFont="1" applyFill="1" applyBorder="1" applyAlignment="1">
      <alignment horizontal="center" vertical="center"/>
    </xf>
    <xf numFmtId="180" fontId="5" fillId="2" borderId="9" xfId="2" applyNumberFormat="1" applyFont="1" applyFill="1" applyBorder="1" applyAlignment="1">
      <alignment horizontal="center" vertical="center"/>
    </xf>
    <xf numFmtId="180" fontId="5" fillId="2" borderId="10" xfId="2" applyNumberFormat="1" applyFont="1" applyFill="1" applyBorder="1" applyAlignment="1">
      <alignment horizontal="center" vertical="center"/>
    </xf>
    <xf numFmtId="180" fontId="5" fillId="2" borderId="11" xfId="2" applyNumberFormat="1" applyFont="1" applyFill="1" applyBorder="1" applyAlignment="1">
      <alignment horizontal="center" vertical="center"/>
    </xf>
    <xf numFmtId="180" fontId="5" fillId="2" borderId="12" xfId="2" applyNumberFormat="1" applyFont="1" applyFill="1" applyBorder="1" applyAlignment="1">
      <alignment horizontal="center" vertical="center"/>
    </xf>
  </cellXfs>
  <cellStyles count="284">
    <cellStyle name="Lien hypertexte" xfId="69" builtinId="8" hidden="1"/>
    <cellStyle name="Lien hypertexte" xfId="73" builtinId="8" hidden="1"/>
    <cellStyle name="Lien hypertexte" xfId="77" builtinId="8" hidden="1"/>
    <cellStyle name="Lien hypertexte" xfId="81" builtinId="8" hidden="1"/>
    <cellStyle name="Lien hypertexte" xfId="85" builtinId="8" hidden="1"/>
    <cellStyle name="Lien hypertexte" xfId="89" builtinId="8" hidden="1"/>
    <cellStyle name="Lien hypertexte" xfId="93" builtinId="8" hidden="1"/>
    <cellStyle name="Lien hypertexte" xfId="97" builtinId="8" hidden="1"/>
    <cellStyle name="Lien hypertexte" xfId="101" builtinId="8" hidden="1"/>
    <cellStyle name="Lien hypertexte" xfId="105" builtinId="8" hidden="1"/>
    <cellStyle name="Lien hypertexte" xfId="109" builtinId="8" hidden="1"/>
    <cellStyle name="Lien hypertexte" xfId="113" builtinId="8" hidden="1"/>
    <cellStyle name="Lien hypertexte" xfId="117" builtinId="8" hidden="1"/>
    <cellStyle name="Lien hypertexte" xfId="121" builtinId="8" hidden="1"/>
    <cellStyle name="Lien hypertexte" xfId="125" builtinId="8" hidden="1"/>
    <cellStyle name="Lien hypertexte" xfId="129" builtinId="8" hidden="1"/>
    <cellStyle name="Lien hypertexte" xfId="133" builtinId="8" hidden="1"/>
    <cellStyle name="Lien hypertexte" xfId="137" builtinId="8" hidden="1"/>
    <cellStyle name="Lien hypertexte" xfId="141" builtinId="8" hidden="1"/>
    <cellStyle name="Lien hypertexte" xfId="145" builtinId="8" hidden="1"/>
    <cellStyle name="Lien hypertexte" xfId="149" builtinId="8" hidden="1"/>
    <cellStyle name="Lien hypertexte" xfId="153" builtinId="8" hidden="1"/>
    <cellStyle name="Lien hypertexte" xfId="157" builtinId="8" hidden="1"/>
    <cellStyle name="Lien hypertexte" xfId="161" builtinId="8" hidden="1"/>
    <cellStyle name="Lien hypertexte" xfId="165" builtinId="8" hidden="1"/>
    <cellStyle name="Lien hypertexte" xfId="169" builtinId="8" hidden="1"/>
    <cellStyle name="Lien hypertexte" xfId="173" builtinId="8" hidden="1"/>
    <cellStyle name="Lien hypertexte" xfId="177" builtinId="8" hidden="1"/>
    <cellStyle name="Lien hypertexte" xfId="181" builtinId="8" hidden="1"/>
    <cellStyle name="Lien hypertexte" xfId="185" builtinId="8" hidden="1"/>
    <cellStyle name="Lien hypertexte" xfId="189" builtinId="8" hidden="1"/>
    <cellStyle name="Lien hypertexte" xfId="193" builtinId="8" hidden="1"/>
    <cellStyle name="Lien hypertexte" xfId="197" builtinId="8" hidden="1"/>
    <cellStyle name="Lien hypertexte" xfId="201" builtinId="8" hidden="1"/>
    <cellStyle name="Lien hypertexte" xfId="205" builtinId="8" hidden="1"/>
    <cellStyle name="Lien hypertexte" xfId="209" builtinId="8" hidden="1"/>
    <cellStyle name="Lien hypertexte" xfId="213" builtinId="8" hidden="1"/>
    <cellStyle name="Lien hypertexte" xfId="217" builtinId="8" hidden="1"/>
    <cellStyle name="Lien hypertexte" xfId="221" builtinId="8" hidden="1"/>
    <cellStyle name="Lien hypertexte" xfId="225" builtinId="8" hidden="1"/>
    <cellStyle name="Lien hypertexte" xfId="229" builtinId="8" hidden="1"/>
    <cellStyle name="Lien hypertexte" xfId="233" builtinId="8" hidden="1"/>
    <cellStyle name="Lien hypertexte" xfId="237" builtinId="8" hidden="1"/>
    <cellStyle name="Lien hypertexte" xfId="241" builtinId="8" hidden="1"/>
    <cellStyle name="Lien hypertexte" xfId="245" builtinId="8" hidden="1"/>
    <cellStyle name="Lien hypertexte" xfId="249" builtinId="8" hidden="1"/>
    <cellStyle name="Lien hypertexte" xfId="253" builtinId="8" hidden="1"/>
    <cellStyle name="Lien hypertexte" xfId="257" builtinId="8" hidden="1"/>
    <cellStyle name="Lien hypertexte" xfId="261" builtinId="8" hidden="1"/>
    <cellStyle name="Lien hypertexte" xfId="265" builtinId="8" hidden="1"/>
    <cellStyle name="Lien hypertexte" xfId="269" builtinId="8" hidden="1"/>
    <cellStyle name="Lien hypertexte" xfId="273" builtinId="8" hidden="1"/>
    <cellStyle name="Lien hypertexte" xfId="277" builtinId="8" hidden="1"/>
    <cellStyle name="Lien hypertexte" xfId="281" builtinId="8" hidden="1"/>
    <cellStyle name="Lien hypertexte" xfId="279" builtinId="8" hidden="1"/>
    <cellStyle name="Lien hypertexte" xfId="275" builtinId="8" hidden="1"/>
    <cellStyle name="Lien hypertexte" xfId="271" builtinId="8" hidden="1"/>
    <cellStyle name="Lien hypertexte" xfId="267" builtinId="8" hidden="1"/>
    <cellStyle name="Lien hypertexte" xfId="263" builtinId="8" hidden="1"/>
    <cellStyle name="Lien hypertexte" xfId="259" builtinId="8" hidden="1"/>
    <cellStyle name="Lien hypertexte" xfId="255" builtinId="8" hidden="1"/>
    <cellStyle name="Lien hypertexte" xfId="251" builtinId="8" hidden="1"/>
    <cellStyle name="Lien hypertexte" xfId="247" builtinId="8" hidden="1"/>
    <cellStyle name="Lien hypertexte" xfId="243" builtinId="8" hidden="1"/>
    <cellStyle name="Lien hypertexte" xfId="239" builtinId="8" hidden="1"/>
    <cellStyle name="Lien hypertexte" xfId="235" builtinId="8" hidden="1"/>
    <cellStyle name="Lien hypertexte" xfId="231" builtinId="8" hidden="1"/>
    <cellStyle name="Lien hypertexte" xfId="227" builtinId="8" hidden="1"/>
    <cellStyle name="Lien hypertexte" xfId="223" builtinId="8" hidden="1"/>
    <cellStyle name="Lien hypertexte" xfId="219" builtinId="8" hidden="1"/>
    <cellStyle name="Lien hypertexte" xfId="215" builtinId="8" hidden="1"/>
    <cellStyle name="Lien hypertexte" xfId="211" builtinId="8" hidden="1"/>
    <cellStyle name="Lien hypertexte" xfId="207" builtinId="8" hidden="1"/>
    <cellStyle name="Lien hypertexte" xfId="203" builtinId="8" hidden="1"/>
    <cellStyle name="Lien hypertexte" xfId="199" builtinId="8" hidden="1"/>
    <cellStyle name="Lien hypertexte" xfId="195" builtinId="8" hidden="1"/>
    <cellStyle name="Lien hypertexte" xfId="191" builtinId="8" hidden="1"/>
    <cellStyle name="Lien hypertexte" xfId="187" builtinId="8" hidden="1"/>
    <cellStyle name="Lien hypertexte" xfId="183" builtinId="8" hidden="1"/>
    <cellStyle name="Lien hypertexte" xfId="179" builtinId="8" hidden="1"/>
    <cellStyle name="Lien hypertexte" xfId="175" builtinId="8" hidden="1"/>
    <cellStyle name="Lien hypertexte" xfId="171" builtinId="8" hidden="1"/>
    <cellStyle name="Lien hypertexte" xfId="167" builtinId="8" hidden="1"/>
    <cellStyle name="Lien hypertexte" xfId="163" builtinId="8" hidden="1"/>
    <cellStyle name="Lien hypertexte" xfId="159" builtinId="8" hidden="1"/>
    <cellStyle name="Lien hypertexte" xfId="155" builtinId="8" hidden="1"/>
    <cellStyle name="Lien hypertexte" xfId="151" builtinId="8" hidden="1"/>
    <cellStyle name="Lien hypertexte" xfId="147" builtinId="8" hidden="1"/>
    <cellStyle name="Lien hypertexte" xfId="143" builtinId="8" hidden="1"/>
    <cellStyle name="Lien hypertexte" xfId="139" builtinId="8" hidden="1"/>
    <cellStyle name="Lien hypertexte" xfId="135" builtinId="8" hidden="1"/>
    <cellStyle name="Lien hypertexte" xfId="131" builtinId="8" hidden="1"/>
    <cellStyle name="Lien hypertexte" xfId="127" builtinId="8" hidden="1"/>
    <cellStyle name="Lien hypertexte" xfId="123" builtinId="8" hidden="1"/>
    <cellStyle name="Lien hypertexte" xfId="119" builtinId="8" hidden="1"/>
    <cellStyle name="Lien hypertexte" xfId="115" builtinId="8" hidden="1"/>
    <cellStyle name="Lien hypertexte" xfId="111" builtinId="8" hidden="1"/>
    <cellStyle name="Lien hypertexte" xfId="107" builtinId="8" hidden="1"/>
    <cellStyle name="Lien hypertexte" xfId="103" builtinId="8" hidden="1"/>
    <cellStyle name="Lien hypertexte" xfId="99" builtinId="8" hidden="1"/>
    <cellStyle name="Lien hypertexte" xfId="95" builtinId="8" hidden="1"/>
    <cellStyle name="Lien hypertexte" xfId="91" builtinId="8" hidden="1"/>
    <cellStyle name="Lien hypertexte" xfId="87" builtinId="8" hidden="1"/>
    <cellStyle name="Lien hypertexte" xfId="83" builtinId="8" hidden="1"/>
    <cellStyle name="Lien hypertexte" xfId="79" builtinId="8" hidden="1"/>
    <cellStyle name="Lien hypertexte" xfId="75" builtinId="8" hidden="1"/>
    <cellStyle name="Lien hypertexte" xfId="71" builtinId="8" hidden="1"/>
    <cellStyle name="Lien hypertexte" xfId="67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5" builtinId="8" hidden="1"/>
    <cellStyle name="Lien hypertexte" xfId="63" builtinId="8" hidden="1"/>
    <cellStyle name="Lien hypertexte" xfId="55" builtinId="8" hidden="1"/>
    <cellStyle name="Lien hypertexte" xfId="47" builtinId="8" hidden="1"/>
    <cellStyle name="Lien hypertexte" xfId="39" builtinId="8" hidden="1"/>
    <cellStyle name="Lien hypertexte" xfId="31" builtinId="8" hidden="1"/>
    <cellStyle name="Lien hypertexte" xfId="23" builtinId="8" hidden="1"/>
    <cellStyle name="Lien hypertexte" xfId="11" builtinId="8" hidden="1"/>
    <cellStyle name="Lien hypertexte" xfId="13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15" builtinId="8" hidden="1"/>
    <cellStyle name="Lien hypertexte" xfId="7" builtinId="8" hidden="1"/>
    <cellStyle name="Lien hypertexte" xfId="9" builtinId="8" hidden="1"/>
    <cellStyle name="Lien hypertexte" xfId="5" builtinId="8" hidden="1"/>
    <cellStyle name="Lien hypertexte" xfId="3" builtinId="8" hidden="1"/>
    <cellStyle name="Lien hypertexte visité" xfId="118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2" builtinId="9" hidden="1"/>
    <cellStyle name="Lien hypertexte visité" xfId="280" builtinId="9" hidden="1"/>
    <cellStyle name="Lien hypertexte visité" xfId="272" builtinId="9" hidden="1"/>
    <cellStyle name="Lien hypertexte visité" xfId="264" builtinId="9" hidden="1"/>
    <cellStyle name="Lien hypertexte visité" xfId="256" builtinId="9" hidden="1"/>
    <cellStyle name="Lien hypertexte visité" xfId="248" builtinId="9" hidden="1"/>
    <cellStyle name="Lien hypertexte visité" xfId="240" builtinId="9" hidden="1"/>
    <cellStyle name="Lien hypertexte visité" xfId="232" builtinId="9" hidden="1"/>
    <cellStyle name="Lien hypertexte visité" xfId="224" builtinId="9" hidden="1"/>
    <cellStyle name="Lien hypertexte visité" xfId="216" builtinId="9" hidden="1"/>
    <cellStyle name="Lien hypertexte visité" xfId="208" builtinId="9" hidden="1"/>
    <cellStyle name="Lien hypertexte visité" xfId="200" builtinId="9" hidden="1"/>
    <cellStyle name="Lien hypertexte visité" xfId="192" builtinId="9" hidden="1"/>
    <cellStyle name="Lien hypertexte visité" xfId="184" builtinId="9" hidden="1"/>
    <cellStyle name="Lien hypertexte visité" xfId="176" builtinId="9" hidden="1"/>
    <cellStyle name="Lien hypertexte visité" xfId="168" builtinId="9" hidden="1"/>
    <cellStyle name="Lien hypertexte visité" xfId="160" builtinId="9" hidden="1"/>
    <cellStyle name="Lien hypertexte visité" xfId="152" builtinId="9" hidden="1"/>
    <cellStyle name="Lien hypertexte visité" xfId="144" builtinId="9" hidden="1"/>
    <cellStyle name="Lien hypertexte visité" xfId="136" builtinId="9" hidden="1"/>
    <cellStyle name="Lien hypertexte visité" xfId="128" builtinId="9" hidden="1"/>
    <cellStyle name="Lien hypertexte visité" xfId="120" builtinId="9" hidden="1"/>
    <cellStyle name="Lien hypertexte visité" xfId="52" builtinId="9" hidden="1"/>
    <cellStyle name="Lien hypertexte visité" xfId="54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04" builtinId="9" hidden="1"/>
    <cellStyle name="Lien hypertexte visité" xfId="88" builtinId="9" hidden="1"/>
    <cellStyle name="Lien hypertexte visité" xfId="72" builtinId="9" hidden="1"/>
    <cellStyle name="Lien hypertexte visité" xfId="56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40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6" builtinId="9" hidden="1"/>
    <cellStyle name="Lien hypertexte visité" xfId="4" builtinId="9" hidden="1"/>
    <cellStyle name="Monétaire" xfId="1" builtinId="4"/>
    <cellStyle name="Normal" xfId="0" builtinId="0"/>
    <cellStyle name="Normal 2" xfId="283" xr:uid="{B54A9B39-F3A3-44DD-BF7E-0B148FF4FB0D}"/>
    <cellStyle name="Pourcentage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52B16-3F15-48E9-88E1-C0845FB005F1}">
  <dimension ref="A1:P139"/>
  <sheetViews>
    <sheetView showGridLines="0" tabSelected="1" view="pageLayout" topLeftCell="A111" zoomScale="130" zoomScaleNormal="85" zoomScalePageLayoutView="130" workbookViewId="0">
      <selection activeCell="C64" sqref="C64"/>
    </sheetView>
  </sheetViews>
  <sheetFormatPr baseColWidth="10" defaultColWidth="7.140625" defaultRowHeight="12.75" x14ac:dyDescent="0.2"/>
  <cols>
    <col min="1" max="1" width="16.42578125" style="6" customWidth="1"/>
    <col min="2" max="2" width="12.85546875" style="6" customWidth="1"/>
    <col min="3" max="3" width="14.5703125" style="6" customWidth="1"/>
    <col min="4" max="4" width="14.85546875" style="18" customWidth="1"/>
    <col min="5" max="7" width="14.5703125" style="6" customWidth="1"/>
    <col min="8" max="8" width="12.85546875" style="6" customWidth="1"/>
    <col min="9" max="9" width="14.5703125" style="6" customWidth="1"/>
    <col min="10" max="10" width="12.85546875" style="6" customWidth="1"/>
    <col min="11" max="11" width="17.5703125" style="6" customWidth="1"/>
    <col min="12" max="16" width="15.28515625" style="6" bestFit="1" customWidth="1"/>
    <col min="17" max="16384" width="7.140625" style="6"/>
  </cols>
  <sheetData>
    <row r="1" spans="1:10" ht="15.75" x14ac:dyDescent="0.2">
      <c r="A1" s="47" t="s">
        <v>0</v>
      </c>
      <c r="B1" s="5"/>
      <c r="C1" s="5"/>
      <c r="D1" s="5"/>
      <c r="E1" s="5"/>
      <c r="F1" s="5"/>
      <c r="G1" s="5"/>
      <c r="H1" s="176" t="s">
        <v>1</v>
      </c>
      <c r="I1" s="176"/>
    </row>
    <row r="2" spans="1:10" ht="15" x14ac:dyDescent="0.25">
      <c r="A2" s="32" t="s">
        <v>2</v>
      </c>
      <c r="B2" s="45"/>
      <c r="C2" s="45"/>
      <c r="D2" s="6"/>
      <c r="E2" s="45"/>
      <c r="F2" s="45"/>
      <c r="G2" s="45"/>
      <c r="H2" s="45"/>
      <c r="I2" s="46" t="s">
        <v>3</v>
      </c>
    </row>
    <row r="3" spans="1:10" ht="12.95" customHeight="1" x14ac:dyDescent="0.2">
      <c r="A3" s="33"/>
      <c r="B3" s="45"/>
      <c r="C3" s="45"/>
      <c r="D3" s="6"/>
      <c r="E3" s="45"/>
      <c r="F3" s="45"/>
      <c r="G3" s="45"/>
      <c r="H3" s="45"/>
      <c r="I3" s="7"/>
    </row>
    <row r="4" spans="1:10" ht="12.95" customHeight="1" x14ac:dyDescent="0.2">
      <c r="A4" s="33"/>
      <c r="B4" s="45"/>
      <c r="C4" s="45"/>
      <c r="D4" s="6"/>
      <c r="E4" s="45"/>
      <c r="F4" s="45"/>
      <c r="G4" s="45"/>
      <c r="H4" s="45"/>
      <c r="I4" s="7"/>
    </row>
    <row r="5" spans="1:10" ht="12.95" customHeight="1" x14ac:dyDescent="0.25">
      <c r="A5" s="177" t="s">
        <v>4</v>
      </c>
      <c r="B5" s="48" t="s">
        <v>5</v>
      </c>
      <c r="C5" s="49" t="s">
        <v>47</v>
      </c>
      <c r="D5" s="46" t="s">
        <v>6</v>
      </c>
      <c r="E5" s="50" t="s">
        <v>48</v>
      </c>
      <c r="F5" s="8" t="s">
        <v>7</v>
      </c>
      <c r="G5" s="51">
        <v>1842118</v>
      </c>
      <c r="H5" s="46" t="s">
        <v>8</v>
      </c>
      <c r="I5" s="51">
        <v>7</v>
      </c>
    </row>
    <row r="6" spans="1:10" ht="12.95" customHeight="1" x14ac:dyDescent="0.25">
      <c r="A6" s="177"/>
      <c r="B6" s="48" t="s">
        <v>5</v>
      </c>
      <c r="C6" s="49" t="s">
        <v>49</v>
      </c>
      <c r="D6" s="46" t="s">
        <v>6</v>
      </c>
      <c r="E6" s="50" t="s">
        <v>50</v>
      </c>
      <c r="F6" s="8" t="s">
        <v>7</v>
      </c>
      <c r="G6" s="51">
        <v>2083972</v>
      </c>
      <c r="H6" s="46" t="s">
        <v>8</v>
      </c>
      <c r="I6" s="51">
        <v>8</v>
      </c>
      <c r="J6" s="9"/>
    </row>
    <row r="7" spans="1:10" ht="12.95" customHeight="1" x14ac:dyDescent="0.25">
      <c r="A7" s="177"/>
      <c r="B7" s="48" t="s">
        <v>5</v>
      </c>
      <c r="C7" s="49" t="s">
        <v>51</v>
      </c>
      <c r="D7" s="46" t="s">
        <v>6</v>
      </c>
      <c r="E7" s="50" t="s">
        <v>52</v>
      </c>
      <c r="F7" s="8" t="s">
        <v>7</v>
      </c>
      <c r="G7" s="51">
        <v>1835133</v>
      </c>
      <c r="H7" s="46" t="s">
        <v>8</v>
      </c>
      <c r="I7" s="51">
        <v>7</v>
      </c>
      <c r="J7" s="9"/>
    </row>
    <row r="8" spans="1:10" ht="12.95" customHeight="1" thickBot="1" x14ac:dyDescent="0.3">
      <c r="A8" s="10"/>
      <c r="B8" s="10"/>
      <c r="C8" s="11"/>
      <c r="D8" s="12"/>
      <c r="E8" s="12"/>
      <c r="F8" s="11"/>
      <c r="G8" s="11"/>
      <c r="H8" s="11"/>
      <c r="I8" s="11"/>
      <c r="J8" s="9"/>
    </row>
    <row r="9" spans="1:10" ht="12.95" customHeight="1" thickTop="1" x14ac:dyDescent="0.25">
      <c r="A9" s="13"/>
      <c r="B9" s="13"/>
      <c r="C9" s="9"/>
      <c r="D9" s="14"/>
      <c r="E9" s="14"/>
      <c r="F9" s="9"/>
      <c r="G9" s="9"/>
      <c r="H9" s="9"/>
      <c r="I9" s="9"/>
      <c r="J9" s="9"/>
    </row>
    <row r="10" spans="1:10" ht="15" x14ac:dyDescent="0.2">
      <c r="A10" s="130" t="s">
        <v>9</v>
      </c>
      <c r="B10" s="130"/>
      <c r="C10" s="130"/>
      <c r="D10" s="130"/>
      <c r="E10" s="130"/>
      <c r="F10" s="130"/>
      <c r="G10" s="130"/>
      <c r="H10" s="130"/>
      <c r="I10" s="130"/>
      <c r="J10" s="9"/>
    </row>
    <row r="11" spans="1:10" ht="15" x14ac:dyDescent="0.25">
      <c r="A11" s="178" t="s">
        <v>10</v>
      </c>
      <c r="B11" s="178"/>
      <c r="C11" s="178"/>
      <c r="D11" s="178"/>
      <c r="E11" s="178"/>
      <c r="F11" s="178"/>
      <c r="G11" s="178"/>
      <c r="H11" s="178"/>
      <c r="I11" s="178"/>
      <c r="J11" s="9"/>
    </row>
    <row r="12" spans="1:10" ht="15.75" thickBot="1" x14ac:dyDescent="0.3">
      <c r="B12" s="15"/>
      <c r="C12" s="15"/>
      <c r="D12" s="9"/>
      <c r="E12" s="16"/>
      <c r="F12" s="9"/>
      <c r="G12" s="9"/>
      <c r="H12" s="9"/>
      <c r="I12" s="9"/>
    </row>
    <row r="13" spans="1:10" x14ac:dyDescent="0.2">
      <c r="A13" s="149" t="s">
        <v>11</v>
      </c>
      <c r="B13" s="150"/>
      <c r="C13" s="150"/>
      <c r="D13" s="150"/>
      <c r="E13" s="150"/>
      <c r="F13" s="150"/>
      <c r="G13" s="150"/>
      <c r="H13" s="150"/>
      <c r="I13" s="151"/>
    </row>
    <row r="14" spans="1:10" ht="13.5" thickBot="1" x14ac:dyDescent="0.25">
      <c r="A14" s="179"/>
      <c r="B14" s="180"/>
      <c r="C14" s="180"/>
      <c r="D14" s="180"/>
      <c r="E14" s="180"/>
      <c r="F14" s="180"/>
      <c r="G14" s="180"/>
      <c r="H14" s="180"/>
      <c r="I14" s="181"/>
    </row>
    <row r="15" spans="1:10" ht="13.5" thickBot="1" x14ac:dyDescent="0.25">
      <c r="A15" s="52"/>
      <c r="B15" s="53"/>
      <c r="C15" s="54" t="s">
        <v>12</v>
      </c>
      <c r="D15" s="55">
        <v>2022</v>
      </c>
      <c r="E15" s="55">
        <v>2023</v>
      </c>
      <c r="F15" s="55">
        <v>2024</v>
      </c>
      <c r="G15" s="55">
        <v>2025</v>
      </c>
      <c r="H15" s="55">
        <v>2026</v>
      </c>
      <c r="I15" s="56">
        <v>2027</v>
      </c>
    </row>
    <row r="16" spans="1:10" x14ac:dyDescent="0.2">
      <c r="A16" s="57" t="s">
        <v>18</v>
      </c>
      <c r="B16" s="58"/>
      <c r="C16" s="59"/>
      <c r="D16" s="60"/>
      <c r="E16" s="61"/>
      <c r="F16" s="61"/>
      <c r="G16" s="61"/>
      <c r="H16" s="61"/>
      <c r="I16" s="62"/>
    </row>
    <row r="17" spans="1:15" x14ac:dyDescent="0.2">
      <c r="A17" s="129" t="s">
        <v>43</v>
      </c>
      <c r="B17" s="5"/>
      <c r="C17" s="186"/>
      <c r="D17" s="190">
        <v>352000000</v>
      </c>
      <c r="E17" s="65"/>
      <c r="F17" s="65"/>
      <c r="G17" s="65"/>
      <c r="H17" s="65"/>
      <c r="I17" s="66"/>
    </row>
    <row r="18" spans="1:15" x14ac:dyDescent="0.2">
      <c r="A18" s="129" t="s">
        <v>44</v>
      </c>
      <c r="B18" s="5"/>
      <c r="C18" s="186"/>
      <c r="D18" s="190">
        <v>111000000</v>
      </c>
      <c r="E18" s="65"/>
      <c r="F18" s="65"/>
      <c r="G18" s="65"/>
      <c r="H18" s="65"/>
      <c r="I18" s="66"/>
    </row>
    <row r="19" spans="1:15" x14ac:dyDescent="0.2">
      <c r="A19" s="129" t="s">
        <v>45</v>
      </c>
      <c r="B19" s="5"/>
      <c r="C19" s="186"/>
      <c r="D19" s="190">
        <v>246000000</v>
      </c>
      <c r="E19" s="65"/>
      <c r="F19" s="65"/>
      <c r="G19" s="65"/>
      <c r="H19" s="65"/>
      <c r="I19" s="66"/>
    </row>
    <row r="20" spans="1:15" x14ac:dyDescent="0.2">
      <c r="A20" s="129" t="s">
        <v>46</v>
      </c>
      <c r="B20" s="5"/>
      <c r="C20" s="186"/>
      <c r="D20" s="190">
        <v>252000000</v>
      </c>
      <c r="E20" s="65"/>
      <c r="F20" s="65"/>
      <c r="G20" s="65"/>
      <c r="H20" s="65"/>
      <c r="I20" s="66"/>
    </row>
    <row r="21" spans="1:15" x14ac:dyDescent="0.2">
      <c r="A21" s="68" t="s">
        <v>16</v>
      </c>
      <c r="B21" s="5"/>
      <c r="C21" s="186"/>
      <c r="D21" s="69">
        <f>SUM(D17:D20)</f>
        <v>961000000</v>
      </c>
      <c r="E21" s="65"/>
      <c r="F21" s="65"/>
      <c r="G21" s="65"/>
      <c r="H21" s="65"/>
      <c r="I21" s="66"/>
    </row>
    <row r="22" spans="1:15" x14ac:dyDescent="0.2">
      <c r="A22" s="70"/>
      <c r="B22" s="5"/>
      <c r="C22" s="186"/>
      <c r="D22" s="64"/>
      <c r="E22" s="65"/>
      <c r="F22" s="65"/>
      <c r="G22" s="65"/>
      <c r="H22" s="65"/>
      <c r="I22" s="66"/>
    </row>
    <row r="23" spans="1:15" x14ac:dyDescent="0.2">
      <c r="A23" s="71" t="s">
        <v>13</v>
      </c>
      <c r="B23" s="72"/>
      <c r="C23" s="187"/>
      <c r="D23" s="73"/>
      <c r="E23" s="74"/>
      <c r="F23" s="74"/>
      <c r="G23" s="74"/>
      <c r="H23" s="74"/>
      <c r="I23" s="75"/>
    </row>
    <row r="24" spans="1:15" x14ac:dyDescent="0.2">
      <c r="A24" s="76" t="s">
        <v>38</v>
      </c>
      <c r="B24" s="5"/>
      <c r="C24" s="191">
        <v>7163520</v>
      </c>
      <c r="D24" s="65"/>
      <c r="E24" s="77">
        <v>7163520</v>
      </c>
      <c r="F24" s="77">
        <v>7163520</v>
      </c>
      <c r="G24" s="77">
        <v>7163520</v>
      </c>
      <c r="H24" s="77">
        <v>7163520</v>
      </c>
      <c r="I24" s="78">
        <v>7163520</v>
      </c>
    </row>
    <row r="25" spans="1:15" x14ac:dyDescent="0.2">
      <c r="A25" s="76" t="s">
        <v>14</v>
      </c>
      <c r="B25" s="5"/>
      <c r="C25" s="186">
        <v>44.7</v>
      </c>
      <c r="D25" s="65"/>
      <c r="E25" s="79">
        <v>44.7</v>
      </c>
      <c r="F25" s="79">
        <f>1.09*E25</f>
        <v>48.723000000000006</v>
      </c>
      <c r="G25" s="79">
        <f t="shared" ref="G25:I25" si="0">1.09*F25</f>
        <v>53.108070000000012</v>
      </c>
      <c r="H25" s="79">
        <f t="shared" si="0"/>
        <v>57.887796300000019</v>
      </c>
      <c r="I25" s="192">
        <f t="shared" si="0"/>
        <v>63.097697967000023</v>
      </c>
    </row>
    <row r="26" spans="1:15" x14ac:dyDescent="0.2">
      <c r="A26" s="44" t="s">
        <v>39</v>
      </c>
      <c r="B26" s="5"/>
      <c r="C26" s="186">
        <f>C24*C25</f>
        <v>320209344</v>
      </c>
      <c r="D26" s="65"/>
      <c r="E26" s="64">
        <f>E24*E25</f>
        <v>320209344</v>
      </c>
      <c r="F26" s="64">
        <f t="shared" ref="F26:H26" si="1">F24*F25</f>
        <v>349028184.96000004</v>
      </c>
      <c r="G26" s="64">
        <f t="shared" si="1"/>
        <v>380440721.60640007</v>
      </c>
      <c r="H26" s="64">
        <f t="shared" si="1"/>
        <v>414680386.55097616</v>
      </c>
      <c r="I26" s="80">
        <f>I24*I25</f>
        <v>452001621.34056401</v>
      </c>
    </row>
    <row r="27" spans="1:15" x14ac:dyDescent="0.2">
      <c r="A27" s="44" t="s">
        <v>15</v>
      </c>
      <c r="B27" s="5"/>
      <c r="C27" s="186">
        <f>0.25*178000000</f>
        <v>44500000</v>
      </c>
      <c r="D27" s="65"/>
      <c r="E27" s="64">
        <f>0.25*E31</f>
        <v>44500000</v>
      </c>
      <c r="F27" s="64">
        <f t="shared" ref="F27:H27" si="2">0.25*F31</f>
        <v>46725000</v>
      </c>
      <c r="G27" s="64">
        <f t="shared" si="2"/>
        <v>49061250</v>
      </c>
      <c r="H27" s="64">
        <f t="shared" si="2"/>
        <v>51514312.5</v>
      </c>
      <c r="I27" s="80">
        <f>0.25*I31</f>
        <v>54090028.125</v>
      </c>
    </row>
    <row r="28" spans="1:15" x14ac:dyDescent="0.2">
      <c r="A28" s="68" t="s">
        <v>16</v>
      </c>
      <c r="B28" s="5"/>
      <c r="C28" s="186">
        <f>SUM(C26:C27)</f>
        <v>364709344</v>
      </c>
      <c r="D28" s="65"/>
      <c r="E28" s="69">
        <f>E26+E27</f>
        <v>364709344</v>
      </c>
      <c r="F28" s="69">
        <f>F26+F27</f>
        <v>395753184.96000004</v>
      </c>
      <c r="G28" s="69">
        <f>G26+G27</f>
        <v>429501971.60640007</v>
      </c>
      <c r="H28" s="69">
        <f t="shared" ref="H28" si="3">H26+H27</f>
        <v>466194699.05097616</v>
      </c>
      <c r="I28" s="81">
        <f>I26+I27</f>
        <v>506091649.46556401</v>
      </c>
    </row>
    <row r="29" spans="1:15" x14ac:dyDescent="0.2">
      <c r="A29" s="82"/>
      <c r="B29" s="5"/>
      <c r="C29" s="67"/>
      <c r="D29" s="65"/>
      <c r="E29" s="64"/>
      <c r="F29" s="64"/>
      <c r="G29" s="64"/>
      <c r="H29" s="64"/>
      <c r="I29" s="80"/>
    </row>
    <row r="30" spans="1:15" x14ac:dyDescent="0.2">
      <c r="A30" s="71" t="s">
        <v>17</v>
      </c>
      <c r="B30" s="83"/>
      <c r="C30" s="84"/>
      <c r="D30" s="73"/>
      <c r="E30" s="83"/>
      <c r="F30" s="83"/>
      <c r="G30" s="83"/>
      <c r="H30" s="83"/>
      <c r="I30" s="85"/>
    </row>
    <row r="31" spans="1:15" x14ac:dyDescent="0.2">
      <c r="A31" s="44" t="s">
        <v>53</v>
      </c>
      <c r="B31" s="5"/>
      <c r="C31" s="186">
        <v>178000000</v>
      </c>
      <c r="D31" s="86"/>
      <c r="E31" s="64">
        <v>178000000</v>
      </c>
      <c r="F31" s="64">
        <f>E31*1.05</f>
        <v>186900000</v>
      </c>
      <c r="G31" s="64">
        <f t="shared" ref="G31:H31" si="4">F31*1.05</f>
        <v>196245000</v>
      </c>
      <c r="H31" s="64">
        <f t="shared" si="4"/>
        <v>206057250</v>
      </c>
      <c r="I31" s="80">
        <f>H31*1.05</f>
        <v>216360112.5</v>
      </c>
    </row>
    <row r="32" spans="1:15" x14ac:dyDescent="0.2">
      <c r="A32" s="44" t="s">
        <v>54</v>
      </c>
      <c r="B32" s="5"/>
      <c r="C32" s="186"/>
      <c r="D32" s="86"/>
      <c r="E32" s="64">
        <v>0</v>
      </c>
      <c r="F32" s="64">
        <v>14760000</v>
      </c>
      <c r="G32" s="64">
        <v>14760000</v>
      </c>
      <c r="H32" s="64">
        <v>0</v>
      </c>
      <c r="I32" s="80">
        <v>0</v>
      </c>
      <c r="K32" s="6">
        <v>1</v>
      </c>
      <c r="L32" s="6">
        <v>2</v>
      </c>
      <c r="M32" s="6">
        <v>3</v>
      </c>
      <c r="N32" s="6">
        <v>4</v>
      </c>
      <c r="O32" s="6">
        <v>5</v>
      </c>
    </row>
    <row r="33" spans="1:16" x14ac:dyDescent="0.2">
      <c r="A33" s="44" t="s">
        <v>55</v>
      </c>
      <c r="B33" s="5"/>
      <c r="C33" s="186"/>
      <c r="D33" s="86"/>
      <c r="E33" s="64">
        <v>67200000</v>
      </c>
      <c r="F33" s="64">
        <v>68542857.140000001</v>
      </c>
      <c r="G33" s="64">
        <v>69885714.269999996</v>
      </c>
      <c r="H33" s="64">
        <v>71228571.430000007</v>
      </c>
      <c r="I33" s="80">
        <v>72571428.569999993</v>
      </c>
      <c r="K33" s="189">
        <f>(252000000-111000000)*(14-K32+1)/(14*15/2)</f>
        <v>18800000</v>
      </c>
      <c r="L33" s="189">
        <f>(252000000-111000000)*(14-L32+1)/(14*15/2)</f>
        <v>17457142.857142858</v>
      </c>
      <c r="M33" s="189">
        <f>(252000000-111000000)*(14-M32+1)/(14*15/2)</f>
        <v>16114285.714285715</v>
      </c>
      <c r="N33" s="189">
        <f>(252000000-111000000)*(14-N32+1)/(14*15/2)</f>
        <v>14771428.571428571</v>
      </c>
      <c r="O33" s="189">
        <f>(252000000-111000000)*(14-O32+1)/(14*15/2)</f>
        <v>13428571.428571429</v>
      </c>
      <c r="P33" s="189">
        <f>SUM(K33:O33)</f>
        <v>80571428.571428582</v>
      </c>
    </row>
    <row r="34" spans="1:16" x14ac:dyDescent="0.2">
      <c r="A34" s="68" t="s">
        <v>16</v>
      </c>
      <c r="B34" s="5"/>
      <c r="C34" s="186"/>
      <c r="D34" s="65"/>
      <c r="E34" s="69">
        <f>SUM(E31:E33)</f>
        <v>245200000</v>
      </c>
      <c r="F34" s="69">
        <f>SUM(F31:F33)</f>
        <v>270202857.13999999</v>
      </c>
      <c r="G34" s="69">
        <f t="shared" ref="G34" si="5">SUM(G31:G33)</f>
        <v>280890714.26999998</v>
      </c>
      <c r="H34" s="69">
        <f>SUM(H31:H33)</f>
        <v>277285821.43000001</v>
      </c>
      <c r="I34" s="81">
        <f>SUM(I31:I33)</f>
        <v>288931541.06999999</v>
      </c>
      <c r="K34" s="188">
        <v>86000000</v>
      </c>
      <c r="L34" s="188">
        <v>86000000</v>
      </c>
      <c r="M34" s="188">
        <v>86000000</v>
      </c>
      <c r="N34" s="188">
        <v>86000000</v>
      </c>
      <c r="O34" s="188">
        <v>86000000</v>
      </c>
    </row>
    <row r="35" spans="1:16" x14ac:dyDescent="0.2">
      <c r="A35" s="82"/>
      <c r="B35" s="5"/>
      <c r="C35" s="63"/>
      <c r="D35" s="65"/>
      <c r="E35" s="64"/>
      <c r="F35" s="64"/>
      <c r="G35" s="64"/>
      <c r="H35" s="64"/>
      <c r="I35" s="80"/>
      <c r="K35" s="189">
        <f>K34-K33</f>
        <v>67200000</v>
      </c>
      <c r="L35" s="189">
        <f>L34-L33</f>
        <v>68542857.142857134</v>
      </c>
      <c r="M35" s="189">
        <f>M34-M33</f>
        <v>69885714.285714284</v>
      </c>
      <c r="N35" s="189">
        <f>N34-N33</f>
        <v>71228571.428571433</v>
      </c>
      <c r="O35" s="189">
        <f>O34-O33</f>
        <v>72571428.571428567</v>
      </c>
    </row>
    <row r="36" spans="1:16" x14ac:dyDescent="0.2">
      <c r="A36" s="87" t="s">
        <v>19</v>
      </c>
      <c r="B36" s="72"/>
      <c r="C36" s="88"/>
      <c r="D36" s="89"/>
      <c r="E36" s="90"/>
      <c r="F36" s="90"/>
      <c r="G36" s="90"/>
      <c r="H36" s="90"/>
      <c r="I36" s="91"/>
    </row>
    <row r="37" spans="1:16" x14ac:dyDescent="0.2">
      <c r="A37" s="44" t="s">
        <v>56</v>
      </c>
      <c r="B37" s="5"/>
      <c r="C37" s="67"/>
      <c r="D37" s="92"/>
      <c r="E37" s="65"/>
      <c r="F37" s="65"/>
      <c r="G37" s="65"/>
      <c r="H37" s="65"/>
      <c r="I37" s="80">
        <v>171428571</v>
      </c>
      <c r="K37" s="80">
        <f>E20-R33</f>
        <v>0</v>
      </c>
    </row>
    <row r="38" spans="1:16" x14ac:dyDescent="0.2">
      <c r="A38" s="44" t="s">
        <v>57</v>
      </c>
      <c r="B38" s="5"/>
      <c r="C38" s="67"/>
      <c r="D38" s="92"/>
      <c r="E38" s="65"/>
      <c r="F38" s="65"/>
      <c r="G38" s="65"/>
      <c r="H38" s="65"/>
      <c r="I38" s="80">
        <v>61000000</v>
      </c>
    </row>
    <row r="39" spans="1:16" x14ac:dyDescent="0.2">
      <c r="A39" s="44" t="s">
        <v>58</v>
      </c>
      <c r="B39" s="5"/>
      <c r="C39" s="67"/>
      <c r="D39" s="92"/>
      <c r="E39" s="65"/>
      <c r="F39" s="65"/>
      <c r="G39" s="65"/>
      <c r="H39" s="65"/>
      <c r="I39" s="80">
        <v>111000000</v>
      </c>
    </row>
    <row r="40" spans="1:16" x14ac:dyDescent="0.2">
      <c r="A40" s="44" t="s">
        <v>59</v>
      </c>
      <c r="B40" s="5"/>
      <c r="C40" s="67"/>
      <c r="D40" s="86"/>
      <c r="E40" s="86"/>
      <c r="F40" s="86"/>
      <c r="G40" s="86"/>
      <c r="H40" s="86"/>
      <c r="I40" s="80">
        <f>1.07*D17</f>
        <v>376640000</v>
      </c>
    </row>
    <row r="41" spans="1:16" x14ac:dyDescent="0.2">
      <c r="A41" s="68" t="s">
        <v>16</v>
      </c>
      <c r="B41" s="5"/>
      <c r="C41" s="67"/>
      <c r="D41" s="65"/>
      <c r="E41" s="93"/>
      <c r="F41" s="93"/>
      <c r="G41" s="93"/>
      <c r="H41" s="93"/>
      <c r="I41" s="81">
        <f>SUM(I37:I40)</f>
        <v>720068571</v>
      </c>
    </row>
    <row r="42" spans="1:16" s="94" customFormat="1" x14ac:dyDescent="0.2">
      <c r="A42" s="82"/>
      <c r="B42" s="5"/>
      <c r="C42" s="67"/>
      <c r="D42" s="65"/>
      <c r="E42" s="93"/>
      <c r="F42" s="93"/>
      <c r="G42" s="93"/>
      <c r="H42" s="93"/>
      <c r="I42" s="80"/>
    </row>
    <row r="43" spans="1:16" ht="18.95" customHeight="1" x14ac:dyDescent="0.2">
      <c r="A43" s="95" t="s">
        <v>20</v>
      </c>
      <c r="B43" s="96"/>
      <c r="C43" s="97"/>
      <c r="D43" s="98">
        <f>-D21</f>
        <v>-961000000</v>
      </c>
      <c r="E43" s="99">
        <f>E28-E34</f>
        <v>119509344</v>
      </c>
      <c r="F43" s="99">
        <f t="shared" ref="F43:H43" si="6">F28-F34</f>
        <v>125550327.82000005</v>
      </c>
      <c r="G43" s="99">
        <f t="shared" si="6"/>
        <v>148611257.33640009</v>
      </c>
      <c r="H43" s="99">
        <f t="shared" si="6"/>
        <v>188908877.62097615</v>
      </c>
      <c r="I43" s="100">
        <f>I28-I34+I41</f>
        <v>937228679.39556408</v>
      </c>
    </row>
    <row r="44" spans="1:16" ht="18.95" customHeight="1" x14ac:dyDescent="0.2">
      <c r="A44" s="101" t="s">
        <v>21</v>
      </c>
      <c r="B44" s="5"/>
      <c r="C44" s="63">
        <v>0.11</v>
      </c>
      <c r="D44" s="102">
        <f>(1+$C$44)^(0)</f>
        <v>1</v>
      </c>
      <c r="E44" s="193">
        <f>(1+$C$44)^(-1)</f>
        <v>0.9009009009009008</v>
      </c>
      <c r="F44" s="193">
        <f>(1+$C$44)^(-2)</f>
        <v>0.8116224332440547</v>
      </c>
      <c r="G44" s="193">
        <f>(1+$C$44)^(-3)</f>
        <v>0.73119138130095018</v>
      </c>
      <c r="H44" s="193">
        <f>(1+$C$44)^(-4)</f>
        <v>0.65873097414500015</v>
      </c>
      <c r="I44" s="103">
        <f>(1+C44)^(-5)</f>
        <v>0.5934513280585586</v>
      </c>
    </row>
    <row r="45" spans="1:16" ht="18.95" customHeight="1" thickBot="1" x14ac:dyDescent="0.25">
      <c r="A45" s="104" t="s">
        <v>22</v>
      </c>
      <c r="B45" s="105"/>
      <c r="C45" s="106"/>
      <c r="D45" s="107">
        <f>D43*D44</f>
        <v>-961000000</v>
      </c>
      <c r="E45" s="108">
        <f>E43*E44</f>
        <v>107666075.67567566</v>
      </c>
      <c r="F45" s="108">
        <f>F43*F44</f>
        <v>101899462.55985717</v>
      </c>
      <c r="G45" s="108">
        <f t="shared" ref="G45:H45" si="7">G43*G44</f>
        <v>108663270.52867335</v>
      </c>
      <c r="H45" s="108">
        <f t="shared" si="7"/>
        <v>124440128.97990423</v>
      </c>
      <c r="I45" s="109">
        <f>I43*I44</f>
        <v>556199604.4818666</v>
      </c>
    </row>
    <row r="46" spans="1:16" ht="27" customHeight="1" thickBot="1" x14ac:dyDescent="0.25">
      <c r="A46" s="182" t="s">
        <v>23</v>
      </c>
      <c r="B46" s="183"/>
      <c r="C46" s="184">
        <f>SUM(D45:I45)</f>
        <v>37868542.225977004</v>
      </c>
      <c r="D46" s="185"/>
    </row>
    <row r="47" spans="1:16" x14ac:dyDescent="0.2">
      <c r="A47" s="166"/>
      <c r="B47" s="166"/>
      <c r="C47" s="17"/>
      <c r="D47" s="17"/>
    </row>
    <row r="48" spans="1:16" x14ac:dyDescent="0.2">
      <c r="A48" s="45"/>
      <c r="B48" s="45"/>
      <c r="C48" s="17"/>
      <c r="D48" s="17"/>
    </row>
    <row r="49" spans="1:9" x14ac:dyDescent="0.2">
      <c r="A49" s="167" t="s">
        <v>24</v>
      </c>
      <c r="B49" s="167"/>
      <c r="C49" s="167"/>
      <c r="D49" s="167"/>
      <c r="E49" s="167"/>
      <c r="F49" s="167"/>
      <c r="G49" s="167"/>
      <c r="H49" s="167"/>
      <c r="I49" s="167"/>
    </row>
    <row r="50" spans="1:9" ht="13.5" thickBot="1" x14ac:dyDescent="0.25">
      <c r="A50" s="33"/>
      <c r="B50" s="33"/>
      <c r="C50" s="33"/>
      <c r="D50" s="33"/>
      <c r="E50" s="33"/>
      <c r="F50" s="33"/>
      <c r="G50" s="33"/>
      <c r="H50" s="33"/>
      <c r="I50" s="33"/>
    </row>
    <row r="51" spans="1:9" x14ac:dyDescent="0.2">
      <c r="A51" s="168" t="s">
        <v>25</v>
      </c>
      <c r="B51" s="169"/>
      <c r="C51" s="169"/>
      <c r="D51" s="169"/>
      <c r="E51" s="169"/>
      <c r="F51" s="169"/>
      <c r="G51" s="169"/>
      <c r="H51" s="169"/>
      <c r="I51" s="170"/>
    </row>
    <row r="52" spans="1:9" ht="13.5" thickBot="1" x14ac:dyDescent="0.25">
      <c r="A52" s="171"/>
      <c r="B52" s="172"/>
      <c r="C52" s="172"/>
      <c r="D52" s="172"/>
      <c r="E52" s="172"/>
      <c r="F52" s="172"/>
      <c r="G52" s="172"/>
      <c r="H52" s="172"/>
      <c r="I52" s="173"/>
    </row>
    <row r="53" spans="1:9" x14ac:dyDescent="0.2">
      <c r="A53" s="158"/>
      <c r="B53" s="159"/>
      <c r="I53" s="110"/>
    </row>
    <row r="54" spans="1:9" x14ac:dyDescent="0.2">
      <c r="A54" s="174" t="s">
        <v>40</v>
      </c>
      <c r="B54" s="175"/>
      <c r="C54" s="194">
        <v>0.12</v>
      </c>
      <c r="D54" s="18" t="s">
        <v>62</v>
      </c>
      <c r="E54" s="195">
        <v>3435011.2039806247</v>
      </c>
      <c r="F54" s="6" t="s">
        <v>61</v>
      </c>
      <c r="G54" s="6" t="s">
        <v>60</v>
      </c>
      <c r="I54" s="110"/>
    </row>
    <row r="55" spans="1:9" x14ac:dyDescent="0.2">
      <c r="A55" s="174" t="s">
        <v>41</v>
      </c>
      <c r="B55" s="175"/>
      <c r="C55" s="194">
        <v>0.13</v>
      </c>
      <c r="D55" s="18" t="s">
        <v>63</v>
      </c>
      <c r="E55" s="195">
        <v>-29368609.226640105</v>
      </c>
      <c r="I55" s="110"/>
    </row>
    <row r="56" spans="1:9" x14ac:dyDescent="0.2">
      <c r="A56" s="158"/>
      <c r="B56" s="159"/>
      <c r="I56" s="110"/>
    </row>
    <row r="57" spans="1:9" x14ac:dyDescent="0.2">
      <c r="A57" s="158"/>
      <c r="B57" s="159"/>
      <c r="F57" s="111"/>
      <c r="I57" s="110"/>
    </row>
    <row r="58" spans="1:9" x14ac:dyDescent="0.2">
      <c r="A58" s="158"/>
      <c r="B58" s="159"/>
      <c r="F58" s="112"/>
      <c r="I58" s="110"/>
    </row>
    <row r="59" spans="1:9" x14ac:dyDescent="0.2">
      <c r="A59" s="158"/>
      <c r="B59" s="159"/>
      <c r="F59" s="112"/>
      <c r="I59" s="110"/>
    </row>
    <row r="60" spans="1:9" x14ac:dyDescent="0.2">
      <c r="A60" s="158"/>
      <c r="B60" s="159"/>
      <c r="F60" s="112"/>
      <c r="I60" s="110"/>
    </row>
    <row r="61" spans="1:9" x14ac:dyDescent="0.2">
      <c r="A61" s="158"/>
      <c r="B61" s="159"/>
      <c r="F61" s="112"/>
      <c r="I61" s="110"/>
    </row>
    <row r="62" spans="1:9" x14ac:dyDescent="0.2">
      <c r="A62" s="158"/>
      <c r="B62" s="159"/>
      <c r="F62" s="112"/>
      <c r="I62" s="110"/>
    </row>
    <row r="63" spans="1:9" ht="13.5" thickBot="1" x14ac:dyDescent="0.25">
      <c r="A63" s="158"/>
      <c r="B63" s="159"/>
      <c r="F63" s="112"/>
      <c r="I63" s="110"/>
    </row>
    <row r="64" spans="1:9" x14ac:dyDescent="0.2">
      <c r="A64" s="158"/>
      <c r="B64" s="159"/>
      <c r="F64" s="160" t="s">
        <v>26</v>
      </c>
      <c r="G64" s="161"/>
      <c r="H64" s="208">
        <f>C54+E54/(E54-E55)*(C55-C54)</f>
        <v>0.12104714393072728</v>
      </c>
      <c r="I64" s="209"/>
    </row>
    <row r="65" spans="1:9" ht="26.1" customHeight="1" thickBot="1" x14ac:dyDescent="0.25">
      <c r="A65" s="164"/>
      <c r="B65" s="165"/>
      <c r="C65" s="94"/>
      <c r="D65" s="113"/>
      <c r="E65" s="94"/>
      <c r="F65" s="162"/>
      <c r="G65" s="163"/>
      <c r="H65" s="210"/>
      <c r="I65" s="211"/>
    </row>
    <row r="66" spans="1:9" x14ac:dyDescent="0.2">
      <c r="D66" s="6"/>
    </row>
    <row r="67" spans="1:9" x14ac:dyDescent="0.2">
      <c r="D67" s="6"/>
    </row>
    <row r="68" spans="1:9" ht="15.75" x14ac:dyDescent="0.2">
      <c r="A68" s="34" t="s">
        <v>0</v>
      </c>
      <c r="B68" s="35"/>
      <c r="C68" s="35"/>
      <c r="D68" s="35"/>
      <c r="E68" s="35"/>
      <c r="F68" s="35"/>
      <c r="G68" s="35"/>
      <c r="H68" s="147" t="s">
        <v>1</v>
      </c>
      <c r="I68" s="147"/>
    </row>
    <row r="69" spans="1:9" ht="14.1" customHeight="1" x14ac:dyDescent="0.25">
      <c r="A69" s="36" t="s">
        <v>2</v>
      </c>
      <c r="B69" s="37"/>
      <c r="C69" s="37"/>
      <c r="D69" s="38"/>
      <c r="E69" s="37"/>
      <c r="F69" s="37"/>
      <c r="G69" s="37"/>
      <c r="H69" s="37"/>
      <c r="I69" s="39" t="s">
        <v>3</v>
      </c>
    </row>
    <row r="70" spans="1:9" ht="12.6" customHeight="1" x14ac:dyDescent="0.2">
      <c r="A70" s="40"/>
      <c r="B70" s="37"/>
      <c r="C70" s="37"/>
      <c r="D70" s="38"/>
      <c r="E70" s="37"/>
      <c r="F70" s="37"/>
      <c r="G70" s="37"/>
      <c r="H70" s="37"/>
      <c r="I70" s="41"/>
    </row>
    <row r="71" spans="1:9" ht="12.95" customHeight="1" x14ac:dyDescent="0.2">
      <c r="A71" s="40"/>
      <c r="B71" s="37"/>
      <c r="C71" s="37"/>
      <c r="D71" s="38"/>
      <c r="E71" s="37"/>
      <c r="F71" s="37"/>
      <c r="G71" s="37"/>
      <c r="H71" s="37"/>
      <c r="I71" s="41"/>
    </row>
    <row r="72" spans="1:9" ht="15" x14ac:dyDescent="0.25">
      <c r="A72" s="148" t="s">
        <v>4</v>
      </c>
      <c r="B72" s="48" t="s">
        <v>5</v>
      </c>
      <c r="C72" s="49" t="s">
        <v>47</v>
      </c>
      <c r="D72" s="46" t="s">
        <v>6</v>
      </c>
      <c r="E72" s="50" t="s">
        <v>48</v>
      </c>
      <c r="F72" s="8" t="s">
        <v>7</v>
      </c>
      <c r="G72" s="51">
        <v>1842118</v>
      </c>
      <c r="H72" s="46" t="s">
        <v>8</v>
      </c>
      <c r="I72" s="51">
        <v>7</v>
      </c>
    </row>
    <row r="73" spans="1:9" ht="15" x14ac:dyDescent="0.25">
      <c r="A73" s="148"/>
      <c r="B73" s="48" t="s">
        <v>5</v>
      </c>
      <c r="C73" s="49" t="s">
        <v>49</v>
      </c>
      <c r="D73" s="46" t="s">
        <v>6</v>
      </c>
      <c r="E73" s="50" t="s">
        <v>50</v>
      </c>
      <c r="F73" s="8" t="s">
        <v>7</v>
      </c>
      <c r="G73" s="51">
        <v>2083972</v>
      </c>
      <c r="H73" s="46" t="s">
        <v>8</v>
      </c>
      <c r="I73" s="51">
        <v>8</v>
      </c>
    </row>
    <row r="74" spans="1:9" ht="15" x14ac:dyDescent="0.25">
      <c r="A74" s="148"/>
      <c r="B74" s="48" t="s">
        <v>5</v>
      </c>
      <c r="C74" s="49" t="s">
        <v>51</v>
      </c>
      <c r="D74" s="46" t="s">
        <v>6</v>
      </c>
      <c r="E74" s="50" t="s">
        <v>52</v>
      </c>
      <c r="F74" s="8" t="s">
        <v>7</v>
      </c>
      <c r="G74" s="51">
        <v>1835133</v>
      </c>
      <c r="H74" s="46" t="s">
        <v>8</v>
      </c>
      <c r="I74" s="51">
        <v>7</v>
      </c>
    </row>
    <row r="75" spans="1:9" ht="15.75" thickBot="1" x14ac:dyDescent="0.3">
      <c r="A75" s="10"/>
      <c r="B75" s="10"/>
      <c r="C75" s="42"/>
      <c r="D75" s="43"/>
      <c r="E75" s="43"/>
      <c r="F75" s="42"/>
      <c r="G75" s="42"/>
      <c r="H75" s="42"/>
      <c r="I75" s="42"/>
    </row>
    <row r="76" spans="1:9" ht="15.75" thickTop="1" x14ac:dyDescent="0.25">
      <c r="A76" s="13"/>
      <c r="B76" s="13"/>
      <c r="C76" s="9"/>
      <c r="D76" s="14"/>
      <c r="E76" s="14"/>
      <c r="F76" s="9"/>
      <c r="G76" s="9"/>
      <c r="H76" s="9"/>
      <c r="I76" s="9"/>
    </row>
    <row r="77" spans="1:9" ht="15" x14ac:dyDescent="0.2">
      <c r="A77" s="130" t="s">
        <v>27</v>
      </c>
      <c r="B77" s="130"/>
      <c r="C77" s="130"/>
      <c r="D77" s="130"/>
      <c r="E77" s="130"/>
      <c r="F77" s="130"/>
      <c r="G77" s="130"/>
      <c r="H77" s="130"/>
      <c r="I77" s="130"/>
    </row>
    <row r="78" spans="1:9" ht="13.5" thickBot="1" x14ac:dyDescent="0.25"/>
    <row r="79" spans="1:9" x14ac:dyDescent="0.2">
      <c r="A79" s="149" t="s">
        <v>28</v>
      </c>
      <c r="B79" s="150"/>
      <c r="C79" s="150"/>
      <c r="D79" s="150"/>
      <c r="E79" s="150"/>
      <c r="F79" s="150"/>
      <c r="G79" s="150"/>
      <c r="H79" s="150"/>
      <c r="I79" s="151"/>
    </row>
    <row r="80" spans="1:9" ht="13.5" thickBot="1" x14ac:dyDescent="0.25">
      <c r="A80" s="152"/>
      <c r="B80" s="153"/>
      <c r="C80" s="153"/>
      <c r="D80" s="153"/>
      <c r="E80" s="153"/>
      <c r="F80" s="153"/>
      <c r="G80" s="153"/>
      <c r="H80" s="153"/>
      <c r="I80" s="154"/>
    </row>
    <row r="81" spans="1:9" ht="15" x14ac:dyDescent="0.2">
      <c r="A81" s="114" t="s">
        <v>29</v>
      </c>
      <c r="B81" s="115"/>
      <c r="C81" s="197">
        <v>7.0000000000000007E-2</v>
      </c>
      <c r="D81" s="116"/>
      <c r="E81" s="117" t="s">
        <v>30</v>
      </c>
      <c r="F81" s="197">
        <v>7.0000000000000007E-2</v>
      </c>
      <c r="G81" s="116"/>
      <c r="H81" s="116"/>
      <c r="I81" s="19"/>
    </row>
    <row r="82" spans="1:9" ht="15" x14ac:dyDescent="0.2">
      <c r="A82" s="118" t="s">
        <v>31</v>
      </c>
      <c r="B82" s="119"/>
      <c r="C82" s="196">
        <v>0.09</v>
      </c>
      <c r="D82" s="9"/>
      <c r="E82" s="9"/>
      <c r="F82" s="9"/>
      <c r="G82" s="9"/>
      <c r="H82" s="9"/>
      <c r="I82" s="120"/>
    </row>
    <row r="83" spans="1:9" ht="14.25" x14ac:dyDescent="0.2">
      <c r="A83" s="121"/>
      <c r="B83" s="119"/>
      <c r="C83" s="9"/>
      <c r="D83" s="9"/>
      <c r="E83" s="9"/>
      <c r="F83" s="9"/>
      <c r="G83" s="9"/>
      <c r="H83" s="9"/>
      <c r="I83" s="120"/>
    </row>
    <row r="84" spans="1:9" ht="15" x14ac:dyDescent="0.25">
      <c r="A84" s="118" t="s">
        <v>32</v>
      </c>
      <c r="B84" s="122"/>
      <c r="C84" s="123">
        <v>0</v>
      </c>
      <c r="D84" s="123">
        <v>1</v>
      </c>
      <c r="E84" s="123">
        <v>2</v>
      </c>
      <c r="F84" s="123">
        <v>3</v>
      </c>
      <c r="G84" s="123">
        <v>4</v>
      </c>
      <c r="H84" s="123">
        <v>5</v>
      </c>
      <c r="I84" s="124">
        <v>6</v>
      </c>
    </row>
    <row r="85" spans="1:9" ht="14.25" x14ac:dyDescent="0.2">
      <c r="A85" s="118" t="s">
        <v>64</v>
      </c>
      <c r="B85" s="119"/>
      <c r="C85" s="199">
        <v>-520</v>
      </c>
      <c r="D85" s="199">
        <v>130</v>
      </c>
      <c r="E85" s="199">
        <v>200</v>
      </c>
      <c r="F85" s="199">
        <v>-130</v>
      </c>
      <c r="G85" s="199">
        <v>-830</v>
      </c>
      <c r="H85" s="199"/>
      <c r="I85" s="200">
        <v>390</v>
      </c>
    </row>
    <row r="86" spans="1:9" ht="14.25" x14ac:dyDescent="0.2">
      <c r="A86" s="20"/>
      <c r="B86" s="9"/>
      <c r="C86" s="9"/>
      <c r="D86" s="9"/>
      <c r="E86" s="9"/>
      <c r="F86" s="9"/>
      <c r="G86" s="9"/>
      <c r="H86" s="9"/>
      <c r="I86" s="120"/>
    </row>
    <row r="87" spans="1:9" ht="14.25" x14ac:dyDescent="0.2">
      <c r="A87" s="118" t="s">
        <v>65</v>
      </c>
      <c r="B87" s="9" t="s">
        <v>66</v>
      </c>
      <c r="E87" s="9"/>
      <c r="F87" s="9"/>
      <c r="G87" s="9"/>
      <c r="H87" s="9"/>
      <c r="I87" s="120"/>
    </row>
    <row r="88" spans="1:9" ht="14.25" x14ac:dyDescent="0.2">
      <c r="A88" s="118" t="s">
        <v>68</v>
      </c>
      <c r="B88" s="6" t="s">
        <v>67</v>
      </c>
      <c r="D88" s="9"/>
      <c r="E88" s="9"/>
      <c r="F88" s="9"/>
      <c r="G88" s="9"/>
      <c r="H88" s="9"/>
      <c r="I88" s="120"/>
    </row>
    <row r="89" spans="1:9" ht="14.25" x14ac:dyDescent="0.2">
      <c r="A89" s="201"/>
      <c r="B89" s="9"/>
      <c r="C89" s="198">
        <f>-520</f>
        <v>-520</v>
      </c>
      <c r="D89" s="9"/>
      <c r="E89" s="9"/>
      <c r="F89" s="198">
        <f>PV(C82,3,,-F85)</f>
        <v>-100.38385240793833</v>
      </c>
      <c r="G89" s="198">
        <f>PV(C82,4,,-G85)</f>
        <v>-587.99292518411301</v>
      </c>
      <c r="H89" s="9"/>
      <c r="I89" s="120"/>
    </row>
    <row r="90" spans="1:9" ht="14.25" x14ac:dyDescent="0.2">
      <c r="A90" s="20" t="s">
        <v>69</v>
      </c>
      <c r="B90" s="198">
        <f>ABS(C89+F89+G89)</f>
        <v>1208.3767775920514</v>
      </c>
      <c r="D90" s="9"/>
      <c r="E90" s="9"/>
      <c r="F90" s="9"/>
      <c r="G90" s="9"/>
      <c r="H90" s="9"/>
      <c r="I90" s="120"/>
    </row>
    <row r="91" spans="1:9" ht="14.25" x14ac:dyDescent="0.2">
      <c r="A91" s="20"/>
      <c r="B91" s="9"/>
      <c r="D91" s="9"/>
      <c r="E91" s="9"/>
      <c r="F91" s="9"/>
      <c r="G91" s="9"/>
      <c r="H91" s="9"/>
      <c r="I91" s="120"/>
    </row>
    <row r="92" spans="1:9" ht="14.25" x14ac:dyDescent="0.2">
      <c r="A92" s="20"/>
      <c r="B92" s="9"/>
      <c r="D92" s="9"/>
      <c r="E92" s="9"/>
      <c r="F92" s="9"/>
      <c r="G92" s="9"/>
      <c r="H92" s="9"/>
      <c r="I92" s="120"/>
    </row>
    <row r="93" spans="1:9" ht="14.25" x14ac:dyDescent="0.2">
      <c r="A93" s="20" t="s">
        <v>70</v>
      </c>
      <c r="B93" s="9"/>
      <c r="C93" s="188">
        <f>((C81+1)^6)*B90</f>
        <v>1813.4477066018803</v>
      </c>
      <c r="D93" s="9"/>
      <c r="E93" s="9"/>
      <c r="F93" s="9"/>
      <c r="G93" s="9"/>
      <c r="H93" s="9"/>
      <c r="I93" s="120"/>
    </row>
    <row r="94" spans="1:9" ht="14.25" x14ac:dyDescent="0.2">
      <c r="A94" s="20"/>
      <c r="B94" s="9"/>
      <c r="D94" s="9"/>
      <c r="E94" s="9"/>
      <c r="F94" s="9"/>
      <c r="G94" s="9"/>
      <c r="H94" s="9"/>
      <c r="I94" s="120"/>
    </row>
    <row r="95" spans="1:9" ht="14.25" x14ac:dyDescent="0.2">
      <c r="A95" s="20" t="s">
        <v>71</v>
      </c>
      <c r="B95" s="9" t="s">
        <v>72</v>
      </c>
      <c r="D95" s="202">
        <f>FV($C$81,D84,,-D85)</f>
        <v>139.1</v>
      </c>
      <c r="E95" s="202">
        <f t="shared" ref="E95:I95" si="8">FV($C$81,E84,,-E85)</f>
        <v>228.98000000000002</v>
      </c>
      <c r="F95" s="202"/>
      <c r="G95" s="202"/>
      <c r="H95" s="202">
        <f>C93-D95-E95-I95</f>
        <v>860.08286938077038</v>
      </c>
      <c r="I95" s="200">
        <f t="shared" si="8"/>
        <v>585.28483722111002</v>
      </c>
    </row>
    <row r="96" spans="1:9" ht="14.25" x14ac:dyDescent="0.2">
      <c r="A96" s="20"/>
      <c r="B96" s="9"/>
      <c r="C96" s="9"/>
      <c r="D96" s="9"/>
      <c r="E96" s="9"/>
      <c r="F96" s="9"/>
      <c r="G96" s="9"/>
      <c r="H96" s="9"/>
      <c r="I96" s="120"/>
    </row>
    <row r="97" spans="1:9" ht="14.25" x14ac:dyDescent="0.2">
      <c r="A97" s="20"/>
      <c r="B97" s="9"/>
      <c r="C97" s="9"/>
      <c r="D97" s="9"/>
      <c r="E97" s="9"/>
      <c r="F97" s="9"/>
      <c r="G97" s="9"/>
      <c r="H97" s="9"/>
      <c r="I97" s="120"/>
    </row>
    <row r="98" spans="1:9" ht="14.25" x14ac:dyDescent="0.2">
      <c r="A98" s="20"/>
      <c r="B98" s="9"/>
      <c r="C98" s="9"/>
      <c r="D98" s="9"/>
      <c r="E98" s="9"/>
      <c r="F98" s="9"/>
      <c r="G98" s="9"/>
      <c r="H98" s="9"/>
      <c r="I98" s="120"/>
    </row>
    <row r="99" spans="1:9" ht="14.25" x14ac:dyDescent="0.2">
      <c r="A99" s="20"/>
      <c r="B99" s="9"/>
      <c r="C99" s="9"/>
      <c r="D99" s="9"/>
      <c r="E99" s="9"/>
      <c r="F99" s="9"/>
      <c r="G99" s="9"/>
      <c r="H99" s="9"/>
      <c r="I99" s="120"/>
    </row>
    <row r="100" spans="1:9" ht="14.25" x14ac:dyDescent="0.2">
      <c r="A100" s="20"/>
      <c r="B100" s="9"/>
      <c r="C100" s="9"/>
      <c r="D100" s="9" t="s">
        <v>73</v>
      </c>
      <c r="E100" s="9"/>
      <c r="F100" s="9" t="s">
        <v>74</v>
      </c>
      <c r="G100" s="9"/>
      <c r="H100" s="9"/>
      <c r="I100" s="120"/>
    </row>
    <row r="101" spans="1:9" ht="14.25" x14ac:dyDescent="0.2">
      <c r="A101" s="20"/>
      <c r="B101" s="9"/>
      <c r="C101" s="9"/>
      <c r="D101" s="9"/>
      <c r="E101" s="9"/>
      <c r="F101" s="9"/>
      <c r="G101" s="9"/>
      <c r="H101" s="9"/>
      <c r="I101" s="120"/>
    </row>
    <row r="102" spans="1:9" ht="14.25" x14ac:dyDescent="0.2">
      <c r="A102" s="20"/>
      <c r="B102" s="9"/>
      <c r="C102" s="9"/>
      <c r="D102" s="9"/>
      <c r="E102" s="9"/>
      <c r="F102" s="9"/>
      <c r="G102" s="9"/>
      <c r="H102" s="9"/>
      <c r="I102" s="120"/>
    </row>
    <row r="103" spans="1:9" ht="14.25" x14ac:dyDescent="0.2">
      <c r="A103" s="20"/>
      <c r="B103" s="9"/>
      <c r="C103" s="9"/>
      <c r="D103" s="9"/>
      <c r="E103" s="9"/>
      <c r="F103" s="9"/>
      <c r="G103" s="9"/>
      <c r="H103" s="9"/>
      <c r="I103" s="120"/>
    </row>
    <row r="104" spans="1:9" ht="14.25" x14ac:dyDescent="0.2">
      <c r="A104" s="20"/>
      <c r="B104" s="9"/>
      <c r="C104" s="9"/>
      <c r="D104" s="9"/>
      <c r="E104" s="9"/>
      <c r="F104" s="9"/>
      <c r="G104" s="9"/>
      <c r="H104" s="9"/>
      <c r="I104" s="120"/>
    </row>
    <row r="105" spans="1:9" ht="15" thickBot="1" x14ac:dyDescent="0.25">
      <c r="A105" s="21"/>
      <c r="B105" s="125"/>
      <c r="C105" s="125"/>
      <c r="D105" s="125"/>
      <c r="E105" s="125"/>
      <c r="F105" s="125"/>
      <c r="G105" s="125"/>
      <c r="H105" s="125"/>
      <c r="I105" s="126"/>
    </row>
    <row r="106" spans="1:9" ht="14.25" x14ac:dyDescent="0.2">
      <c r="A106" s="145" t="s">
        <v>33</v>
      </c>
      <c r="B106" s="155"/>
      <c r="C106" s="146"/>
      <c r="D106" s="203">
        <f>PV(C81,H84,,-H95)</f>
        <v>613.22719907914643</v>
      </c>
      <c r="E106" s="142"/>
      <c r="F106" s="9"/>
      <c r="G106" s="9"/>
      <c r="H106" s="9"/>
    </row>
    <row r="107" spans="1:9" ht="15" thickBot="1" x14ac:dyDescent="0.25">
      <c r="A107" s="139"/>
      <c r="B107" s="156"/>
      <c r="C107" s="140"/>
      <c r="D107" s="157"/>
      <c r="E107" s="144"/>
      <c r="F107" s="9"/>
      <c r="G107" s="9"/>
      <c r="H107" s="9"/>
    </row>
    <row r="108" spans="1:9" ht="14.25" x14ac:dyDescent="0.2">
      <c r="A108" s="9"/>
      <c r="B108" s="9"/>
      <c r="C108" s="9"/>
      <c r="D108" s="9"/>
      <c r="E108" s="9"/>
      <c r="F108" s="9"/>
      <c r="G108" s="9"/>
      <c r="H108" s="9"/>
    </row>
    <row r="109" spans="1:9" ht="14.25" x14ac:dyDescent="0.2">
      <c r="A109" s="9"/>
      <c r="B109" s="9"/>
      <c r="C109" s="9"/>
      <c r="D109" s="9"/>
      <c r="E109" s="9"/>
      <c r="F109" s="9"/>
      <c r="G109" s="9"/>
      <c r="H109" s="9"/>
    </row>
    <row r="110" spans="1:9" ht="14.25" x14ac:dyDescent="0.2">
      <c r="A110" s="9"/>
      <c r="B110" s="9"/>
      <c r="C110" s="9"/>
      <c r="D110" s="9"/>
      <c r="E110" s="9"/>
      <c r="F110" s="9"/>
      <c r="G110" s="9"/>
      <c r="H110" s="9"/>
    </row>
    <row r="111" spans="1:9" ht="15" x14ac:dyDescent="0.2">
      <c r="A111" s="130" t="s">
        <v>34</v>
      </c>
      <c r="B111" s="130"/>
      <c r="C111" s="130"/>
      <c r="D111" s="130"/>
      <c r="E111" s="130"/>
      <c r="F111" s="130"/>
      <c r="G111" s="130"/>
      <c r="H111" s="130"/>
      <c r="I111" s="130"/>
    </row>
    <row r="112" spans="1:9" ht="15.75" thickBot="1" x14ac:dyDescent="0.3">
      <c r="A112" s="22"/>
      <c r="B112" s="9"/>
      <c r="C112" s="9"/>
      <c r="D112" s="9"/>
      <c r="E112" s="9"/>
      <c r="F112" s="9"/>
      <c r="G112" s="9"/>
      <c r="H112" s="9"/>
    </row>
    <row r="113" spans="1:8" ht="14.25" x14ac:dyDescent="0.2">
      <c r="A113" s="131" t="s">
        <v>42</v>
      </c>
      <c r="B113" s="132"/>
      <c r="C113" s="132"/>
      <c r="D113" s="132"/>
      <c r="E113" s="133"/>
      <c r="G113" s="9"/>
      <c r="H113" s="9"/>
    </row>
    <row r="114" spans="1:8" ht="15" thickBot="1" x14ac:dyDescent="0.25">
      <c r="A114" s="134"/>
      <c r="B114" s="135"/>
      <c r="C114" s="135"/>
      <c r="D114" s="135"/>
      <c r="E114" s="136"/>
      <c r="G114" s="9"/>
      <c r="H114" s="9"/>
    </row>
    <row r="115" spans="1:8" ht="15" x14ac:dyDescent="0.25">
      <c r="A115" s="23" t="s">
        <v>35</v>
      </c>
      <c r="B115" s="3">
        <v>0.06</v>
      </c>
      <c r="C115" s="4"/>
      <c r="D115" s="4"/>
      <c r="E115" s="19"/>
      <c r="G115" s="9"/>
      <c r="H115" s="9"/>
    </row>
    <row r="116" spans="1:8" ht="14.25" x14ac:dyDescent="0.2">
      <c r="A116" s="24"/>
      <c r="D116" s="6"/>
      <c r="E116" s="1"/>
      <c r="G116" s="9"/>
      <c r="H116" s="9"/>
    </row>
    <row r="117" spans="1:8" ht="15" x14ac:dyDescent="0.25">
      <c r="A117" s="25" t="s">
        <v>32</v>
      </c>
      <c r="B117" s="26">
        <v>0</v>
      </c>
      <c r="C117" s="26">
        <v>1</v>
      </c>
      <c r="D117" s="26">
        <v>2</v>
      </c>
      <c r="E117" s="27" t="s">
        <v>36</v>
      </c>
      <c r="G117" s="9"/>
      <c r="H117" s="9"/>
    </row>
    <row r="118" spans="1:8" ht="14.25" x14ac:dyDescent="0.2">
      <c r="A118" s="28" t="s">
        <v>75</v>
      </c>
      <c r="B118" s="198">
        <v>-2400</v>
      </c>
      <c r="C118" s="127">
        <v>2580</v>
      </c>
      <c r="D118" s="127">
        <v>2600</v>
      </c>
      <c r="E118" s="1">
        <f>IRR(B118:D118)</f>
        <v>0.70892630298851178</v>
      </c>
      <c r="F118" s="194"/>
      <c r="G118" s="9"/>
      <c r="H118" s="9"/>
    </row>
    <row r="119" spans="1:8" ht="14.25" x14ac:dyDescent="0.2">
      <c r="A119" s="28" t="s">
        <v>76</v>
      </c>
      <c r="B119" s="198">
        <v>-2820</v>
      </c>
      <c r="C119" s="127">
        <v>1600</v>
      </c>
      <c r="D119" s="127">
        <v>4160</v>
      </c>
      <c r="E119" s="1">
        <f>IRR(B119:D119)</f>
        <v>0.53094740067975099</v>
      </c>
      <c r="G119" s="9"/>
      <c r="H119" s="9"/>
    </row>
    <row r="120" spans="1:8" ht="14.25" x14ac:dyDescent="0.2">
      <c r="A120" s="28" t="s">
        <v>77</v>
      </c>
      <c r="B120" s="198">
        <v>-2400</v>
      </c>
      <c r="C120" s="127">
        <v>2600</v>
      </c>
      <c r="D120" s="127">
        <v>2580</v>
      </c>
      <c r="E120" s="1">
        <f>IRR(B120:D120)</f>
        <v>0.71145415923862032</v>
      </c>
      <c r="G120" s="9"/>
      <c r="H120" s="9"/>
    </row>
    <row r="121" spans="1:8" ht="14.25" x14ac:dyDescent="0.2">
      <c r="A121" s="20" t="s">
        <v>78</v>
      </c>
      <c r="B121" s="198">
        <f>B120-B118</f>
        <v>0</v>
      </c>
      <c r="C121" s="127">
        <f>C120-C118</f>
        <v>20</v>
      </c>
      <c r="D121" s="127">
        <f>D120-D118</f>
        <v>-20</v>
      </c>
      <c r="E121" s="1">
        <f>IRR(B121:D121)</f>
        <v>0</v>
      </c>
      <c r="G121" s="9"/>
      <c r="H121" s="9"/>
    </row>
    <row r="122" spans="1:8" ht="14.25" x14ac:dyDescent="0.2">
      <c r="A122" s="20" t="s">
        <v>79</v>
      </c>
      <c r="B122" s="198">
        <f>B119-B118</f>
        <v>-420</v>
      </c>
      <c r="C122" s="198">
        <f>C119-C118</f>
        <v>-980</v>
      </c>
      <c r="D122" s="198">
        <f>D119-D118</f>
        <v>1560</v>
      </c>
      <c r="E122" s="1">
        <f>IRR(B122:D122)</f>
        <v>8.6197471579761986E-2</v>
      </c>
      <c r="G122" s="9"/>
      <c r="H122" s="9"/>
    </row>
    <row r="123" spans="1:8" ht="14.25" x14ac:dyDescent="0.2">
      <c r="A123" s="20"/>
      <c r="B123" s="198"/>
      <c r="C123" s="127"/>
      <c r="D123" s="127"/>
      <c r="E123" s="1"/>
      <c r="G123" s="9"/>
      <c r="H123" s="9"/>
    </row>
    <row r="124" spans="1:8" ht="14.25" x14ac:dyDescent="0.2">
      <c r="A124" s="20"/>
      <c r="B124" s="9"/>
      <c r="C124" s="127"/>
      <c r="D124" s="127"/>
      <c r="E124" s="1"/>
      <c r="G124" s="9"/>
      <c r="H124" s="9"/>
    </row>
    <row r="125" spans="1:8" ht="15" thickBot="1" x14ac:dyDescent="0.25">
      <c r="A125" s="21"/>
      <c r="B125" s="125"/>
      <c r="C125" s="128"/>
      <c r="D125" s="128"/>
      <c r="E125" s="2"/>
      <c r="G125" s="9"/>
      <c r="H125" s="9"/>
    </row>
    <row r="126" spans="1:8" ht="14.25" x14ac:dyDescent="0.2">
      <c r="A126" s="137" t="s">
        <v>26</v>
      </c>
      <c r="B126" s="138"/>
      <c r="C126" s="141">
        <f>E122</f>
        <v>8.6197471579761986E-2</v>
      </c>
      <c r="D126" s="142"/>
      <c r="E126" s="9"/>
      <c r="F126" s="9"/>
      <c r="G126" s="9"/>
      <c r="H126" s="9"/>
    </row>
    <row r="127" spans="1:8" ht="15" thickBot="1" x14ac:dyDescent="0.25">
      <c r="A127" s="139"/>
      <c r="B127" s="140"/>
      <c r="C127" s="143"/>
      <c r="D127" s="144"/>
      <c r="E127" s="9"/>
      <c r="F127" s="9"/>
      <c r="G127" s="9"/>
      <c r="H127" s="9"/>
    </row>
    <row r="128" spans="1:8" ht="14.25" x14ac:dyDescent="0.2">
      <c r="A128" s="145" t="s">
        <v>37</v>
      </c>
      <c r="B128" s="146"/>
      <c r="C128" s="204" t="s">
        <v>76</v>
      </c>
      <c r="D128" s="205"/>
      <c r="E128" s="9"/>
      <c r="F128" s="9"/>
      <c r="G128" s="9"/>
      <c r="H128" s="9"/>
    </row>
    <row r="129" spans="1:8" ht="15" thickBot="1" x14ac:dyDescent="0.25">
      <c r="A129" s="139"/>
      <c r="B129" s="140"/>
      <c r="C129" s="206"/>
      <c r="D129" s="207"/>
      <c r="E129" s="9"/>
      <c r="F129" s="9"/>
      <c r="G129" s="9"/>
      <c r="H129" s="9"/>
    </row>
    <row r="130" spans="1:8" ht="14.25" x14ac:dyDescent="0.2">
      <c r="B130" s="29"/>
      <c r="C130" s="9"/>
      <c r="D130" s="9"/>
      <c r="E130" s="9"/>
      <c r="F130" s="9"/>
      <c r="G130" s="9"/>
      <c r="H130" s="30"/>
    </row>
    <row r="132" spans="1:8" x14ac:dyDescent="0.2">
      <c r="D132" s="6"/>
    </row>
    <row r="133" spans="1:8" x14ac:dyDescent="0.2">
      <c r="D133" s="6"/>
    </row>
    <row r="134" spans="1:8" x14ac:dyDescent="0.2">
      <c r="D134" s="6"/>
    </row>
    <row r="135" spans="1:8" x14ac:dyDescent="0.2">
      <c r="D135" s="6"/>
    </row>
    <row r="139" spans="1:8" ht="14.25" x14ac:dyDescent="0.2">
      <c r="A139" s="31"/>
    </row>
  </sheetData>
  <mergeCells count="37">
    <mergeCell ref="A46:B46"/>
    <mergeCell ref="C46:D46"/>
    <mergeCell ref="H1:I1"/>
    <mergeCell ref="A5:A7"/>
    <mergeCell ref="A10:I10"/>
    <mergeCell ref="A11:I11"/>
    <mergeCell ref="A13:I14"/>
    <mergeCell ref="A61:B61"/>
    <mergeCell ref="A47:B47"/>
    <mergeCell ref="A49:I49"/>
    <mergeCell ref="A51:I52"/>
    <mergeCell ref="A53:B53"/>
    <mergeCell ref="A54:B54"/>
    <mergeCell ref="A55:B55"/>
    <mergeCell ref="A56:B56"/>
    <mergeCell ref="A57:B57"/>
    <mergeCell ref="A58:B58"/>
    <mergeCell ref="A59:B59"/>
    <mergeCell ref="A60:B60"/>
    <mergeCell ref="A62:B62"/>
    <mergeCell ref="A63:B63"/>
    <mergeCell ref="A64:B64"/>
    <mergeCell ref="F64:G65"/>
    <mergeCell ref="H64:I65"/>
    <mergeCell ref="A65:B65"/>
    <mergeCell ref="H68:I68"/>
    <mergeCell ref="A72:A74"/>
    <mergeCell ref="A77:I77"/>
    <mergeCell ref="A79:I80"/>
    <mergeCell ref="A106:C107"/>
    <mergeCell ref="D106:E107"/>
    <mergeCell ref="A111:I111"/>
    <mergeCell ref="A113:E114"/>
    <mergeCell ref="A126:B127"/>
    <mergeCell ref="C126:D127"/>
    <mergeCell ref="A128:B129"/>
    <mergeCell ref="C128:D129"/>
  </mergeCells>
  <pageMargins left="0.2" right="0.2" top="0.2" bottom="0.2" header="0" footer="0"/>
  <pageSetup scale="8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92788-98F0-448A-B7C2-97FB8E849ED9}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Modèle</vt:lpstr>
      <vt:lpstr>Calcul perso</vt:lpstr>
    </vt:vector>
  </TitlesOfParts>
  <Manager/>
  <Company>Aucune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Lab 5</dc:title>
  <dc:subject/>
  <dc:creator>olblai</dc:creator>
  <cp:keywords/>
  <dc:description/>
  <cp:lastModifiedBy>Samuel Gervais</cp:lastModifiedBy>
  <cp:revision/>
  <cp:lastPrinted>2022-04-01T21:14:50Z</cp:lastPrinted>
  <dcterms:created xsi:type="dcterms:W3CDTF">2006-11-14T14:22:35Z</dcterms:created>
  <dcterms:modified xsi:type="dcterms:W3CDTF">2022-04-01T21:16:26Z</dcterms:modified>
  <cp:category/>
  <cp:contentStatus/>
</cp:coreProperties>
</file>