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S03.labos.polymtl.ca\profiles\jeberag\profiles\downloads\"/>
    </mc:Choice>
  </mc:AlternateContent>
  <xr:revisionPtr revIDLastSave="0" documentId="13_ncr:1_{8C61E554-78EE-4D62-9E43-189364744827}" xr6:coauthVersionLast="36" xr6:coauthVersionMax="47" xr10:uidLastSave="{00000000-0000-0000-0000-000000000000}"/>
  <bookViews>
    <workbookView xWindow="2385" yWindow="1155" windowWidth="25605" windowHeight="14985" xr2:uid="{866AC3BC-D0DE-464E-A352-959905E4964C}"/>
  </bookViews>
  <sheets>
    <sheet name="Feuil1" sheetId="1" r:id="rId1"/>
  </sheets>
  <definedNames>
    <definedName name="_xlnm.Print_Area" localSheetId="0">Feuil1!$A$1:$I$99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C55" i="1"/>
  <c r="I43" i="1"/>
  <c r="I44" i="1"/>
  <c r="M42" i="1"/>
  <c r="I52" i="1"/>
  <c r="E26" i="1"/>
  <c r="E52" i="1"/>
  <c r="M38" i="1"/>
  <c r="N38" i="1"/>
  <c r="O38" i="1"/>
  <c r="P38" i="1"/>
  <c r="Q38" i="1"/>
  <c r="M39" i="1"/>
  <c r="M35" i="1"/>
  <c r="C94" i="1"/>
  <c r="E94" i="1"/>
  <c r="F26" i="1"/>
  <c r="E22" i="1"/>
  <c r="E24" i="1"/>
  <c r="E31" i="1"/>
  <c r="E35" i="1"/>
  <c r="E37" i="1"/>
  <c r="E38" i="1"/>
  <c r="E54" i="1"/>
  <c r="F22" i="1"/>
  <c r="F24" i="1"/>
  <c r="F31" i="1"/>
  <c r="F35" i="1"/>
  <c r="F37" i="1"/>
  <c r="F38" i="1"/>
  <c r="F52" i="1"/>
  <c r="F54" i="1"/>
  <c r="G26" i="1"/>
  <c r="G22" i="1"/>
  <c r="G24" i="1"/>
  <c r="G31" i="1"/>
  <c r="G35" i="1"/>
  <c r="G37" i="1"/>
  <c r="G38" i="1"/>
  <c r="G52" i="1"/>
  <c r="G54" i="1"/>
  <c r="H26" i="1"/>
  <c r="H22" i="1"/>
  <c r="H24" i="1"/>
  <c r="H31" i="1"/>
  <c r="H35" i="1"/>
  <c r="H37" i="1"/>
  <c r="H38" i="1"/>
  <c r="H52" i="1"/>
  <c r="H54" i="1"/>
  <c r="I26" i="1"/>
  <c r="I22" i="1"/>
  <c r="I24" i="1"/>
  <c r="I31" i="1"/>
  <c r="I35" i="1"/>
  <c r="I37" i="1"/>
  <c r="I54" i="1"/>
  <c r="C79" i="1"/>
  <c r="C80" i="1"/>
  <c r="C81" i="1"/>
  <c r="C70" i="1"/>
  <c r="F65" i="1"/>
  <c r="G65" i="1"/>
  <c r="H65" i="1"/>
  <c r="I65" i="1"/>
  <c r="E65" i="1"/>
  <c r="I64" i="1"/>
  <c r="H64" i="1"/>
  <c r="G64" i="1"/>
  <c r="F64" i="1"/>
  <c r="E64" i="1"/>
  <c r="D54" i="1"/>
  <c r="I53" i="1"/>
  <c r="H53" i="1"/>
  <c r="G53" i="1"/>
  <c r="F53" i="1"/>
  <c r="E53" i="1"/>
  <c r="D53" i="1"/>
  <c r="I42" i="1"/>
  <c r="I40" i="1"/>
  <c r="I41" i="1"/>
  <c r="F20" i="1"/>
  <c r="G20" i="1"/>
  <c r="H20" i="1"/>
  <c r="I20" i="1"/>
  <c r="I21" i="1"/>
  <c r="K43" i="1"/>
  <c r="I27" i="1"/>
  <c r="I33" i="1"/>
  <c r="I34" i="1"/>
  <c r="I36" i="1"/>
  <c r="I51" i="1"/>
  <c r="F21" i="1"/>
  <c r="K40" i="1"/>
  <c r="F27" i="1"/>
  <c r="F28" i="1"/>
  <c r="F33" i="1"/>
  <c r="F34" i="1"/>
  <c r="F36" i="1"/>
  <c r="G21" i="1"/>
  <c r="K41" i="1"/>
  <c r="G27" i="1"/>
  <c r="G28" i="1"/>
  <c r="G33" i="1"/>
  <c r="G34" i="1"/>
  <c r="G36" i="1"/>
  <c r="H21" i="1"/>
  <c r="K42" i="1"/>
  <c r="H27" i="1"/>
  <c r="H33" i="1"/>
  <c r="H34" i="1"/>
  <c r="H36" i="1"/>
  <c r="E21" i="1"/>
  <c r="K39" i="1"/>
  <c r="E27" i="1"/>
  <c r="E33" i="1"/>
  <c r="E34" i="1"/>
  <c r="E36" i="1"/>
  <c r="D15" i="1"/>
  <c r="D17" i="1"/>
  <c r="D52" i="1"/>
  <c r="K44" i="1"/>
  <c r="K38" i="1"/>
  <c r="E85" i="1"/>
  <c r="D85" i="1"/>
  <c r="C85" i="1"/>
</calcChain>
</file>

<file path=xl/sharedStrings.xml><?xml version="1.0" encoding="utf-8"?>
<sst xmlns="http://schemas.openxmlformats.org/spreadsheetml/2006/main" count="100" uniqueCount="82">
  <si>
    <t>SSH3201 - Économique de l'ingénieur</t>
  </si>
  <si>
    <t>Laboratoire 6</t>
  </si>
  <si>
    <t>Coordonnées :</t>
  </si>
  <si>
    <t>Nom :</t>
  </si>
  <si>
    <t>Prénom :</t>
  </si>
  <si>
    <t>Matricule :</t>
  </si>
  <si>
    <t xml:space="preserve">Groupe : </t>
  </si>
  <si>
    <t>Question 1.</t>
  </si>
  <si>
    <t>Données</t>
  </si>
  <si>
    <t>Total</t>
  </si>
  <si>
    <t xml:space="preserve">Impôt et amortissement fiscal </t>
  </si>
  <si>
    <t>Ajustement fiscal sur disposition d'actifs</t>
  </si>
  <si>
    <t>Valeurs résiduelles</t>
  </si>
  <si>
    <t>Flux monétaires</t>
  </si>
  <si>
    <t>Facteur d'actualisation</t>
  </si>
  <si>
    <t>Flux monétaires actualisés</t>
  </si>
  <si>
    <t>Valeur actuelle nette</t>
  </si>
  <si>
    <t>Question 2.</t>
  </si>
  <si>
    <t xml:space="preserve">Valeur actualisée des économies d'impôts du à l'amortissement fiscal </t>
  </si>
  <si>
    <t>Économie d'impôt</t>
  </si>
  <si>
    <t>Valeur actuelle</t>
  </si>
  <si>
    <t>Annuité équivalente après impôt (AÉ)</t>
  </si>
  <si>
    <t>Flux monétaires nets</t>
  </si>
  <si>
    <t xml:space="preserve">Facteurs d'actualisation </t>
  </si>
  <si>
    <t xml:space="preserve">Flux monétaires actualisés </t>
  </si>
  <si>
    <t>VAN</t>
  </si>
  <si>
    <t>Facteur d'annualisation</t>
  </si>
  <si>
    <t xml:space="preserve">AÉ </t>
  </si>
  <si>
    <t>Question 3.</t>
  </si>
  <si>
    <t>Écart :</t>
  </si>
  <si>
    <t>Annéo 0</t>
  </si>
  <si>
    <t>Année 1</t>
  </si>
  <si>
    <t>Année 2</t>
  </si>
  <si>
    <t>Année 3</t>
  </si>
  <si>
    <t>Année 4</t>
  </si>
  <si>
    <t>Année 5</t>
  </si>
  <si>
    <t xml:space="preserve">Impact sur la VAN en % </t>
  </si>
  <si>
    <t xml:space="preserve">Conclusion </t>
  </si>
  <si>
    <t>E2022</t>
  </si>
  <si>
    <t>Investissements</t>
  </si>
  <si>
    <t>Produits (Revenus d'exploitation)</t>
  </si>
  <si>
    <t>Débours d'exploitation</t>
  </si>
  <si>
    <t>Méthodes d'analyse de projets après impôt</t>
  </si>
  <si>
    <t>VAN après impôt</t>
  </si>
  <si>
    <t>Bernard</t>
  </si>
  <si>
    <t>Jean-Philippe</t>
  </si>
  <si>
    <t>Yeya</t>
  </si>
  <si>
    <t>Ly</t>
  </si>
  <si>
    <t>Charles</t>
  </si>
  <si>
    <t>D'onofrio</t>
  </si>
  <si>
    <t>Coûts acquisition équipe</t>
  </si>
  <si>
    <t>Achat terrain</t>
  </si>
  <si>
    <t>Achat d'équipement</t>
  </si>
  <si>
    <t>Investissement stade</t>
  </si>
  <si>
    <t>Nombre de billets vendues</t>
  </si>
  <si>
    <t>Prix moyen billets</t>
  </si>
  <si>
    <t>Revenus</t>
  </si>
  <si>
    <t>Droit de diffusion</t>
  </si>
  <si>
    <t>Masse salariale</t>
  </si>
  <si>
    <t>Autres dépenses</t>
  </si>
  <si>
    <t>Publicité</t>
  </si>
  <si>
    <t>n</t>
  </si>
  <si>
    <t>P</t>
  </si>
  <si>
    <t>R</t>
  </si>
  <si>
    <t>Sommation T</t>
  </si>
  <si>
    <t>somme</t>
  </si>
  <si>
    <t>DPA immeuble (F)</t>
  </si>
  <si>
    <t>DPA Équipement (NF)</t>
  </si>
  <si>
    <t>Impôt sur revenus</t>
  </si>
  <si>
    <t>Déduction d'impôts</t>
  </si>
  <si>
    <t>Impôt net</t>
  </si>
  <si>
    <t>Équipement Non-Fermeture</t>
  </si>
  <si>
    <t>équipe</t>
  </si>
  <si>
    <t>Terrain</t>
  </si>
  <si>
    <t>Stade</t>
  </si>
  <si>
    <t>équipement</t>
  </si>
  <si>
    <t>stadeFermeture</t>
  </si>
  <si>
    <t>Impot sur disposition équipe</t>
  </si>
  <si>
    <t>Impot sur disposition terrain</t>
  </si>
  <si>
    <t>Facteur</t>
  </si>
  <si>
    <t>Déduction actualisé</t>
  </si>
  <si>
    <t>On constate que lors de ce porjet, le VAN est modérement sensible au changement de la masse salariale.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</si>
</sst>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* #,##0.00_)\ &quot;$&quot;_ ;_ * \(#,##0.00\)\ &quot;$&quot;_ ;_ * &quot;-&quot;??_)\ &quot;$&quot;_ ;_ @_ "/>
    <numFmt numFmtId="164" formatCode="_-* #,##0\ &quot;$&quot;_-;_-* #,##0\ &quot;$&quot;\-;_-* &quot;-&quot;??\ &quot;$&quot;_-;_-@_-"/>
    <numFmt numFmtId="165" formatCode="_ * #,##0_)\ &quot;$&quot;_ ;_ * \(#,##0\)\ &quot;$&quot;_ ;_ * &quot;-&quot;??_)\ &quot;$&quot;_ ;_ @_ "/>
    <numFmt numFmtId="166" formatCode="#,##0\ &quot;$&quot;_-;[Red]#,##0\ &quot;$&quot;\-"/>
    <numFmt numFmtId="167" formatCode="0.0000"/>
    <numFmt numFmtId="168" formatCode="#,##0\ &quot;$&quot;"/>
    <numFmt numFmtId="171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51">
    <xf numFmtId="0" fontId="0" fillId="0" borderId="0" xfId="0"/>
    <xf numFmtId="0" fontId="3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5" fillId="0" borderId="0" xfId="3" applyFont="1" applyAlignment="1">
      <alignment horizontal="left"/>
    </xf>
    <xf numFmtId="0" fontId="4" fillId="0" borderId="0" xfId="3" applyFont="1"/>
    <xf numFmtId="0" fontId="2" fillId="0" borderId="0" xfId="3"/>
    <xf numFmtId="0" fontId="5" fillId="0" borderId="0" xfId="3" applyFont="1" applyAlignment="1">
      <alignment horizontal="right"/>
    </xf>
    <xf numFmtId="49" fontId="5" fillId="0" borderId="0" xfId="3" applyNumberFormat="1" applyFont="1" applyAlignment="1">
      <alignment horizontal="right"/>
    </xf>
    <xf numFmtId="49" fontId="6" fillId="0" borderId="0" xfId="3" applyNumberFormat="1" applyFont="1" applyAlignment="1">
      <alignment horizontal="left"/>
    </xf>
    <xf numFmtId="49" fontId="7" fillId="0" borderId="0" xfId="3" applyNumberFormat="1" applyFont="1" applyAlignment="1">
      <alignment horizontal="left"/>
    </xf>
    <xf numFmtId="49" fontId="8" fillId="0" borderId="0" xfId="3" applyNumberFormat="1" applyFont="1" applyAlignment="1">
      <alignment horizontal="right"/>
    </xf>
    <xf numFmtId="0" fontId="7" fillId="0" borderId="0" xfId="3" applyFont="1" applyAlignment="1">
      <alignment horizontal="left"/>
    </xf>
    <xf numFmtId="49" fontId="8" fillId="0" borderId="0" xfId="3" applyNumberFormat="1" applyFont="1"/>
    <xf numFmtId="0" fontId="7" fillId="0" borderId="0" xfId="3" applyFont="1"/>
    <xf numFmtId="49" fontId="7" fillId="0" borderId="0" xfId="3" applyNumberFormat="1" applyFont="1"/>
    <xf numFmtId="0" fontId="4" fillId="0" borderId="1" xfId="3" applyFont="1" applyBorder="1" applyAlignment="1">
      <alignment vertical="center"/>
    </xf>
    <xf numFmtId="0" fontId="4" fillId="0" borderId="2" xfId="3" applyFont="1" applyBorder="1" applyAlignment="1">
      <alignment vertical="center"/>
    </xf>
    <xf numFmtId="0" fontId="4" fillId="0" borderId="7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3" applyFont="1" applyFill="1" applyBorder="1" applyAlignment="1">
      <alignment vertical="center"/>
    </xf>
    <xf numFmtId="0" fontId="2" fillId="4" borderId="7" xfId="3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165" fontId="2" fillId="4" borderId="2" xfId="3" applyNumberFormat="1" applyFill="1" applyBorder="1" applyAlignment="1">
      <alignment vertical="center"/>
    </xf>
    <xf numFmtId="165" fontId="2" fillId="4" borderId="3" xfId="3" applyNumberFormat="1" applyFill="1" applyBorder="1" applyAlignment="1">
      <alignment vertical="center"/>
    </xf>
    <xf numFmtId="0" fontId="10" fillId="0" borderId="8" xfId="0" applyFont="1" applyBorder="1" applyAlignment="1">
      <alignment horizontal="left" vertical="center" indent="1"/>
    </xf>
    <xf numFmtId="9" fontId="11" fillId="0" borderId="9" xfId="3" applyNumberFormat="1" applyFont="1" applyBorder="1" applyAlignment="1">
      <alignment horizontal="center" vertical="center"/>
    </xf>
    <xf numFmtId="165" fontId="11" fillId="0" borderId="0" xfId="1" applyNumberFormat="1" applyFont="1" applyFill="1" applyBorder="1" applyAlignment="1">
      <alignment horizontal="right" vertical="center"/>
    </xf>
    <xf numFmtId="0" fontId="11" fillId="0" borderId="9" xfId="3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indent="1"/>
    </xf>
    <xf numFmtId="165" fontId="13" fillId="0" borderId="0" xfId="1" applyNumberFormat="1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3" applyFont="1" applyFill="1" applyBorder="1" applyAlignment="1">
      <alignment vertical="center"/>
    </xf>
    <xf numFmtId="9" fontId="2" fillId="4" borderId="13" xfId="3" applyNumberFormat="1" applyFill="1" applyBorder="1" applyAlignment="1">
      <alignment horizontal="center" vertical="center"/>
    </xf>
    <xf numFmtId="0" fontId="2" fillId="4" borderId="12" xfId="3" applyFill="1" applyBorder="1" applyAlignment="1">
      <alignment horizontal="center" vertical="center"/>
    </xf>
    <xf numFmtId="1" fontId="2" fillId="4" borderId="12" xfId="3" applyNumberFormat="1" applyFill="1" applyBorder="1" applyAlignment="1">
      <alignment horizontal="center" vertical="center"/>
    </xf>
    <xf numFmtId="1" fontId="2" fillId="4" borderId="14" xfId="3" applyNumberForma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indent="2"/>
    </xf>
    <xf numFmtId="3" fontId="11" fillId="0" borderId="0" xfId="1" applyNumberFormat="1" applyFont="1" applyFill="1" applyBorder="1" applyAlignment="1">
      <alignment horizontal="right" vertical="center"/>
    </xf>
    <xf numFmtId="44" fontId="11" fillId="0" borderId="0" xfId="1" applyFont="1" applyFill="1" applyBorder="1" applyAlignment="1">
      <alignment horizontal="center" vertical="center"/>
    </xf>
    <xf numFmtId="165" fontId="11" fillId="0" borderId="10" xfId="1" applyNumberFormat="1" applyFont="1" applyFill="1" applyBorder="1" applyAlignment="1">
      <alignment horizontal="right" vertical="center"/>
    </xf>
    <xf numFmtId="165" fontId="13" fillId="0" borderId="10" xfId="1" applyNumberFormat="1" applyFont="1" applyFill="1" applyBorder="1" applyAlignment="1">
      <alignment horizontal="right" vertical="center"/>
    </xf>
    <xf numFmtId="0" fontId="12" fillId="0" borderId="8" xfId="0" applyFont="1" applyBorder="1" applyAlignment="1">
      <alignment horizontal="left" vertical="center"/>
    </xf>
    <xf numFmtId="0" fontId="2" fillId="4" borderId="12" xfId="3" applyFill="1" applyBorder="1" applyAlignment="1">
      <alignment vertical="center"/>
    </xf>
    <xf numFmtId="166" fontId="2" fillId="4" borderId="13" xfId="3" applyNumberFormat="1" applyFill="1" applyBorder="1" applyAlignment="1">
      <alignment horizontal="center" vertical="center"/>
    </xf>
    <xf numFmtId="0" fontId="2" fillId="4" borderId="14" xfId="3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9" fontId="0" fillId="4" borderId="13" xfId="2" applyFont="1" applyFill="1" applyBorder="1" applyAlignment="1">
      <alignment horizontal="center" vertical="center"/>
    </xf>
    <xf numFmtId="164" fontId="0" fillId="4" borderId="12" xfId="1" applyNumberFormat="1" applyFont="1" applyFill="1" applyBorder="1" applyAlignment="1">
      <alignment horizontal="center" vertical="center"/>
    </xf>
    <xf numFmtId="165" fontId="2" fillId="4" borderId="12" xfId="3" applyNumberFormat="1" applyFill="1" applyBorder="1" applyAlignment="1">
      <alignment vertical="center"/>
    </xf>
    <xf numFmtId="165" fontId="2" fillId="4" borderId="14" xfId="3" applyNumberForma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3" applyFont="1" applyBorder="1" applyAlignment="1">
      <alignment vertical="center"/>
    </xf>
    <xf numFmtId="0" fontId="11" fillId="0" borderId="13" xfId="3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right" vertical="center"/>
    </xf>
    <xf numFmtId="165" fontId="13" fillId="0" borderId="12" xfId="1" applyNumberFormat="1" applyFont="1" applyFill="1" applyBorder="1" applyAlignment="1">
      <alignment horizontal="right" vertical="center"/>
    </xf>
    <xf numFmtId="165" fontId="13" fillId="0" borderId="14" xfId="1" applyNumberFormat="1" applyFont="1" applyFill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3" applyFont="1" applyBorder="1" applyAlignment="1">
      <alignment vertical="center"/>
    </xf>
    <xf numFmtId="0" fontId="11" fillId="0" borderId="17" xfId="3" applyFont="1" applyBorder="1" applyAlignment="1">
      <alignment horizontal="center" vertical="center"/>
    </xf>
    <xf numFmtId="165" fontId="13" fillId="0" borderId="18" xfId="1" applyNumberFormat="1" applyFont="1" applyFill="1" applyBorder="1" applyAlignment="1">
      <alignment horizontal="right" vertical="center"/>
    </xf>
    <xf numFmtId="44" fontId="4" fillId="0" borderId="0" xfId="3" applyNumberFormat="1" applyFont="1" applyAlignment="1">
      <alignment horizontal="center" vertical="center"/>
    </xf>
    <xf numFmtId="0" fontId="4" fillId="0" borderId="19" xfId="3" applyFont="1" applyBorder="1" applyAlignment="1">
      <alignment vertical="center"/>
    </xf>
    <xf numFmtId="0" fontId="4" fillId="0" borderId="20" xfId="3" applyFont="1" applyBorder="1" applyAlignment="1">
      <alignment vertical="center"/>
    </xf>
    <xf numFmtId="0" fontId="4" fillId="0" borderId="20" xfId="3" applyFont="1" applyBorder="1" applyAlignment="1">
      <alignment horizontal="center" vertical="center"/>
    </xf>
    <xf numFmtId="0" fontId="4" fillId="0" borderId="21" xfId="3" applyFont="1" applyBorder="1" applyAlignment="1">
      <alignment horizontal="center" vertical="center"/>
    </xf>
    <xf numFmtId="0" fontId="4" fillId="0" borderId="22" xfId="3" applyFont="1" applyBorder="1" applyAlignment="1">
      <alignment horizontal="center" vertical="center"/>
    </xf>
    <xf numFmtId="0" fontId="14" fillId="0" borderId="1" xfId="3" applyFont="1" applyBorder="1" applyAlignment="1">
      <alignment horizontal="left" indent="1"/>
    </xf>
    <xf numFmtId="0" fontId="7" fillId="0" borderId="23" xfId="3" applyFont="1" applyBorder="1" applyAlignment="1">
      <alignment horizontal="center"/>
    </xf>
    <xf numFmtId="0" fontId="8" fillId="0" borderId="2" xfId="3" applyFont="1" applyBorder="1" applyAlignment="1">
      <alignment horizontal="center" vertical="center"/>
    </xf>
    <xf numFmtId="0" fontId="7" fillId="0" borderId="2" xfId="3" applyFont="1" applyBorder="1"/>
    <xf numFmtId="0" fontId="2" fillId="0" borderId="3" xfId="3" applyBorder="1"/>
    <xf numFmtId="0" fontId="7" fillId="0" borderId="8" xfId="3" applyFont="1" applyBorder="1" applyAlignment="1">
      <alignment horizontal="left" indent="1"/>
    </xf>
    <xf numFmtId="0" fontId="7" fillId="0" borderId="24" xfId="3" applyFont="1" applyBorder="1" applyAlignment="1">
      <alignment horizontal="center"/>
    </xf>
    <xf numFmtId="0" fontId="2" fillId="0" borderId="10" xfId="3" applyBorder="1"/>
    <xf numFmtId="0" fontId="14" fillId="0" borderId="8" xfId="3" applyFont="1" applyBorder="1" applyAlignment="1">
      <alignment horizontal="left" indent="1"/>
    </xf>
    <xf numFmtId="0" fontId="5" fillId="0" borderId="24" xfId="3" applyFont="1" applyBorder="1" applyAlignment="1">
      <alignment horizontal="center"/>
    </xf>
    <xf numFmtId="0" fontId="14" fillId="0" borderId="0" xfId="3" applyFont="1" applyAlignment="1">
      <alignment horizontal="center"/>
    </xf>
    <xf numFmtId="0" fontId="7" fillId="0" borderId="8" xfId="3" applyFont="1" applyBorder="1"/>
    <xf numFmtId="0" fontId="7" fillId="0" borderId="0" xfId="3" applyFont="1" applyAlignment="1">
      <alignment horizontal="center"/>
    </xf>
    <xf numFmtId="0" fontId="7" fillId="0" borderId="24" xfId="3" applyFont="1" applyBorder="1"/>
    <xf numFmtId="0" fontId="7" fillId="0" borderId="4" xfId="3" applyFont="1" applyBorder="1"/>
    <xf numFmtId="0" fontId="7" fillId="0" borderId="25" xfId="3" applyFont="1" applyBorder="1"/>
    <xf numFmtId="0" fontId="2" fillId="0" borderId="5" xfId="3" applyBorder="1"/>
    <xf numFmtId="0" fontId="7" fillId="0" borderId="5" xfId="3" applyFont="1" applyBorder="1"/>
    <xf numFmtId="0" fontId="2" fillId="0" borderId="6" xfId="3" applyBorder="1"/>
    <xf numFmtId="0" fontId="4" fillId="0" borderId="19" xfId="0" applyFont="1" applyBorder="1" applyAlignment="1">
      <alignment horizontal="left" indent="1"/>
    </xf>
    <xf numFmtId="0" fontId="2" fillId="5" borderId="21" xfId="3" applyFill="1" applyBorder="1"/>
    <xf numFmtId="0" fontId="4" fillId="4" borderId="0" xfId="0" applyFont="1" applyFill="1"/>
    <xf numFmtId="0" fontId="0" fillId="4" borderId="0" xfId="0" applyFill="1"/>
    <xf numFmtId="0" fontId="2" fillId="0" borderId="26" xfId="3" applyBorder="1"/>
    <xf numFmtId="167" fontId="0" fillId="0" borderId="27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28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4" fillId="0" borderId="8" xfId="0" applyFont="1" applyBorder="1"/>
    <xf numFmtId="0" fontId="4" fillId="0" borderId="4" xfId="0" applyFont="1" applyBorder="1"/>
    <xf numFmtId="0" fontId="0" fillId="0" borderId="5" xfId="0" applyBorder="1"/>
    <xf numFmtId="0" fontId="4" fillId="0" borderId="0" xfId="0" applyFont="1" applyAlignment="1">
      <alignment horizontal="right" indent="1"/>
    </xf>
    <xf numFmtId="9" fontId="0" fillId="5" borderId="0" xfId="0" applyNumberFormat="1" applyFill="1"/>
    <xf numFmtId="0" fontId="0" fillId="0" borderId="0" xfId="0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29" xfId="2" applyFont="1" applyBorder="1"/>
    <xf numFmtId="9" fontId="0" fillId="0" borderId="29" xfId="0" applyNumberFormat="1" applyBorder="1"/>
    <xf numFmtId="0" fontId="4" fillId="0" borderId="0" xfId="0" applyFont="1" applyAlignment="1">
      <alignment horizontal="right"/>
    </xf>
    <xf numFmtId="165" fontId="0" fillId="0" borderId="26" xfId="0" applyNumberFormat="1" applyBorder="1" applyAlignment="1">
      <alignment horizontal="center"/>
    </xf>
    <xf numFmtId="44" fontId="0" fillId="0" borderId="27" xfId="0" applyNumberFormat="1" applyBorder="1"/>
    <xf numFmtId="0" fontId="2" fillId="0" borderId="0" xfId="0" applyFont="1"/>
    <xf numFmtId="165" fontId="0" fillId="6" borderId="28" xfId="0" applyNumberFormat="1" applyFill="1" applyBorder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5" borderId="0" xfId="2" applyNumberFormat="1" applyFont="1" applyFill="1"/>
    <xf numFmtId="0" fontId="2" fillId="0" borderId="0" xfId="3" applyAlignment="1">
      <alignment horizontal="center"/>
    </xf>
    <xf numFmtId="0" fontId="15" fillId="0" borderId="0" xfId="3" applyFont="1"/>
    <xf numFmtId="0" fontId="4" fillId="0" borderId="0" xfId="3" applyFont="1" applyBorder="1" applyAlignment="1">
      <alignment vertical="center"/>
    </xf>
    <xf numFmtId="0" fontId="12" fillId="6" borderId="30" xfId="0" applyFont="1" applyFill="1" applyBorder="1" applyAlignment="1">
      <alignment horizontal="left" vertical="center" indent="1"/>
    </xf>
    <xf numFmtId="0" fontId="4" fillId="6" borderId="31" xfId="3" applyFont="1" applyFill="1" applyBorder="1" applyAlignment="1">
      <alignment vertical="center"/>
    </xf>
    <xf numFmtId="9" fontId="11" fillId="6" borderId="32" xfId="3" applyNumberFormat="1" applyFont="1" applyFill="1" applyBorder="1" applyAlignment="1">
      <alignment horizontal="center" vertical="center"/>
    </xf>
    <xf numFmtId="165" fontId="11" fillId="6" borderId="31" xfId="1" applyNumberFormat="1" applyFont="1" applyFill="1" applyBorder="1" applyAlignment="1">
      <alignment horizontal="right" vertical="center"/>
    </xf>
    <xf numFmtId="165" fontId="11" fillId="6" borderId="33" xfId="1" applyNumberFormat="1" applyFont="1" applyFill="1" applyBorder="1" applyAlignment="1">
      <alignment horizontal="right" vertical="center"/>
    </xf>
    <xf numFmtId="167" fontId="11" fillId="6" borderId="16" xfId="3" applyNumberFormat="1" applyFont="1" applyFill="1" applyBorder="1" applyAlignment="1">
      <alignment horizontal="center" vertical="center"/>
    </xf>
    <xf numFmtId="0" fontId="4" fillId="0" borderId="8" xfId="0" applyFont="1" applyBorder="1" applyAlignment="1"/>
    <xf numFmtId="0" fontId="0" fillId="5" borderId="0" xfId="0" applyFill="1" applyAlignment="1">
      <alignment horizontal="center" wrapText="1"/>
    </xf>
    <xf numFmtId="0" fontId="9" fillId="2" borderId="0" xfId="3" applyFont="1" applyFill="1" applyAlignment="1">
      <alignment horizontal="left" vertical="top" wrapText="1"/>
    </xf>
    <xf numFmtId="0" fontId="3" fillId="0" borderId="0" xfId="3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9" fillId="2" borderId="0" xfId="3" applyFont="1" applyFill="1" applyAlignment="1">
      <alignment horizontal="justify" vertical="top" wrapText="1"/>
    </xf>
    <xf numFmtId="0" fontId="8" fillId="3" borderId="1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0" fontId="8" fillId="3" borderId="6" xfId="3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168" fontId="4" fillId="5" borderId="18" xfId="3" applyNumberFormat="1" applyFont="1" applyFill="1" applyBorder="1" applyAlignment="1">
      <alignment horizontal="center" vertical="center"/>
    </xf>
    <xf numFmtId="168" fontId="4" fillId="5" borderId="6" xfId="3" applyNumberFormat="1" applyFont="1" applyFill="1" applyBorder="1" applyAlignment="1">
      <alignment horizontal="center" vertical="center"/>
    </xf>
    <xf numFmtId="0" fontId="4" fillId="0" borderId="0" xfId="3" applyFont="1"/>
    <xf numFmtId="0" fontId="2" fillId="4" borderId="5" xfId="3" applyFill="1" applyBorder="1" applyAlignment="1">
      <alignment horizontal="left"/>
    </xf>
    <xf numFmtId="0" fontId="2" fillId="0" borderId="0" xfId="3" applyFill="1"/>
    <xf numFmtId="10" fontId="7" fillId="0" borderId="0" xfId="3" applyNumberFormat="1" applyFont="1"/>
    <xf numFmtId="168" fontId="0" fillId="5" borderId="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44" fontId="0" fillId="5" borderId="6" xfId="1" applyFont="1" applyFill="1" applyBorder="1" applyAlignment="1">
      <alignment horizontal="center"/>
    </xf>
    <xf numFmtId="44" fontId="2" fillId="5" borderId="22" xfId="1" applyFont="1" applyFill="1" applyBorder="1"/>
    <xf numFmtId="165" fontId="0" fillId="0" borderId="0" xfId="0" applyNumberFormat="1"/>
    <xf numFmtId="44" fontId="0" fillId="0" borderId="0" xfId="1" applyFont="1"/>
    <xf numFmtId="171" fontId="11" fillId="6" borderId="9" xfId="3" applyNumberFormat="1" applyFont="1" applyFill="1" applyBorder="1" applyAlignment="1">
      <alignment horizontal="center" vertical="center"/>
    </xf>
  </cellXfs>
  <cellStyles count="4">
    <cellStyle name="Monétaire" xfId="1" builtinId="4"/>
    <cellStyle name="Normal" xfId="0" builtinId="0"/>
    <cellStyle name="Normal 2" xfId="3" xr:uid="{9563432E-0BAE-3946-B835-68C52E8442C8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2775-E219-9D4F-8177-C189CD5760DE}">
  <sheetPr>
    <pageSetUpPr fitToPage="1"/>
  </sheetPr>
  <dimension ref="A1:Q103"/>
  <sheetViews>
    <sheetView tabSelected="1" topLeftCell="A19" workbookViewId="0">
      <selection activeCell="K31" sqref="K31"/>
    </sheetView>
  </sheetViews>
  <sheetFormatPr baseColWidth="10" defaultRowHeight="15.75" x14ac:dyDescent="0.25"/>
  <cols>
    <col min="1" max="1" width="15.375" style="5" customWidth="1"/>
    <col min="2" max="2" width="7.875" style="5" customWidth="1"/>
    <col min="3" max="3" width="17" style="5" customWidth="1"/>
    <col min="4" max="4" width="16.625" style="115" customWidth="1"/>
    <col min="5" max="5" width="17.25" style="5" customWidth="1"/>
    <col min="6" max="7" width="14.5" style="5" customWidth="1"/>
    <col min="8" max="8" width="12.875" style="5" customWidth="1"/>
    <col min="9" max="9" width="14.5" style="5" customWidth="1"/>
    <col min="13" max="13" width="19.125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127" t="s">
        <v>1</v>
      </c>
      <c r="I1" s="127"/>
    </row>
    <row r="2" spans="1:9" x14ac:dyDescent="0.25">
      <c r="A2" s="3" t="s">
        <v>38</v>
      </c>
      <c r="B2" s="4"/>
      <c r="C2" s="4"/>
      <c r="D2" s="5"/>
      <c r="E2" s="4"/>
      <c r="F2" s="4"/>
      <c r="G2" s="4"/>
      <c r="H2" s="4"/>
      <c r="I2" s="6" t="s">
        <v>42</v>
      </c>
    </row>
    <row r="3" spans="1:9" x14ac:dyDescent="0.25">
      <c r="A3" s="128" t="s">
        <v>2</v>
      </c>
      <c r="B3" s="7" t="s">
        <v>3</v>
      </c>
      <c r="C3" s="8" t="s">
        <v>44</v>
      </c>
      <c r="D3" s="6" t="s">
        <v>4</v>
      </c>
      <c r="E3" s="9" t="s">
        <v>45</v>
      </c>
      <c r="F3" s="10" t="s">
        <v>5</v>
      </c>
      <c r="G3" s="11">
        <v>2018496</v>
      </c>
      <c r="H3" s="6" t="s">
        <v>6</v>
      </c>
      <c r="I3" s="11">
        <v>1</v>
      </c>
    </row>
    <row r="4" spans="1:9" x14ac:dyDescent="0.25">
      <c r="A4" s="128"/>
      <c r="B4" s="7" t="s">
        <v>3</v>
      </c>
      <c r="C4" s="8" t="s">
        <v>47</v>
      </c>
      <c r="D4" s="6" t="s">
        <v>4</v>
      </c>
      <c r="E4" s="9" t="s">
        <v>46</v>
      </c>
      <c r="F4" s="10" t="s">
        <v>5</v>
      </c>
      <c r="G4" s="11">
        <v>1925987</v>
      </c>
      <c r="H4" s="6" t="s">
        <v>6</v>
      </c>
      <c r="I4" s="11">
        <v>1</v>
      </c>
    </row>
    <row r="5" spans="1:9" x14ac:dyDescent="0.25">
      <c r="A5" s="128"/>
      <c r="B5" s="7" t="s">
        <v>3</v>
      </c>
      <c r="C5" s="8" t="s">
        <v>49</v>
      </c>
      <c r="D5" s="6" t="s">
        <v>4</v>
      </c>
      <c r="E5" s="9" t="s">
        <v>48</v>
      </c>
      <c r="F5" s="10" t="s">
        <v>5</v>
      </c>
      <c r="G5" s="11">
        <v>2094186</v>
      </c>
      <c r="H5" s="6" t="s">
        <v>6</v>
      </c>
      <c r="I5" s="11">
        <v>1</v>
      </c>
    </row>
    <row r="6" spans="1:9" ht="18.75" thickBot="1" x14ac:dyDescent="0.3">
      <c r="A6" s="129" t="s">
        <v>7</v>
      </c>
      <c r="B6" s="129"/>
      <c r="C6" s="129"/>
      <c r="D6" s="129"/>
      <c r="E6" s="129"/>
      <c r="F6" s="129"/>
      <c r="G6" s="129"/>
      <c r="H6" s="129"/>
      <c r="I6" s="129"/>
    </row>
    <row r="7" spans="1:9" x14ac:dyDescent="0.25">
      <c r="A7" s="130" t="s">
        <v>43</v>
      </c>
      <c r="B7" s="131"/>
      <c r="C7" s="131"/>
      <c r="D7" s="131"/>
      <c r="E7" s="131"/>
      <c r="F7" s="131"/>
      <c r="G7" s="131"/>
      <c r="H7" s="131"/>
      <c r="I7" s="132"/>
    </row>
    <row r="8" spans="1:9" ht="16.5" thickBot="1" x14ac:dyDescent="0.3">
      <c r="A8" s="133"/>
      <c r="B8" s="134"/>
      <c r="C8" s="134"/>
      <c r="D8" s="134"/>
      <c r="E8" s="134"/>
      <c r="F8" s="134"/>
      <c r="G8" s="134"/>
      <c r="H8" s="134"/>
      <c r="I8" s="135"/>
    </row>
    <row r="9" spans="1:9" ht="16.5" thickBot="1" x14ac:dyDescent="0.3">
      <c r="A9" s="15"/>
      <c r="B9" s="16"/>
      <c r="C9" s="17" t="s">
        <v>8</v>
      </c>
      <c r="D9" s="18">
        <v>2022</v>
      </c>
      <c r="E9" s="18">
        <v>2023</v>
      </c>
      <c r="F9" s="18">
        <v>2024</v>
      </c>
      <c r="G9" s="18">
        <v>2025</v>
      </c>
      <c r="H9" s="18">
        <v>2026</v>
      </c>
      <c r="I9" s="19">
        <v>2027</v>
      </c>
    </row>
    <row r="10" spans="1:9" x14ac:dyDescent="0.25">
      <c r="A10" s="20" t="s">
        <v>39</v>
      </c>
      <c r="B10" s="21"/>
      <c r="C10" s="22"/>
      <c r="D10" s="23"/>
      <c r="E10" s="24"/>
      <c r="F10" s="24"/>
      <c r="G10" s="24"/>
      <c r="H10" s="24"/>
      <c r="I10" s="25"/>
    </row>
    <row r="11" spans="1:9" x14ac:dyDescent="0.25">
      <c r="A11" s="26" t="s">
        <v>50</v>
      </c>
      <c r="B11" s="117"/>
      <c r="C11" s="27"/>
      <c r="D11" s="28">
        <v>225000000</v>
      </c>
      <c r="E11" s="28"/>
      <c r="F11" s="28"/>
      <c r="G11" s="28"/>
      <c r="H11" s="28"/>
      <c r="I11" s="41"/>
    </row>
    <row r="12" spans="1:9" x14ac:dyDescent="0.25">
      <c r="A12" s="26" t="s">
        <v>51</v>
      </c>
      <c r="B12" s="117"/>
      <c r="C12" s="27"/>
      <c r="D12" s="28">
        <v>41000000</v>
      </c>
      <c r="E12" s="28"/>
      <c r="F12" s="28"/>
      <c r="G12" s="28"/>
      <c r="H12" s="28"/>
      <c r="I12" s="41"/>
    </row>
    <row r="13" spans="1:9" x14ac:dyDescent="0.25">
      <c r="A13" s="26" t="s">
        <v>52</v>
      </c>
      <c r="B13" s="117"/>
      <c r="C13" s="29"/>
      <c r="D13" s="28">
        <v>90000000</v>
      </c>
      <c r="E13" s="28"/>
      <c r="F13" s="28"/>
      <c r="G13" s="28"/>
      <c r="H13" s="28"/>
      <c r="I13" s="41"/>
    </row>
    <row r="14" spans="1:9" x14ac:dyDescent="0.25">
      <c r="A14" s="26" t="s">
        <v>53</v>
      </c>
      <c r="B14" s="117"/>
      <c r="C14" s="29"/>
      <c r="D14" s="28">
        <v>92000000</v>
      </c>
      <c r="E14" s="28"/>
      <c r="F14" s="28"/>
      <c r="G14" s="28"/>
      <c r="H14" s="28"/>
      <c r="I14" s="41"/>
    </row>
    <row r="15" spans="1:9" x14ac:dyDescent="0.25">
      <c r="A15" s="26"/>
      <c r="B15" s="117"/>
      <c r="C15" s="29"/>
      <c r="D15" s="28">
        <f>SUM(D11:D14)</f>
        <v>448000000</v>
      </c>
      <c r="E15" s="28"/>
      <c r="F15" s="28"/>
      <c r="G15" s="28"/>
      <c r="H15" s="28"/>
      <c r="I15" s="41"/>
    </row>
    <row r="16" spans="1:9" x14ac:dyDescent="0.25">
      <c r="B16" s="117"/>
      <c r="C16" s="29"/>
      <c r="D16" s="31"/>
      <c r="E16" s="28"/>
      <c r="F16" s="28"/>
      <c r="G16" s="28"/>
      <c r="H16" s="28"/>
      <c r="I16" s="41"/>
    </row>
    <row r="17" spans="1:9" x14ac:dyDescent="0.25">
      <c r="A17" s="118" t="s">
        <v>9</v>
      </c>
      <c r="B17" s="119"/>
      <c r="C17" s="120"/>
      <c r="D17" s="121">
        <f>D15</f>
        <v>448000000</v>
      </c>
      <c r="E17" s="121"/>
      <c r="F17" s="121"/>
      <c r="G17" s="121"/>
      <c r="H17" s="121"/>
      <c r="I17" s="122"/>
    </row>
    <row r="18" spans="1:9" x14ac:dyDescent="0.25">
      <c r="A18" s="32" t="s">
        <v>40</v>
      </c>
      <c r="B18" s="33"/>
      <c r="C18" s="34"/>
      <c r="D18" s="35"/>
      <c r="E18" s="36"/>
      <c r="F18" s="36"/>
      <c r="G18" s="36"/>
      <c r="H18" s="36"/>
      <c r="I18" s="37"/>
    </row>
    <row r="19" spans="1:9" x14ac:dyDescent="0.25">
      <c r="A19" s="38" t="s">
        <v>54</v>
      </c>
      <c r="B19" s="117"/>
      <c r="C19" s="29"/>
      <c r="D19" s="28"/>
      <c r="E19" s="39">
        <v>5387200</v>
      </c>
      <c r="F19" s="39">
        <v>5387200</v>
      </c>
      <c r="G19" s="39">
        <v>5387200</v>
      </c>
      <c r="H19" s="39">
        <v>5387200</v>
      </c>
      <c r="I19" s="39">
        <v>5387200</v>
      </c>
    </row>
    <row r="20" spans="1:9" x14ac:dyDescent="0.25">
      <c r="A20" s="38" t="s">
        <v>55</v>
      </c>
      <c r="B20" s="117"/>
      <c r="C20" s="27"/>
      <c r="D20" s="28"/>
      <c r="E20" s="40">
        <v>33.75</v>
      </c>
      <c r="F20" s="40">
        <f>E20+(E20*0.03)</f>
        <v>34.762500000000003</v>
      </c>
      <c r="G20" s="40">
        <f t="shared" ref="G20:I20" si="0">F20+(F20*0.03)</f>
        <v>35.805375000000005</v>
      </c>
      <c r="H20" s="40">
        <f t="shared" si="0"/>
        <v>36.879536250000008</v>
      </c>
      <c r="I20" s="40">
        <f t="shared" si="0"/>
        <v>37.985922337500007</v>
      </c>
    </row>
    <row r="21" spans="1:9" x14ac:dyDescent="0.25">
      <c r="A21" s="26" t="s">
        <v>56</v>
      </c>
      <c r="B21" s="117"/>
      <c r="C21" s="29"/>
      <c r="D21" s="28"/>
      <c r="E21" s="28">
        <f>E19*E20</f>
        <v>181818000</v>
      </c>
      <c r="F21" s="28">
        <f t="shared" ref="F21:I21" si="1">F19*F20</f>
        <v>187272540.00000003</v>
      </c>
      <c r="G21" s="28">
        <f t="shared" si="1"/>
        <v>192890716.20000002</v>
      </c>
      <c r="H21" s="28">
        <f t="shared" si="1"/>
        <v>198677437.68600005</v>
      </c>
      <c r="I21" s="28">
        <f t="shared" si="1"/>
        <v>204637760.81658003</v>
      </c>
    </row>
    <row r="22" spans="1:9" x14ac:dyDescent="0.25">
      <c r="A22" s="26" t="s">
        <v>57</v>
      </c>
      <c r="B22" s="117"/>
      <c r="C22" s="29"/>
      <c r="D22" s="28"/>
      <c r="E22" s="28">
        <f>0.25*E26</f>
        <v>16250000</v>
      </c>
      <c r="F22" s="28">
        <f t="shared" ref="F22:I22" si="2">0.25*F26</f>
        <v>16575000</v>
      </c>
      <c r="G22" s="28">
        <f t="shared" si="2"/>
        <v>16906500</v>
      </c>
      <c r="H22" s="28">
        <f t="shared" si="2"/>
        <v>17244630</v>
      </c>
      <c r="I22" s="28">
        <f t="shared" si="2"/>
        <v>17589522.600000001</v>
      </c>
    </row>
    <row r="23" spans="1:9" x14ac:dyDescent="0.25">
      <c r="A23" s="30"/>
      <c r="B23" s="117"/>
      <c r="C23" s="29"/>
      <c r="D23" s="28"/>
      <c r="E23" s="31"/>
      <c r="F23" s="31"/>
      <c r="G23" s="31"/>
      <c r="H23" s="31"/>
      <c r="I23" s="42"/>
    </row>
    <row r="24" spans="1:9" x14ac:dyDescent="0.25">
      <c r="A24" s="118" t="s">
        <v>9</v>
      </c>
      <c r="B24" s="119"/>
      <c r="C24" s="120"/>
      <c r="D24" s="121"/>
      <c r="E24" s="121">
        <f>E21+E22</f>
        <v>198068000</v>
      </c>
      <c r="F24" s="121">
        <f t="shared" ref="F24:I24" si="3">F21+F22</f>
        <v>203847540.00000003</v>
      </c>
      <c r="G24" s="121">
        <f t="shared" si="3"/>
        <v>209797216.20000002</v>
      </c>
      <c r="H24" s="121">
        <f t="shared" si="3"/>
        <v>215922067.68600005</v>
      </c>
      <c r="I24" s="121">
        <f t="shared" si="3"/>
        <v>222227283.41658002</v>
      </c>
    </row>
    <row r="25" spans="1:9" x14ac:dyDescent="0.25">
      <c r="A25" s="32" t="s">
        <v>41</v>
      </c>
      <c r="B25" s="44"/>
      <c r="C25" s="45"/>
      <c r="D25" s="35"/>
      <c r="E25" s="44"/>
      <c r="F25" s="44"/>
      <c r="G25" s="44"/>
      <c r="H25" s="44"/>
      <c r="I25" s="46"/>
    </row>
    <row r="26" spans="1:9" x14ac:dyDescent="0.25">
      <c r="A26" s="26" t="s">
        <v>58</v>
      </c>
      <c r="B26" s="117"/>
      <c r="C26" s="27"/>
      <c r="D26" s="28"/>
      <c r="E26" s="28">
        <f>65000000*1</f>
        <v>65000000</v>
      </c>
      <c r="F26" s="28">
        <f>E26+(E26*0.02)</f>
        <v>66300000</v>
      </c>
      <c r="G26" s="28">
        <f t="shared" ref="G26:I26" si="4">F26+(F26*0.02)</f>
        <v>67626000</v>
      </c>
      <c r="H26" s="28">
        <f t="shared" si="4"/>
        <v>68978520</v>
      </c>
      <c r="I26" s="28">
        <f t="shared" si="4"/>
        <v>70358090.400000006</v>
      </c>
    </row>
    <row r="27" spans="1:9" x14ac:dyDescent="0.25">
      <c r="A27" s="26" t="s">
        <v>59</v>
      </c>
      <c r="B27" s="117"/>
      <c r="C27" s="27"/>
      <c r="D27" s="28"/>
      <c r="E27" s="28">
        <f>45000000-14000000-K39</f>
        <v>24625000</v>
      </c>
      <c r="F27" s="28">
        <f>45000000-14000000-K40</f>
        <v>25050000</v>
      </c>
      <c r="G27" s="28">
        <f>45000000-14000000-K41</f>
        <v>25475000</v>
      </c>
      <c r="H27" s="28">
        <f>45000000-14000000-K42</f>
        <v>25900000</v>
      </c>
      <c r="I27" s="28">
        <f>45000000-14000000-K43</f>
        <v>26325000</v>
      </c>
    </row>
    <row r="28" spans="1:9" x14ac:dyDescent="0.25">
      <c r="A28" s="26" t="s">
        <v>60</v>
      </c>
      <c r="B28" s="117"/>
      <c r="C28" s="29"/>
      <c r="D28" s="28"/>
      <c r="E28" s="28"/>
      <c r="F28" s="28">
        <f>5400000</f>
        <v>5400000</v>
      </c>
      <c r="G28" s="28">
        <f>5400000</f>
        <v>5400000</v>
      </c>
      <c r="H28" s="28"/>
      <c r="I28" s="41"/>
    </row>
    <row r="29" spans="1:9" x14ac:dyDescent="0.25">
      <c r="A29" s="26"/>
      <c r="B29" s="117"/>
      <c r="C29" s="29"/>
      <c r="D29" s="28"/>
      <c r="E29" s="28"/>
      <c r="F29" s="28"/>
      <c r="G29" s="28"/>
      <c r="H29" s="28"/>
      <c r="I29" s="41"/>
    </row>
    <row r="30" spans="1:9" x14ac:dyDescent="0.25">
      <c r="A30" s="30"/>
      <c r="B30" s="117"/>
      <c r="C30" s="29"/>
      <c r="D30" s="28"/>
      <c r="E30" s="31"/>
      <c r="F30" s="31"/>
      <c r="G30" s="31"/>
      <c r="H30" s="31"/>
      <c r="I30" s="42"/>
    </row>
    <row r="31" spans="1:9" x14ac:dyDescent="0.25">
      <c r="A31" s="118" t="s">
        <v>9</v>
      </c>
      <c r="B31" s="119"/>
      <c r="C31" s="120"/>
      <c r="D31" s="121"/>
      <c r="E31" s="121">
        <f>SUM(E26:E28)</f>
        <v>89625000</v>
      </c>
      <c r="F31" s="121">
        <f t="shared" ref="F31:I31" si="5">SUM(F26:F28)</f>
        <v>96750000</v>
      </c>
      <c r="G31" s="121">
        <f t="shared" si="5"/>
        <v>98501000</v>
      </c>
      <c r="H31" s="121">
        <f t="shared" si="5"/>
        <v>94878520</v>
      </c>
      <c r="I31" s="121">
        <f t="shared" si="5"/>
        <v>96683090.400000006</v>
      </c>
    </row>
    <row r="32" spans="1:9" x14ac:dyDescent="0.25">
      <c r="A32" s="47" t="s">
        <v>10</v>
      </c>
      <c r="B32" s="44"/>
      <c r="C32" s="44"/>
      <c r="D32" s="44"/>
      <c r="E32" s="44"/>
      <c r="F32" s="44"/>
      <c r="G32" s="44"/>
      <c r="H32" s="44"/>
      <c r="I32" s="46"/>
    </row>
    <row r="33" spans="1:17" x14ac:dyDescent="0.25">
      <c r="A33" s="43" t="s">
        <v>66</v>
      </c>
      <c r="B33" s="117"/>
      <c r="C33" s="27"/>
      <c r="D33" s="28"/>
      <c r="E33" s="28">
        <f>D14*0.1</f>
        <v>9200000</v>
      </c>
      <c r="F33" s="28">
        <f>0.2*$D$14*(1-0.1)*(1-0.2)^(2-2)</f>
        <v>16560000</v>
      </c>
      <c r="G33" s="28">
        <f>0.2*$D$14*(1-0.1)*(1-0.2)^(3-2)</f>
        <v>13248000</v>
      </c>
      <c r="H33" s="28">
        <f>0.2*$D$14*(1-0.1)*(1-0.2)^(4-2)</f>
        <v>10598400.000000002</v>
      </c>
      <c r="I33" s="28">
        <f>0.2*$D$14*(1-0.1)*(1-0.2)^(5-2)</f>
        <v>8478720.0000000019</v>
      </c>
    </row>
    <row r="34" spans="1:17" x14ac:dyDescent="0.25">
      <c r="A34" s="43" t="s">
        <v>67</v>
      </c>
      <c r="B34" s="117"/>
      <c r="C34" s="27"/>
      <c r="D34" s="28"/>
      <c r="E34" s="28">
        <f>D13*0.05</f>
        <v>4500000</v>
      </c>
      <c r="F34" s="28">
        <f>0.1*$D$13*(1-0.05)*(1-0.1)^(2-2)</f>
        <v>8550000</v>
      </c>
      <c r="G34" s="28">
        <f>0.1*$D$13*(1-0.05)*(1-0.1)^(3-2)</f>
        <v>7695000</v>
      </c>
      <c r="H34" s="28">
        <f>0.1*$D$13*(1-0.05)*(1-0.1)^(4-2)</f>
        <v>6925500</v>
      </c>
      <c r="I34" s="28">
        <f>0.1*$D$13*(1-0.05)*(1-0.1)^(5-2)</f>
        <v>6232950.0000000009</v>
      </c>
    </row>
    <row r="35" spans="1:17" x14ac:dyDescent="0.25">
      <c r="A35" s="43" t="s">
        <v>68</v>
      </c>
      <c r="B35" s="117"/>
      <c r="C35" s="27"/>
      <c r="D35" s="28"/>
      <c r="E35" s="28">
        <f>0.22*(E24-E31)</f>
        <v>23857460</v>
      </c>
      <c r="F35" s="28">
        <f t="shared" ref="F35:I35" si="6">0.22*(F24-F31)</f>
        <v>23561458.800000008</v>
      </c>
      <c r="G35" s="28">
        <f t="shared" si="6"/>
        <v>24485167.564000003</v>
      </c>
      <c r="H35" s="28">
        <f t="shared" si="6"/>
        <v>26629580.490920011</v>
      </c>
      <c r="I35" s="28">
        <f t="shared" si="6"/>
        <v>27619722.463647604</v>
      </c>
      <c r="J35" s="142" t="s">
        <v>61</v>
      </c>
      <c r="K35">
        <v>15</v>
      </c>
      <c r="M35" s="148">
        <f>E35</f>
        <v>23857460</v>
      </c>
    </row>
    <row r="36" spans="1:17" x14ac:dyDescent="0.25">
      <c r="A36" s="43" t="s">
        <v>69</v>
      </c>
      <c r="B36" s="117"/>
      <c r="C36" s="27"/>
      <c r="D36" s="28"/>
      <c r="E36" s="28">
        <f>0.22*(E33+E34)</f>
        <v>3014000</v>
      </c>
      <c r="F36" s="28">
        <f t="shared" ref="F36:I36" si="7">0.22*(F33+F34)</f>
        <v>5524200</v>
      </c>
      <c r="G36" s="28">
        <f t="shared" si="7"/>
        <v>4607460</v>
      </c>
      <c r="H36" s="28">
        <f t="shared" si="7"/>
        <v>3855258</v>
      </c>
      <c r="I36" s="28">
        <f t="shared" si="7"/>
        <v>3236567.4000000008</v>
      </c>
      <c r="J36" s="142" t="s">
        <v>62</v>
      </c>
      <c r="K36">
        <v>92000000</v>
      </c>
      <c r="M36">
        <v>20843460</v>
      </c>
      <c r="N36">
        <v>18037258.800000008</v>
      </c>
      <c r="O36">
        <v>19877707.564000003</v>
      </c>
      <c r="P36">
        <v>22774322.490920011</v>
      </c>
      <c r="Q36">
        <v>24383155.063647602</v>
      </c>
    </row>
    <row r="37" spans="1:17" x14ac:dyDescent="0.25">
      <c r="A37" s="43" t="s">
        <v>70</v>
      </c>
      <c r="B37" s="117"/>
      <c r="C37" s="27"/>
      <c r="D37" s="28"/>
      <c r="E37" s="28">
        <f>E35-E36</f>
        <v>20843460</v>
      </c>
      <c r="F37" s="28">
        <f t="shared" ref="F37:I37" si="8">F35-F36</f>
        <v>18037258.800000008</v>
      </c>
      <c r="G37" s="28">
        <f t="shared" si="8"/>
        <v>19877707.564000003</v>
      </c>
      <c r="H37" s="28">
        <f t="shared" si="8"/>
        <v>22774322.490920011</v>
      </c>
      <c r="I37" s="28">
        <f t="shared" si="8"/>
        <v>24383155.063647602</v>
      </c>
      <c r="J37" s="142" t="s">
        <v>63</v>
      </c>
      <c r="K37">
        <v>41000000</v>
      </c>
      <c r="M37">
        <v>0.91407678244972568</v>
      </c>
      <c r="N37">
        <v>0.83553636421364319</v>
      </c>
      <c r="O37">
        <v>0.76374439142014916</v>
      </c>
      <c r="P37">
        <v>0.69812101592335374</v>
      </c>
      <c r="Q37">
        <v>0.63813621199575299</v>
      </c>
    </row>
    <row r="38" spans="1:17" x14ac:dyDescent="0.25">
      <c r="A38" s="118" t="s">
        <v>9</v>
      </c>
      <c r="B38" s="119"/>
      <c r="C38" s="120"/>
      <c r="D38" s="121"/>
      <c r="E38" s="121">
        <f>(E24-E31)-E37</f>
        <v>87599540</v>
      </c>
      <c r="F38" s="121">
        <f t="shared" ref="F38:I38" si="9">(F24-F31)-F37</f>
        <v>89060281.200000018</v>
      </c>
      <c r="G38" s="121">
        <f t="shared" si="9"/>
        <v>91418508.636000007</v>
      </c>
      <c r="H38" s="121">
        <f t="shared" si="9"/>
        <v>98269225.195080042</v>
      </c>
      <c r="I38" s="121">
        <f>(I24-I31)-I37</f>
        <v>101161037.95293242</v>
      </c>
      <c r="J38" s="142" t="s">
        <v>64</v>
      </c>
      <c r="K38">
        <f>(15*16)/2</f>
        <v>120</v>
      </c>
      <c r="M38">
        <f>M36*M37</f>
        <v>19052522.851919558</v>
      </c>
      <c r="N38">
        <f t="shared" ref="N38:Q38" si="10">N36*N37</f>
        <v>15070785.638132548</v>
      </c>
      <c r="O38">
        <f t="shared" si="10"/>
        <v>15181487.666294878</v>
      </c>
      <c r="P38">
        <f t="shared" si="10"/>
        <v>15899233.154327162</v>
      </c>
      <c r="Q38">
        <f t="shared" si="10"/>
        <v>15559774.208821144</v>
      </c>
    </row>
    <row r="39" spans="1:17" x14ac:dyDescent="0.25">
      <c r="A39" s="47" t="s">
        <v>11</v>
      </c>
      <c r="B39" s="44"/>
      <c r="C39" s="44"/>
      <c r="D39" s="44"/>
      <c r="E39" s="44"/>
      <c r="F39" s="44"/>
      <c r="G39" s="44"/>
      <c r="H39" s="44"/>
      <c r="I39" s="46"/>
      <c r="J39" s="142">
        <v>1</v>
      </c>
      <c r="K39">
        <f>($K$36-$K$37)*(($K$35-J39+1)/120)</f>
        <v>6375000</v>
      </c>
      <c r="M39" s="149">
        <f>SUM(M38:Q38)</f>
        <v>80763803.519495293</v>
      </c>
    </row>
    <row r="40" spans="1:17" x14ac:dyDescent="0.25">
      <c r="A40" s="43" t="s">
        <v>76</v>
      </c>
      <c r="B40" s="117"/>
      <c r="C40" s="27"/>
      <c r="D40" s="28"/>
      <c r="E40" s="28"/>
      <c r="F40" s="28"/>
      <c r="G40" s="28"/>
      <c r="H40" s="28"/>
      <c r="I40" s="41">
        <f>(((D14*(1-0.1)*(1-0.2)^4)-MIN(D14,I48))*0.22)</f>
        <v>-6701226.3999999966</v>
      </c>
      <c r="J40" s="142">
        <v>2</v>
      </c>
      <c r="K40">
        <f t="shared" ref="K40:K43" si="11">($K$36-$K$37)*(($K$35-J40+1)/120)</f>
        <v>5950000</v>
      </c>
    </row>
    <row r="41" spans="1:17" x14ac:dyDescent="0.25">
      <c r="A41" s="43" t="s">
        <v>71</v>
      </c>
      <c r="B41" s="117"/>
      <c r="C41" s="27"/>
      <c r="D41" s="28"/>
      <c r="E41" s="28"/>
      <c r="F41" s="28"/>
      <c r="G41" s="28"/>
      <c r="H41" s="28"/>
      <c r="I41" s="41">
        <f>((D13*(1-0.05)*(1-0.1)^4)-MIN(D13,I49))*((0.22*0.1)/(0.094+0.1))</f>
        <v>4093423.1958762901</v>
      </c>
      <c r="J41" s="142">
        <v>3</v>
      </c>
      <c r="K41">
        <f t="shared" si="11"/>
        <v>5525000</v>
      </c>
    </row>
    <row r="42" spans="1:17" x14ac:dyDescent="0.25">
      <c r="A42" s="43" t="s">
        <v>77</v>
      </c>
      <c r="B42" s="117"/>
      <c r="C42" s="27"/>
      <c r="D42" s="28"/>
      <c r="E42" s="28"/>
      <c r="F42" s="28"/>
      <c r="G42" s="28"/>
      <c r="H42" s="28"/>
      <c r="I42" s="41">
        <f>-(0.5*(I46-D11)*0.22)</f>
        <v>-2970000.0000000033</v>
      </c>
      <c r="J42" s="142">
        <v>4</v>
      </c>
      <c r="K42">
        <f t="shared" si="11"/>
        <v>5100000</v>
      </c>
      <c r="M42" s="149">
        <f>-6028803.20412371*Q37</f>
        <v>-3847197.6395473629</v>
      </c>
    </row>
    <row r="43" spans="1:17" x14ac:dyDescent="0.25">
      <c r="A43" s="43" t="s">
        <v>78</v>
      </c>
      <c r="B43" s="117"/>
      <c r="C43" s="27"/>
      <c r="D43" s="28"/>
      <c r="E43" s="28"/>
      <c r="F43" s="28"/>
      <c r="G43" s="28"/>
      <c r="H43" s="28"/>
      <c r="I43" s="41">
        <f>-(0.5*(I47-D12)*0.22)</f>
        <v>-451000</v>
      </c>
      <c r="J43" s="142">
        <v>5</v>
      </c>
      <c r="K43">
        <f t="shared" si="11"/>
        <v>4675000</v>
      </c>
    </row>
    <row r="44" spans="1:17" x14ac:dyDescent="0.25">
      <c r="A44" s="43" t="s">
        <v>65</v>
      </c>
      <c r="B44" s="117"/>
      <c r="C44" s="27"/>
      <c r="D44" s="28"/>
      <c r="E44" s="28"/>
      <c r="F44" s="28"/>
      <c r="G44" s="28"/>
      <c r="H44" s="28"/>
      <c r="I44" s="41">
        <f>SUM(I40:I43)</f>
        <v>-6028803.2041237094</v>
      </c>
      <c r="J44" s="142" t="s">
        <v>65</v>
      </c>
      <c r="K44">
        <f>SUM(K39:K43)</f>
        <v>27625000</v>
      </c>
    </row>
    <row r="45" spans="1:17" x14ac:dyDescent="0.25">
      <c r="A45" s="47" t="s">
        <v>12</v>
      </c>
      <c r="B45" s="33"/>
      <c r="C45" s="48"/>
      <c r="D45" s="49"/>
      <c r="E45" s="50"/>
      <c r="F45" s="50"/>
      <c r="G45" s="50"/>
      <c r="H45" s="50"/>
      <c r="I45" s="51"/>
    </row>
    <row r="46" spans="1:17" x14ac:dyDescent="0.25">
      <c r="A46" s="26" t="s">
        <v>72</v>
      </c>
      <c r="B46" s="117"/>
      <c r="C46" s="29"/>
      <c r="D46" s="28"/>
      <c r="E46" s="28"/>
      <c r="F46" s="28"/>
      <c r="G46" s="28"/>
      <c r="H46" s="28"/>
      <c r="I46" s="41">
        <v>252000000.00000003</v>
      </c>
    </row>
    <row r="47" spans="1:17" x14ac:dyDescent="0.25">
      <c r="A47" s="26" t="s">
        <v>73</v>
      </c>
      <c r="B47" s="117"/>
      <c r="C47" s="29"/>
      <c r="D47" s="28"/>
      <c r="E47" s="28"/>
      <c r="F47" s="28"/>
      <c r="G47" s="28"/>
      <c r="H47" s="28"/>
      <c r="I47" s="41">
        <v>45100000</v>
      </c>
    </row>
    <row r="48" spans="1:17" x14ac:dyDescent="0.25">
      <c r="A48" s="26" t="s">
        <v>74</v>
      </c>
      <c r="B48" s="117"/>
      <c r="C48" s="29"/>
      <c r="D48" s="28"/>
      <c r="E48" s="28"/>
      <c r="F48" s="28"/>
      <c r="G48" s="28"/>
      <c r="H48" s="28"/>
      <c r="I48" s="41">
        <v>64375000</v>
      </c>
    </row>
    <row r="49" spans="1:9" x14ac:dyDescent="0.25">
      <c r="A49" s="26" t="s">
        <v>75</v>
      </c>
      <c r="B49" s="117"/>
      <c r="C49" s="29"/>
      <c r="D49" s="28"/>
      <c r="E49" s="28"/>
      <c r="F49" s="28"/>
      <c r="G49" s="28"/>
      <c r="H49" s="28"/>
      <c r="I49" s="41">
        <v>20000000</v>
      </c>
    </row>
    <row r="50" spans="1:9" x14ac:dyDescent="0.25">
      <c r="A50" s="30"/>
      <c r="B50" s="117"/>
      <c r="C50" s="29"/>
      <c r="D50" s="28"/>
      <c r="E50" s="28"/>
      <c r="F50" s="28"/>
      <c r="G50" s="28"/>
      <c r="H50" s="28"/>
      <c r="I50" s="42"/>
    </row>
    <row r="51" spans="1:9" x14ac:dyDescent="0.25">
      <c r="A51" s="118" t="s">
        <v>9</v>
      </c>
      <c r="B51" s="119"/>
      <c r="C51" s="120"/>
      <c r="D51" s="121"/>
      <c r="E51" s="121"/>
      <c r="F51" s="121"/>
      <c r="G51" s="121"/>
      <c r="H51" s="121"/>
      <c r="I51" s="122">
        <f>SUM(I46:I49)</f>
        <v>381475000</v>
      </c>
    </row>
    <row r="52" spans="1:9" x14ac:dyDescent="0.25">
      <c r="A52" s="52" t="s">
        <v>13</v>
      </c>
      <c r="B52" s="53"/>
      <c r="C52" s="54"/>
      <c r="D52" s="55">
        <f>-D17</f>
        <v>-448000000</v>
      </c>
      <c r="E52" s="56">
        <f>E38</f>
        <v>87599540</v>
      </c>
      <c r="F52" s="56">
        <f t="shared" ref="F52:H52" si="12">F38</f>
        <v>89060281.200000018</v>
      </c>
      <c r="G52" s="56">
        <f t="shared" si="12"/>
        <v>91418508.636000007</v>
      </c>
      <c r="H52" s="56">
        <f t="shared" si="12"/>
        <v>98269225.195080042</v>
      </c>
      <c r="I52" s="57">
        <f>I38+I44+I51</f>
        <v>476607234.74880874</v>
      </c>
    </row>
    <row r="53" spans="1:9" x14ac:dyDescent="0.25">
      <c r="A53" s="58" t="s">
        <v>14</v>
      </c>
      <c r="B53" s="117"/>
      <c r="C53" s="150">
        <v>9.4E-2</v>
      </c>
      <c r="D53" s="123">
        <f>(1+0.094)^0</f>
        <v>1</v>
      </c>
      <c r="E53" s="123">
        <f>(1+0.094)^-1</f>
        <v>0.91407678244972568</v>
      </c>
      <c r="F53" s="123">
        <f>(1+0.094)^-2</f>
        <v>0.83553636421364319</v>
      </c>
      <c r="G53" s="123">
        <f>(1+0.094)^-3</f>
        <v>0.76374439142014916</v>
      </c>
      <c r="H53" s="123">
        <f>(1+0.094)^-4</f>
        <v>0.69812101592335374</v>
      </c>
      <c r="I53" s="123">
        <f>(1+0.094)^-5</f>
        <v>0.63813621199575299</v>
      </c>
    </row>
    <row r="54" spans="1:9" ht="16.5" thickBot="1" x14ac:dyDescent="0.3">
      <c r="A54" s="59" t="s">
        <v>15</v>
      </c>
      <c r="B54" s="60"/>
      <c r="C54" s="61"/>
      <c r="D54" s="62">
        <f>D52*D53</f>
        <v>-448000000</v>
      </c>
      <c r="E54" s="62">
        <f t="shared" ref="E54:I54" si="13">E52*E53</f>
        <v>80072705.66727604</v>
      </c>
      <c r="F54" s="62">
        <f t="shared" si="13"/>
        <v>74413103.54969269</v>
      </c>
      <c r="G54" s="62">
        <f t="shared" si="13"/>
        <v>69820373.242739469</v>
      </c>
      <c r="H54" s="62">
        <f t="shared" si="13"/>
        <v>68603811.327190101</v>
      </c>
      <c r="I54" s="62">
        <f t="shared" si="13"/>
        <v>304140335.39237541</v>
      </c>
    </row>
    <row r="55" spans="1:9" ht="16.5" thickBot="1" x14ac:dyDescent="0.3">
      <c r="A55" s="136" t="s">
        <v>16</v>
      </c>
      <c r="B55" s="137"/>
      <c r="C55" s="138">
        <f>SUM(D54:I54)</f>
        <v>149050329.17927369</v>
      </c>
      <c r="D55" s="139"/>
    </row>
    <row r="56" spans="1:9" x14ac:dyDescent="0.25">
      <c r="A56" s="140"/>
      <c r="B56" s="140"/>
      <c r="C56" s="63"/>
      <c r="D56" s="63"/>
    </row>
    <row r="57" spans="1:9" x14ac:dyDescent="0.25">
      <c r="A57" s="12"/>
      <c r="B57" s="12"/>
      <c r="C57" s="13"/>
      <c r="D57" s="14"/>
      <c r="E57" s="14"/>
      <c r="F57" s="13"/>
      <c r="G57" s="13"/>
      <c r="H57" s="13"/>
      <c r="I57" s="13"/>
    </row>
    <row r="58" spans="1:9" ht="18" x14ac:dyDescent="0.25">
      <c r="A58" s="129" t="s">
        <v>17</v>
      </c>
      <c r="B58" s="129"/>
      <c r="C58" s="129"/>
      <c r="D58" s="129"/>
      <c r="E58" s="129"/>
      <c r="F58" s="129"/>
      <c r="G58" s="129"/>
      <c r="H58" s="129"/>
      <c r="I58" s="129"/>
    </row>
    <row r="59" spans="1:9" ht="16.5" thickBot="1" x14ac:dyDescent="0.3">
      <c r="A59" s="141" t="s">
        <v>18</v>
      </c>
      <c r="B59" s="141"/>
      <c r="C59" s="141"/>
      <c r="D59" s="141"/>
      <c r="E59" s="141"/>
      <c r="F59" s="141"/>
      <c r="G59" s="141"/>
      <c r="H59" s="141"/>
      <c r="I59" s="141"/>
    </row>
    <row r="60" spans="1:9" x14ac:dyDescent="0.25">
      <c r="A60" s="130" t="s">
        <v>19</v>
      </c>
      <c r="B60" s="131"/>
      <c r="C60" s="131"/>
      <c r="D60" s="131"/>
      <c r="E60" s="131"/>
      <c r="F60" s="131"/>
      <c r="G60" s="131"/>
      <c r="H60" s="131"/>
      <c r="I60" s="132"/>
    </row>
    <row r="61" spans="1:9" ht="16.5" thickBot="1" x14ac:dyDescent="0.3">
      <c r="A61" s="133"/>
      <c r="B61" s="134"/>
      <c r="C61" s="134"/>
      <c r="D61" s="134"/>
      <c r="E61" s="134"/>
      <c r="F61" s="134"/>
      <c r="G61" s="134"/>
      <c r="H61" s="134"/>
      <c r="I61" s="135"/>
    </row>
    <row r="62" spans="1:9" ht="16.5" thickBot="1" x14ac:dyDescent="0.3">
      <c r="A62" s="64"/>
      <c r="B62" s="65"/>
      <c r="C62" s="66" t="s">
        <v>8</v>
      </c>
      <c r="D62" s="67">
        <v>2022</v>
      </c>
      <c r="E62" s="67">
        <v>2023</v>
      </c>
      <c r="F62" s="67">
        <v>2024</v>
      </c>
      <c r="G62" s="67">
        <v>2025</v>
      </c>
      <c r="H62" s="67">
        <v>2026</v>
      </c>
      <c r="I62" s="68">
        <v>2027</v>
      </c>
    </row>
    <row r="63" spans="1:9" x14ac:dyDescent="0.25">
      <c r="A63" s="69" t="s">
        <v>69</v>
      </c>
      <c r="B63" s="70"/>
      <c r="C63" s="71"/>
      <c r="D63" s="72"/>
      <c r="E63" s="72">
        <v>3014000</v>
      </c>
      <c r="F63" s="72">
        <v>5524200</v>
      </c>
      <c r="G63" s="72">
        <v>4607460</v>
      </c>
      <c r="H63" s="72">
        <v>3855258</v>
      </c>
      <c r="I63" s="73">
        <v>3236567.4000000008</v>
      </c>
    </row>
    <row r="64" spans="1:9" x14ac:dyDescent="0.25">
      <c r="A64" s="74" t="s">
        <v>79</v>
      </c>
      <c r="B64" s="75"/>
      <c r="C64" s="143">
        <v>9.4E-2</v>
      </c>
      <c r="D64" s="13"/>
      <c r="E64" s="13">
        <f>(1+0.094)^-1</f>
        <v>0.91407678244972568</v>
      </c>
      <c r="F64" s="13">
        <f>(1+0.094)^-2</f>
        <v>0.83553636421364319</v>
      </c>
      <c r="G64" s="13">
        <f>(1+0.094)^-3</f>
        <v>0.76374439142014916</v>
      </c>
      <c r="H64" s="13">
        <f>(1+0.094)^-4</f>
        <v>0.69812101592335374</v>
      </c>
      <c r="I64" s="13">
        <f>(1+0.094)^-5</f>
        <v>0.63813621199575299</v>
      </c>
    </row>
    <row r="65" spans="1:9" x14ac:dyDescent="0.25">
      <c r="A65" s="77" t="s">
        <v>80</v>
      </c>
      <c r="B65" s="78"/>
      <c r="C65" s="79"/>
      <c r="D65" s="79"/>
      <c r="E65" s="79">
        <f>E63*E64</f>
        <v>2755027.4223034731</v>
      </c>
      <c r="F65" s="79">
        <f t="shared" ref="F65:I65" si="14">F63*F64</f>
        <v>4615669.9831890073</v>
      </c>
      <c r="G65" s="79">
        <f t="shared" si="14"/>
        <v>3518921.7336926805</v>
      </c>
      <c r="H65" s="79">
        <f t="shared" si="14"/>
        <v>2691436.631606637</v>
      </c>
      <c r="I65" s="79">
        <f t="shared" si="14"/>
        <v>2065370.8605049436</v>
      </c>
    </row>
    <row r="66" spans="1:9" x14ac:dyDescent="0.25">
      <c r="A66" s="80"/>
      <c r="B66" s="75"/>
      <c r="C66" s="13"/>
      <c r="D66" s="13"/>
      <c r="E66" s="13"/>
      <c r="F66" s="13"/>
      <c r="G66" s="13"/>
      <c r="H66" s="81"/>
      <c r="I66" s="76"/>
    </row>
    <row r="67" spans="1:9" x14ac:dyDescent="0.25">
      <c r="A67" s="80"/>
      <c r="B67" s="82"/>
      <c r="C67" s="13"/>
      <c r="D67" s="13"/>
      <c r="E67" s="13"/>
      <c r="F67" s="13"/>
      <c r="G67" s="13"/>
      <c r="H67" s="13"/>
      <c r="I67" s="76"/>
    </row>
    <row r="68" spans="1:9" x14ac:dyDescent="0.25">
      <c r="A68" s="80"/>
      <c r="B68" s="82"/>
      <c r="D68" s="13"/>
      <c r="E68" s="13"/>
      <c r="F68" s="13"/>
      <c r="G68" s="13"/>
      <c r="H68" s="13"/>
      <c r="I68" s="76"/>
    </row>
    <row r="69" spans="1:9" ht="16.5" thickBot="1" x14ac:dyDescent="0.3">
      <c r="A69" s="83"/>
      <c r="B69" s="84"/>
      <c r="C69" s="85"/>
      <c r="D69" s="86"/>
      <c r="E69" s="86"/>
      <c r="F69" s="86"/>
      <c r="G69" s="86"/>
      <c r="H69" s="86"/>
      <c r="I69" s="87"/>
    </row>
    <row r="70" spans="1:9" ht="16.5" thickBot="1" x14ac:dyDescent="0.3">
      <c r="A70" s="88" t="s">
        <v>20</v>
      </c>
      <c r="B70" s="89"/>
      <c r="C70" s="147">
        <f>SUM(E65:I65)</f>
        <v>15646426.631296741</v>
      </c>
      <c r="D70" s="13"/>
      <c r="E70" s="13"/>
      <c r="F70" s="13"/>
      <c r="G70" s="13"/>
      <c r="H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</row>
    <row r="72" spans="1:9" ht="16.5" thickBot="1" x14ac:dyDescent="0.3">
      <c r="A72" s="90" t="s">
        <v>21</v>
      </c>
      <c r="B72" s="91"/>
      <c r="C72" s="91"/>
      <c r="D72"/>
      <c r="E72"/>
      <c r="F72"/>
      <c r="G72"/>
      <c r="H72"/>
    </row>
    <row r="73" spans="1:9" x14ac:dyDescent="0.25">
      <c r="A73" s="130" t="s">
        <v>21</v>
      </c>
      <c r="B73" s="131"/>
      <c r="C73" s="131"/>
      <c r="D73" s="131"/>
      <c r="E73" s="131"/>
      <c r="F73" s="131"/>
      <c r="G73" s="131"/>
      <c r="H73" s="131"/>
      <c r="I73" s="132"/>
    </row>
    <row r="74" spans="1:9" ht="16.5" thickBot="1" x14ac:dyDescent="0.3">
      <c r="A74" s="133"/>
      <c r="B74" s="134"/>
      <c r="C74" s="134"/>
      <c r="D74" s="134"/>
      <c r="E74" s="134"/>
      <c r="F74" s="134"/>
      <c r="G74" s="134"/>
      <c r="H74" s="134"/>
      <c r="I74" s="135"/>
    </row>
    <row r="75" spans="1:9" ht="16.5" thickBot="1" x14ac:dyDescent="0.3">
      <c r="A75" s="64"/>
      <c r="B75" s="65"/>
      <c r="C75" s="66" t="s">
        <v>8</v>
      </c>
      <c r="D75" s="67">
        <v>2022</v>
      </c>
      <c r="E75" s="67">
        <v>2023</v>
      </c>
      <c r="F75" s="67">
        <v>2024</v>
      </c>
      <c r="G75" s="67">
        <v>2025</v>
      </c>
      <c r="H75" s="67">
        <v>2026</v>
      </c>
      <c r="I75" s="68">
        <v>2027</v>
      </c>
    </row>
    <row r="76" spans="1:9" x14ac:dyDescent="0.25">
      <c r="A76" s="4" t="s">
        <v>22</v>
      </c>
      <c r="C76" s="92"/>
      <c r="D76" s="92">
        <v>-448000000</v>
      </c>
      <c r="E76" s="5">
        <v>87599540</v>
      </c>
      <c r="F76" s="92">
        <v>89060281.200000018</v>
      </c>
      <c r="G76" s="5">
        <v>91418508.636000007</v>
      </c>
      <c r="H76" s="92">
        <v>98269225.195080042</v>
      </c>
      <c r="I76" s="92">
        <v>476607234.74880874</v>
      </c>
    </row>
    <row r="77" spans="1:9" x14ac:dyDescent="0.25">
      <c r="A77" s="124" t="s">
        <v>23</v>
      </c>
      <c r="C77" s="93"/>
      <c r="D77" s="93">
        <v>1</v>
      </c>
      <c r="E77" s="94">
        <v>0.91407678244972568</v>
      </c>
      <c r="F77" s="93">
        <v>0.83553636421364319</v>
      </c>
      <c r="G77" s="94">
        <v>0.76374439142014916</v>
      </c>
      <c r="H77" s="93">
        <v>0.69812101592335374</v>
      </c>
      <c r="I77" s="93">
        <v>0.63813621199575299</v>
      </c>
    </row>
    <row r="78" spans="1:9" ht="16.5" thickBot="1" x14ac:dyDescent="0.3">
      <c r="A78" s="124" t="s">
        <v>24</v>
      </c>
      <c r="B78"/>
      <c r="C78" s="95"/>
      <c r="D78" s="95">
        <v>-448000000</v>
      </c>
      <c r="E78" s="96">
        <v>80072705.66727604</v>
      </c>
      <c r="F78" s="95">
        <v>74413103.54969269</v>
      </c>
      <c r="G78" s="96">
        <v>69820373.242739469</v>
      </c>
      <c r="H78" s="95">
        <v>68603811.327190101</v>
      </c>
      <c r="I78" s="95">
        <v>304140335.39237541</v>
      </c>
    </row>
    <row r="79" spans="1:9" x14ac:dyDescent="0.25">
      <c r="A79" s="97" t="s">
        <v>25</v>
      </c>
      <c r="B79" s="98"/>
      <c r="C79" s="144">
        <f>C55</f>
        <v>149050329.17927369</v>
      </c>
      <c r="D79"/>
      <c r="E79"/>
      <c r="F79"/>
      <c r="G79"/>
      <c r="H79"/>
    </row>
    <row r="80" spans="1:9" x14ac:dyDescent="0.25">
      <c r="A80" s="99" t="s">
        <v>26</v>
      </c>
      <c r="B80"/>
      <c r="C80" s="145">
        <f>PMT(0.094, 5, -1)</f>
        <v>0.25976625215368832</v>
      </c>
      <c r="D80"/>
      <c r="E80"/>
      <c r="F80"/>
      <c r="G80"/>
      <c r="H80"/>
    </row>
    <row r="81" spans="1:9" ht="16.5" thickBot="1" x14ac:dyDescent="0.3">
      <c r="A81" s="100" t="s">
        <v>27</v>
      </c>
      <c r="B81" s="101"/>
      <c r="C81" s="146">
        <f>C79*C80</f>
        <v>38718245.393173456</v>
      </c>
      <c r="D81"/>
      <c r="E81"/>
      <c r="F81"/>
      <c r="G81"/>
      <c r="H81"/>
    </row>
    <row r="82" spans="1:9" x14ac:dyDescent="0.25">
      <c r="A82" s="13"/>
      <c r="B82" s="13"/>
      <c r="C82" s="13"/>
      <c r="D82" s="13"/>
      <c r="E82" s="13"/>
      <c r="F82" s="13"/>
      <c r="G82" s="13"/>
      <c r="H82" s="13"/>
    </row>
    <row r="83" spans="1:9" ht="18" x14ac:dyDescent="0.25">
      <c r="A83" s="126" t="s">
        <v>28</v>
      </c>
      <c r="B83" s="126"/>
      <c r="C83" s="126"/>
      <c r="D83" s="126"/>
      <c r="E83" s="126"/>
      <c r="F83" s="126"/>
      <c r="G83" s="126"/>
      <c r="H83" s="126"/>
      <c r="I83" s="126"/>
    </row>
    <row r="84" spans="1:9" ht="16.5" thickBot="1" x14ac:dyDescent="0.3">
      <c r="A84" s="102" t="s">
        <v>29</v>
      </c>
      <c r="B84" s="103">
        <v>0.1</v>
      </c>
      <c r="C84" s="104"/>
      <c r="D84"/>
      <c r="E84"/>
      <c r="G84" s="13"/>
      <c r="H84" s="13"/>
    </row>
    <row r="85" spans="1:9" ht="16.5" thickBot="1" x14ac:dyDescent="0.3">
      <c r="A85"/>
      <c r="B85"/>
      <c r="C85" s="105">
        <f>-B84</f>
        <v>-0.1</v>
      </c>
      <c r="D85" s="106">
        <f>0%</f>
        <v>0</v>
      </c>
      <c r="E85" s="107">
        <f>B84</f>
        <v>0.1</v>
      </c>
      <c r="G85" s="13"/>
      <c r="H85" s="13"/>
    </row>
    <row r="86" spans="1:9" x14ac:dyDescent="0.25">
      <c r="A86"/>
      <c r="B86" s="108" t="s">
        <v>30</v>
      </c>
      <c r="C86" s="109">
        <v>-448000000</v>
      </c>
      <c r="D86" s="109">
        <v>448000000</v>
      </c>
      <c r="E86" s="109">
        <v>-448000000</v>
      </c>
      <c r="G86" s="13"/>
      <c r="H86" s="13"/>
    </row>
    <row r="87" spans="1:9" x14ac:dyDescent="0.25">
      <c r="A87"/>
      <c r="B87" s="108" t="s">
        <v>31</v>
      </c>
      <c r="C87" s="110">
        <v>83548482.63254112</v>
      </c>
      <c r="D87" s="110">
        <v>80072706</v>
      </c>
      <c r="E87" s="110">
        <v>76596928.702010959</v>
      </c>
      <c r="G87" s="13"/>
      <c r="H87" s="13"/>
    </row>
    <row r="88" spans="1:9" x14ac:dyDescent="0.25">
      <c r="A88"/>
      <c r="B88" s="108" t="s">
        <v>32</v>
      </c>
      <c r="C88" s="110">
        <v>77653773.115113527</v>
      </c>
      <c r="D88" s="110">
        <v>74413104</v>
      </c>
      <c r="E88" s="110">
        <v>71172433.984271869</v>
      </c>
      <c r="G88" s="13"/>
      <c r="H88" s="13"/>
    </row>
    <row r="89" spans="1:9" x14ac:dyDescent="0.25">
      <c r="A89"/>
      <c r="B89" s="108" t="s">
        <v>33</v>
      </c>
      <c r="C89" s="110">
        <v>72841838.468268946</v>
      </c>
      <c r="D89" s="110">
        <v>69820373</v>
      </c>
      <c r="E89" s="110">
        <v>66798908.017210007</v>
      </c>
      <c r="G89" s="13"/>
      <c r="H89" s="13"/>
    </row>
    <row r="90" spans="1:9" x14ac:dyDescent="0.25">
      <c r="A90"/>
      <c r="B90" s="108" t="s">
        <v>34</v>
      </c>
      <c r="C90" s="110">
        <v>71420899.56305854</v>
      </c>
      <c r="D90" s="110">
        <v>68603811</v>
      </c>
      <c r="E90" s="110">
        <v>65786723.091321677</v>
      </c>
      <c r="G90" s="13"/>
      <c r="H90" s="13"/>
    </row>
    <row r="91" spans="1:9" x14ac:dyDescent="0.25">
      <c r="A91"/>
      <c r="B91" s="108" t="s">
        <v>35</v>
      </c>
      <c r="C91" s="110">
        <v>306766871.0419054</v>
      </c>
      <c r="D91" s="110">
        <v>304140335</v>
      </c>
      <c r="E91" s="110">
        <v>301513799.74284542</v>
      </c>
      <c r="G91" s="13"/>
      <c r="H91" s="13"/>
    </row>
    <row r="92" spans="1:9" ht="16.5" thickBot="1" x14ac:dyDescent="0.3">
      <c r="A92" s="111"/>
      <c r="B92" s="108" t="s">
        <v>25</v>
      </c>
      <c r="C92" s="112">
        <v>164231865</v>
      </c>
      <c r="D92" s="112">
        <v>149050329</v>
      </c>
      <c r="E92" s="112">
        <v>133868794</v>
      </c>
      <c r="G92" s="13"/>
      <c r="H92" s="13"/>
    </row>
    <row r="93" spans="1:9" x14ac:dyDescent="0.25">
      <c r="A93"/>
      <c r="B93"/>
      <c r="C93" s="104"/>
      <c r="D93"/>
      <c r="E93"/>
      <c r="G93" s="13"/>
      <c r="H93" s="13"/>
    </row>
    <row r="94" spans="1:9" x14ac:dyDescent="0.25">
      <c r="A94" s="111"/>
      <c r="B94" s="108" t="s">
        <v>36</v>
      </c>
      <c r="C94" s="113">
        <f>(C92-D92)/D92</f>
        <v>0.10185509889079145</v>
      </c>
      <c r="D94" s="114">
        <v>0</v>
      </c>
      <c r="E94" s="114">
        <f>(E92-D92)/D92</f>
        <v>-0.10185509218164826</v>
      </c>
      <c r="G94" s="13"/>
      <c r="H94" s="13"/>
    </row>
    <row r="95" spans="1:9" x14ac:dyDescent="0.25">
      <c r="A95"/>
      <c r="B95"/>
      <c r="C95" s="104"/>
      <c r="D95"/>
      <c r="E95"/>
      <c r="G95" s="13"/>
      <c r="H95" s="13"/>
    </row>
    <row r="96" spans="1:9" x14ac:dyDescent="0.25">
      <c r="A96"/>
      <c r="B96" s="108" t="s">
        <v>37</v>
      </c>
      <c r="C96" s="125" t="s">
        <v>81</v>
      </c>
      <c r="D96" s="125"/>
      <c r="E96" s="125"/>
      <c r="F96" s="125"/>
      <c r="G96" s="125"/>
      <c r="H96" s="125"/>
      <c r="I96" s="125"/>
    </row>
    <row r="97" spans="1:9" x14ac:dyDescent="0.25">
      <c r="C97" s="125"/>
      <c r="D97" s="125"/>
      <c r="E97" s="125"/>
      <c r="F97" s="125"/>
      <c r="G97" s="125"/>
      <c r="H97" s="125"/>
      <c r="I97" s="125"/>
    </row>
    <row r="98" spans="1:9" x14ac:dyDescent="0.25">
      <c r="C98" s="125"/>
      <c r="D98" s="125"/>
      <c r="E98" s="125"/>
      <c r="F98" s="125"/>
      <c r="G98" s="125"/>
      <c r="H98" s="125"/>
      <c r="I98" s="125"/>
    </row>
    <row r="99" spans="1:9" x14ac:dyDescent="0.25">
      <c r="C99" s="125"/>
      <c r="D99" s="125"/>
      <c r="E99" s="125"/>
      <c r="F99" s="125"/>
      <c r="G99" s="125"/>
      <c r="H99" s="125"/>
      <c r="I99" s="125"/>
    </row>
    <row r="103" spans="1:9" x14ac:dyDescent="0.25">
      <c r="A103" s="116"/>
    </row>
  </sheetData>
  <mergeCells count="13">
    <mergeCell ref="C96:I99"/>
    <mergeCell ref="A83:I83"/>
    <mergeCell ref="H1:I1"/>
    <mergeCell ref="A3:A5"/>
    <mergeCell ref="A6:I6"/>
    <mergeCell ref="A7:I8"/>
    <mergeCell ref="A55:B55"/>
    <mergeCell ref="C55:D55"/>
    <mergeCell ref="A56:B56"/>
    <mergeCell ref="A58:I58"/>
    <mergeCell ref="A59:I59"/>
    <mergeCell ref="A60:I61"/>
    <mergeCell ref="A73:I74"/>
  </mergeCells>
  <pageMargins left="0.25" right="0.25" top="0.75" bottom="0.75" header="0.3" footer="0.3"/>
  <pageSetup scale="71" fitToHeight="2" orientation="portrait" r:id="rId1"/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joliann morissette</dc:creator>
  <cp:lastModifiedBy>Jean-Philippe Bernard</cp:lastModifiedBy>
  <cp:lastPrinted>2022-06-16T15:35:07Z</cp:lastPrinted>
  <dcterms:created xsi:type="dcterms:W3CDTF">2022-06-06T18:33:09Z</dcterms:created>
  <dcterms:modified xsi:type="dcterms:W3CDTF">2022-06-16T15:36:54Z</dcterms:modified>
</cp:coreProperties>
</file>