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OneDrive\Documents\Été2022\"/>
    </mc:Choice>
  </mc:AlternateContent>
  <xr:revisionPtr revIDLastSave="0" documentId="13_ncr:1_{CE7E1031-77A6-4E7A-B83F-7D324130F9C6}" xr6:coauthVersionLast="47" xr6:coauthVersionMax="47" xr10:uidLastSave="{00000000-0000-0000-0000-000000000000}"/>
  <bookViews>
    <workbookView xWindow="39345" yWindow="1200" windowWidth="16680" windowHeight="14040" xr2:uid="{28DF167E-955D-6E47-90A1-604D2398951C}"/>
  </bookViews>
  <sheets>
    <sheet name="TP5" sheetId="1" r:id="rId1"/>
    <sheet name="Calculs per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23" i="1"/>
  <c r="I22" i="1"/>
  <c r="C30" i="1"/>
  <c r="C29" i="1" s="1"/>
  <c r="E16" i="1"/>
  <c r="F16" i="1"/>
  <c r="G16" i="1"/>
  <c r="H16" i="1"/>
  <c r="I16" i="1"/>
  <c r="D16" i="1"/>
  <c r="E15" i="1"/>
  <c r="F15" i="1"/>
  <c r="G15" i="1"/>
  <c r="H15" i="1"/>
  <c r="I15" i="1"/>
  <c r="D15" i="1"/>
  <c r="E14" i="1"/>
  <c r="F14" i="1"/>
  <c r="G14" i="1"/>
  <c r="H14" i="1"/>
  <c r="I14" i="1"/>
  <c r="D14" i="1"/>
  <c r="E8" i="1"/>
  <c r="D8" i="1"/>
  <c r="B72" i="1"/>
  <c r="B62" i="1"/>
  <c r="C60" i="1"/>
  <c r="E22" i="1"/>
  <c r="C58" i="1"/>
  <c r="H22" i="1"/>
  <c r="G22" i="1"/>
  <c r="F22" i="1"/>
  <c r="D22" i="1"/>
  <c r="F23" i="1"/>
  <c r="D10" i="1"/>
  <c r="G23" i="1" l="1"/>
  <c r="G25" i="1" s="1"/>
  <c r="G49" i="1" s="1"/>
  <c r="G58" i="1" s="1"/>
  <c r="G60" i="1" s="1"/>
  <c r="C77" i="1"/>
  <c r="D23" i="1"/>
  <c r="D25" i="1" s="1"/>
  <c r="D49" i="1" s="1"/>
  <c r="D58" i="1" s="1"/>
  <c r="D60" i="1" s="1"/>
  <c r="I37" i="1"/>
  <c r="F25" i="1"/>
  <c r="F49" i="1" s="1"/>
  <c r="F58" i="1" s="1"/>
  <c r="F60" i="1" s="1"/>
  <c r="H23" i="1"/>
  <c r="H25" i="1" s="1"/>
  <c r="H49" i="1" s="1"/>
  <c r="H58" i="1" s="1"/>
  <c r="H60" i="1" s="1"/>
  <c r="E23" i="1"/>
  <c r="E25" i="1" s="1"/>
  <c r="E49" i="1" s="1"/>
  <c r="E58" i="1" s="1"/>
  <c r="E60" i="1" s="1"/>
  <c r="I25" i="1"/>
  <c r="I49" i="1" s="1"/>
  <c r="I38" i="1"/>
  <c r="H5" i="1"/>
  <c r="G5" i="1"/>
  <c r="I39" i="1" l="1"/>
  <c r="I50" i="1" s="1"/>
  <c r="I58" i="1" s="1"/>
  <c r="I60" i="1" s="1"/>
  <c r="B61" i="1" s="1"/>
  <c r="B63" i="1" s="1"/>
  <c r="C40" i="1"/>
  <c r="C42" i="1" s="1"/>
  <c r="D19" i="1"/>
  <c r="D20" i="1" s="1"/>
  <c r="D24" i="1" s="1"/>
  <c r="D26" i="1" s="1"/>
  <c r="D27" i="1" s="1"/>
  <c r="D40" i="1" s="1"/>
  <c r="D42" i="1" s="1"/>
  <c r="F8" i="1"/>
  <c r="E10" i="1"/>
  <c r="F10" i="1" l="1"/>
  <c r="G8" i="1"/>
  <c r="E19" i="1"/>
  <c r="E20" i="1" s="1"/>
  <c r="E24" i="1" l="1"/>
  <c r="E26" i="1" s="1"/>
  <c r="E27" i="1" s="1"/>
  <c r="E40" i="1" s="1"/>
  <c r="E42" i="1" s="1"/>
  <c r="H8" i="1"/>
  <c r="G10" i="1"/>
  <c r="F19" i="1"/>
  <c r="F20" i="1" s="1"/>
  <c r="F24" i="1" l="1"/>
  <c r="F26" i="1" s="1"/>
  <c r="F27" i="1" s="1"/>
  <c r="F40" i="1" s="1"/>
  <c r="F42" i="1" s="1"/>
  <c r="I8" i="1"/>
  <c r="H10" i="1"/>
  <c r="G19" i="1" l="1"/>
  <c r="G20" i="1" s="1"/>
  <c r="I10" i="1"/>
  <c r="H19" i="1"/>
  <c r="H20" i="1" s="1"/>
  <c r="G24" i="1" l="1"/>
  <c r="G26" i="1" s="1"/>
  <c r="G27" i="1" s="1"/>
  <c r="G40" i="1" s="1"/>
  <c r="G42" i="1" s="1"/>
  <c r="H24" i="1"/>
  <c r="H26" i="1" s="1"/>
  <c r="H27" i="1" s="1"/>
  <c r="H40" i="1" s="1"/>
  <c r="H42" i="1" s="1"/>
  <c r="I19" i="1"/>
  <c r="I20" i="1" s="1"/>
  <c r="I24" i="1" l="1"/>
  <c r="I26" i="1" s="1"/>
  <c r="I27" i="1" s="1"/>
  <c r="I40" i="1" s="1"/>
  <c r="I42" i="1" s="1"/>
  <c r="B43" i="1" s="1"/>
</calcChain>
</file>

<file path=xl/sharedStrings.xml><?xml version="1.0" encoding="utf-8"?>
<sst xmlns="http://schemas.openxmlformats.org/spreadsheetml/2006/main" count="82" uniqueCount="67">
  <si>
    <t>Nom :</t>
  </si>
  <si>
    <t>Prénom :</t>
  </si>
  <si>
    <t>Matricule :</t>
  </si>
  <si>
    <t>Groupe :</t>
  </si>
  <si>
    <t>Méthodes d'analyse des projets APRÈS impôt</t>
  </si>
  <si>
    <t>Question 1</t>
  </si>
  <si>
    <t xml:space="preserve">Année </t>
  </si>
  <si>
    <t>DATA</t>
  </si>
  <si>
    <t>Produits des ventes</t>
  </si>
  <si>
    <t>Débours d'exploitation</t>
  </si>
  <si>
    <t>Coût totaux</t>
  </si>
  <si>
    <t>Flux monétaires nets d'exploitation</t>
  </si>
  <si>
    <t>Impôts et amortissements fiscaux</t>
  </si>
  <si>
    <t>Flux monétaires nets après impôts</t>
  </si>
  <si>
    <t>Investissements initiaux</t>
  </si>
  <si>
    <t>Valeurs résiduelles</t>
  </si>
  <si>
    <t>Ajustement fiscal sur disposition d'actif</t>
  </si>
  <si>
    <t>Flux monétaires</t>
  </si>
  <si>
    <t>Facteur d'actualisation</t>
  </si>
  <si>
    <t>Flux monétaires actualisés</t>
  </si>
  <si>
    <t>VAN après impôt</t>
  </si>
  <si>
    <t>fonction excel</t>
  </si>
  <si>
    <t>Question 2 a)</t>
  </si>
  <si>
    <t>a) le coût annuel équivalent après impôt (CAÉ)</t>
  </si>
  <si>
    <t>FMN actualisés totaux</t>
  </si>
  <si>
    <t>Facteur</t>
  </si>
  <si>
    <t>CAÉ</t>
  </si>
  <si>
    <t>Question 2 b)</t>
  </si>
  <si>
    <t>b) l'annuité équivalente après impôt (AÉ)</t>
  </si>
  <si>
    <t>AÉ</t>
  </si>
  <si>
    <t xml:space="preserve">Question 3 </t>
  </si>
  <si>
    <t>Analyse de sensibilité : coûts des frais généraux de fabrication</t>
  </si>
  <si>
    <t>Comptes</t>
  </si>
  <si>
    <t>Gervais</t>
  </si>
  <si>
    <t>Samuel</t>
  </si>
  <si>
    <t>Dumas</t>
  </si>
  <si>
    <t>Emile</t>
  </si>
  <si>
    <t>El-Seidy</t>
  </si>
  <si>
    <t>Abd El Rahman</t>
  </si>
  <si>
    <t>Équipement de production</t>
  </si>
  <si>
    <t>Analyse de marché</t>
  </si>
  <si>
    <t>Terrain</t>
  </si>
  <si>
    <t>Immeuble</t>
  </si>
  <si>
    <t>Nombre d'unités vendues</t>
  </si>
  <si>
    <t>Prix de l'unité</t>
  </si>
  <si>
    <t>Plan</t>
  </si>
  <si>
    <t>MP</t>
  </si>
  <si>
    <t>Frais généraux</t>
  </si>
  <si>
    <t>Publicité</t>
  </si>
  <si>
    <t>Main œuvre</t>
  </si>
  <si>
    <t>Autres frais</t>
  </si>
  <si>
    <t>Impôt sur revenu</t>
  </si>
  <si>
    <t>Somme</t>
  </si>
  <si>
    <t>DPA Parc d'équipement</t>
  </si>
  <si>
    <t>DPA Immeuble</t>
  </si>
  <si>
    <t>Déduction d'impôt</t>
  </si>
  <si>
    <t>Parc d'équipement fermeture</t>
  </si>
  <si>
    <t>Immeuble non-fermeture</t>
  </si>
  <si>
    <t>Impôt net</t>
  </si>
  <si>
    <t>VAN(;ligne flux monétaire act.)</t>
  </si>
  <si>
    <t>Coûts totaux</t>
  </si>
  <si>
    <t>Déductions d'impôt</t>
  </si>
  <si>
    <t>Ajustement fiscal</t>
  </si>
  <si>
    <t>VAN</t>
  </si>
  <si>
    <t>VAN :</t>
  </si>
  <si>
    <t>A/P</t>
  </si>
  <si>
    <t>Une augmentation de 10% des frais généraux cause une diminution du VAN de 12% et sa diminution de 10% cause une augmentation du VAN de 41%. En conclusion, les frais généraux ont donc un énorme impact sur le VAN.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</si>
</sst>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#,##0&quot; u&quot;"/>
    <numFmt numFmtId="165" formatCode="#,##0\ &quot;$&quot;_-;[Red]#,##0\ &quot;$&quot;\-"/>
    <numFmt numFmtId="166" formatCode="_ * #,##0_)\ &quot;$&quot;_ ;_ * \(#,##0\)\ &quot;$&quot;_ ;_ * &quot;-&quot;??_)\ &quot;$&quot;_ ;_ @_ "/>
    <numFmt numFmtId="167" formatCode="#,##0\ &quot;$&quot;_-"/>
    <numFmt numFmtId="168" formatCode="0.0000"/>
    <numFmt numFmtId="169" formatCode="0.000%"/>
    <numFmt numFmtId="170" formatCode="h&quot; h &quot;mm;@"/>
    <numFmt numFmtId="171" formatCode="[$-F800]dddd\,\ mmmm\ dd\,\ yyyy"/>
    <numFmt numFmtId="172" formatCode="#,##0.00\ &quot;$&quot;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Times Roman"/>
    </font>
    <font>
      <sz val="10"/>
      <name val="Times Roman"/>
    </font>
    <font>
      <b/>
      <sz val="10"/>
      <name val="Times Roman"/>
    </font>
    <font>
      <b/>
      <sz val="10"/>
      <color rgb="FF000000"/>
      <name val="Times Roman"/>
    </font>
    <font>
      <sz val="10"/>
      <color rgb="FF000000"/>
      <name val="Times Roman"/>
    </font>
    <font>
      <i/>
      <sz val="10"/>
      <name val="Times Roman"/>
    </font>
    <font>
      <sz val="12"/>
      <color theme="1"/>
      <name val="Times Roman"/>
    </font>
    <font>
      <b/>
      <sz val="12"/>
      <color theme="1"/>
      <name val="Calibri"/>
      <family val="2"/>
      <scheme val="minor"/>
    </font>
    <font>
      <sz val="12"/>
      <name val="Times Roman"/>
    </font>
    <font>
      <b/>
      <sz val="20"/>
      <name val="Times Roman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1C8FD"/>
        <bgColor indexed="64"/>
      </patternFill>
    </fill>
    <fill>
      <patternFill patternType="solid">
        <fgColor rgb="FFF7FD7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4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166" fontId="4" fillId="0" borderId="7" xfId="0" applyNumberFormat="1" applyFont="1" applyBorder="1"/>
    <xf numFmtId="0" fontId="4" fillId="3" borderId="4" xfId="0" applyFont="1" applyFill="1" applyBorder="1"/>
    <xf numFmtId="166" fontId="3" fillId="3" borderId="5" xfId="0" applyNumberFormat="1" applyFont="1" applyFill="1" applyBorder="1"/>
    <xf numFmtId="166" fontId="3" fillId="0" borderId="5" xfId="0" applyNumberFormat="1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9" xfId="0" applyFont="1" applyBorder="1"/>
    <xf numFmtId="166" fontId="5" fillId="0" borderId="9" xfId="0" applyNumberFormat="1" applyFont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6" fillId="0" borderId="4" xfId="0" applyFont="1" applyBorder="1"/>
    <xf numFmtId="9" fontId="3" fillId="0" borderId="0" xfId="0" applyNumberFormat="1" applyFont="1" applyAlignment="1">
      <alignment horizontal="center"/>
    </xf>
    <xf numFmtId="0" fontId="5" fillId="0" borderId="6" xfId="0" applyFont="1" applyBorder="1"/>
    <xf numFmtId="0" fontId="3" fillId="0" borderId="7" xfId="0" applyFont="1" applyBorder="1"/>
    <xf numFmtId="166" fontId="5" fillId="0" borderId="7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166" fontId="3" fillId="0" borderId="9" xfId="2" applyNumberFormat="1" applyFont="1" applyFill="1" applyBorder="1" applyAlignment="1">
      <alignment horizontal="right"/>
    </xf>
    <xf numFmtId="0" fontId="3" fillId="3" borderId="5" xfId="0" applyFont="1" applyFill="1" applyBorder="1"/>
    <xf numFmtId="0" fontId="4" fillId="0" borderId="11" xfId="0" applyFont="1" applyBorder="1"/>
    <xf numFmtId="0" fontId="4" fillId="0" borderId="4" xfId="0" applyFont="1" applyBorder="1"/>
    <xf numFmtId="0" fontId="4" fillId="0" borderId="14" xfId="0" applyFont="1" applyBorder="1"/>
    <xf numFmtId="166" fontId="3" fillId="0" borderId="1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23" xfId="0" applyFont="1" applyBorder="1" applyAlignment="1">
      <alignment horizontal="left"/>
    </xf>
    <xf numFmtId="166" fontId="4" fillId="0" borderId="0" xfId="2" applyNumberFormat="1" applyFon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3" fillId="4" borderId="4" xfId="0" applyFont="1" applyFill="1" applyBorder="1" applyAlignment="1">
      <alignment horizontal="right"/>
    </xf>
    <xf numFmtId="0" fontId="3" fillId="0" borderId="5" xfId="0" applyFont="1" applyBorder="1"/>
    <xf numFmtId="10" fontId="3" fillId="0" borderId="0" xfId="3" applyNumberFormat="1" applyFont="1" applyAlignment="1">
      <alignment horizontal="center"/>
    </xf>
    <xf numFmtId="166" fontId="3" fillId="0" borderId="0" xfId="0" applyNumberFormat="1" applyFont="1" applyBorder="1"/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6" fontId="3" fillId="3" borderId="0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7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166" fontId="3" fillId="0" borderId="0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5" borderId="0" xfId="0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/>
    </xf>
    <xf numFmtId="9" fontId="3" fillId="5" borderId="15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3" fillId="0" borderId="5" xfId="0" applyFont="1" applyFill="1" applyBorder="1"/>
    <xf numFmtId="166" fontId="3" fillId="0" borderId="0" xfId="0" applyNumberFormat="1" applyFont="1" applyFill="1" applyBorder="1"/>
    <xf numFmtId="0" fontId="6" fillId="5" borderId="0" xfId="0" applyFont="1" applyFill="1" applyBorder="1" applyAlignment="1">
      <alignment horizontal="left"/>
    </xf>
    <xf numFmtId="0" fontId="3" fillId="5" borderId="9" xfId="0" applyFont="1" applyFill="1" applyBorder="1"/>
    <xf numFmtId="0" fontId="3" fillId="3" borderId="12" xfId="0" applyFont="1" applyFill="1" applyBorder="1"/>
    <xf numFmtId="166" fontId="3" fillId="5" borderId="5" xfId="0" applyNumberFormat="1" applyFont="1" applyFill="1" applyBorder="1"/>
    <xf numFmtId="166" fontId="3" fillId="5" borderId="15" xfId="0" applyNumberFormat="1" applyFont="1" applyFill="1" applyBorder="1"/>
    <xf numFmtId="166" fontId="3" fillId="5" borderId="9" xfId="0" applyNumberFormat="1" applyFont="1" applyFill="1" applyBorder="1"/>
    <xf numFmtId="0" fontId="8" fillId="0" borderId="0" xfId="0" applyFont="1"/>
    <xf numFmtId="0" fontId="8" fillId="0" borderId="24" xfId="0" applyFont="1" applyBorder="1" applyAlignment="1"/>
    <xf numFmtId="0" fontId="8" fillId="0" borderId="25" xfId="0" applyFont="1" applyBorder="1" applyAlignment="1"/>
    <xf numFmtId="0" fontId="8" fillId="0" borderId="7" xfId="0" applyFont="1" applyBorder="1" applyAlignment="1"/>
    <xf numFmtId="0" fontId="3" fillId="6" borderId="17" xfId="0" applyFont="1" applyFill="1" applyBorder="1"/>
    <xf numFmtId="0" fontId="7" fillId="6" borderId="14" xfId="0" applyFont="1" applyFill="1" applyBorder="1"/>
    <xf numFmtId="9" fontId="3" fillId="4" borderId="0" xfId="0" applyNumberFormat="1" applyFont="1" applyFill="1" applyBorder="1" applyAlignment="1">
      <alignment horizontal="center"/>
    </xf>
    <xf numFmtId="0" fontId="4" fillId="0" borderId="17" xfId="0" applyNumberFormat="1" applyFont="1" applyFill="1" applyBorder="1"/>
    <xf numFmtId="0" fontId="3" fillId="0" borderId="18" xfId="0" applyNumberFormat="1" applyFont="1" applyFill="1" applyBorder="1" applyAlignment="1">
      <alignment horizontal="center"/>
    </xf>
    <xf numFmtId="0" fontId="4" fillId="0" borderId="18" xfId="2" applyNumberFormat="1" applyFont="1" applyFill="1" applyBorder="1" applyAlignment="1">
      <alignment horizontal="center"/>
    </xf>
    <xf numFmtId="0" fontId="4" fillId="0" borderId="19" xfId="2" applyNumberFormat="1" applyFont="1" applyFill="1" applyBorder="1" applyAlignment="1">
      <alignment horizontal="center"/>
    </xf>
    <xf numFmtId="0" fontId="4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5" xfId="0" applyNumberFormat="1" applyFont="1" applyFill="1" applyBorder="1"/>
    <xf numFmtId="0" fontId="4" fillId="0" borderId="14" xfId="0" applyNumberFormat="1" applyFont="1" applyFill="1" applyBorder="1"/>
    <xf numFmtId="0" fontId="3" fillId="0" borderId="15" xfId="2" applyNumberFormat="1" applyFont="1" applyFill="1" applyBorder="1"/>
    <xf numFmtId="0" fontId="3" fillId="0" borderId="15" xfId="0" applyNumberFormat="1" applyFont="1" applyFill="1" applyBorder="1"/>
    <xf numFmtId="0" fontId="3" fillId="0" borderId="16" xfId="0" applyNumberFormat="1" applyFont="1" applyFill="1" applyBorder="1"/>
    <xf numFmtId="0" fontId="2" fillId="0" borderId="0" xfId="0" applyFont="1" applyFill="1" applyAlignment="1">
      <alignment horizontal="center"/>
    </xf>
    <xf numFmtId="170" fontId="9" fillId="0" borderId="0" xfId="0" applyNumberFormat="1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  <xf numFmtId="10" fontId="3" fillId="5" borderId="0" xfId="0" applyNumberFormat="1" applyFont="1" applyFill="1" applyBorder="1"/>
    <xf numFmtId="166" fontId="3" fillId="0" borderId="0" xfId="0" applyNumberFormat="1" applyFont="1"/>
    <xf numFmtId="172" fontId="3" fillId="0" borderId="0" xfId="0" applyNumberFormat="1" applyFont="1" applyFill="1" applyBorder="1" applyAlignment="1">
      <alignment horizontal="center"/>
    </xf>
    <xf numFmtId="9" fontId="8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 applyBorder="1"/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0" borderId="15" xfId="1" applyNumberFormat="1" applyFont="1" applyFill="1" applyBorder="1" applyAlignment="1">
      <alignment horizontal="right"/>
    </xf>
    <xf numFmtId="166" fontId="3" fillId="6" borderId="20" xfId="0" applyNumberFormat="1" applyFont="1" applyFill="1" applyBorder="1" applyAlignment="1">
      <alignment horizontal="center" vertical="center"/>
    </xf>
    <xf numFmtId="166" fontId="3" fillId="6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3" fillId="6" borderId="18" xfId="2" applyNumberFormat="1" applyFont="1" applyFill="1" applyBorder="1" applyAlignment="1">
      <alignment horizontal="center" vertical="center"/>
    </xf>
    <xf numFmtId="166" fontId="3" fillId="6" borderId="19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/>
    </xf>
    <xf numFmtId="166" fontId="3" fillId="6" borderId="16" xfId="2" applyNumberFormat="1" applyFont="1" applyFill="1" applyBorder="1" applyAlignment="1">
      <alignment horizontal="center"/>
    </xf>
    <xf numFmtId="166" fontId="3" fillId="5" borderId="20" xfId="2" applyNumberFormat="1" applyFont="1" applyFill="1" applyBorder="1" applyAlignment="1">
      <alignment horizontal="center"/>
    </xf>
    <xf numFmtId="166" fontId="3" fillId="5" borderId="16" xfId="2" applyNumberFormat="1" applyFont="1" applyFill="1" applyBorder="1" applyAlignment="1">
      <alignment horizontal="center"/>
    </xf>
    <xf numFmtId="2" fontId="4" fillId="5" borderId="21" xfId="1" applyNumberFormat="1" applyFont="1" applyFill="1" applyBorder="1" applyAlignment="1">
      <alignment horizontal="center"/>
    </xf>
    <xf numFmtId="2" fontId="4" fillId="5" borderId="22" xfId="1" applyNumberFormat="1" applyFont="1" applyFill="1" applyBorder="1" applyAlignment="1">
      <alignment horizontal="center"/>
    </xf>
    <xf numFmtId="166" fontId="3" fillId="6" borderId="21" xfId="0" applyNumberFormat="1" applyFont="1" applyFill="1" applyBorder="1" applyAlignment="1">
      <alignment horizontal="center" vertical="center"/>
    </xf>
    <xf numFmtId="166" fontId="3" fillId="6" borderId="22" xfId="0" applyNumberFormat="1" applyFont="1" applyFill="1" applyBorder="1" applyAlignment="1">
      <alignment horizontal="center" vertical="center"/>
    </xf>
    <xf numFmtId="171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DEB1-DA7E-494C-ADC4-D08447DE2EAC}">
  <dimension ref="A1:I99"/>
  <sheetViews>
    <sheetView tabSelected="1" topLeftCell="A13" zoomScale="92" zoomScaleNormal="92" workbookViewId="0">
      <selection activeCell="D48" sqref="D48"/>
    </sheetView>
  </sheetViews>
  <sheetFormatPr defaultColWidth="10.83203125" defaultRowHeight="15.5"/>
  <cols>
    <col min="1" max="1" width="28.33203125" style="75" customWidth="1"/>
    <col min="2" max="16384" width="10.83203125" style="75"/>
  </cols>
  <sheetData>
    <row r="1" spans="1:9">
      <c r="A1" s="76" t="s">
        <v>0</v>
      </c>
      <c r="B1" s="77" t="s">
        <v>33</v>
      </c>
      <c r="C1" s="76" t="s">
        <v>1</v>
      </c>
      <c r="D1" s="78" t="s">
        <v>34</v>
      </c>
      <c r="E1" s="77"/>
      <c r="F1" s="76" t="s">
        <v>2</v>
      </c>
      <c r="G1" s="77">
        <v>1842118</v>
      </c>
      <c r="H1" s="76" t="s">
        <v>3</v>
      </c>
      <c r="I1" s="77">
        <v>7</v>
      </c>
    </row>
    <row r="2" spans="1:9">
      <c r="A2" s="76" t="s">
        <v>0</v>
      </c>
      <c r="B2" s="77" t="s">
        <v>35</v>
      </c>
      <c r="C2" s="76" t="s">
        <v>1</v>
      </c>
      <c r="D2" s="78" t="s">
        <v>36</v>
      </c>
      <c r="E2" s="77"/>
      <c r="F2" s="76" t="s">
        <v>2</v>
      </c>
      <c r="G2" s="77">
        <v>2020105</v>
      </c>
      <c r="H2" s="76" t="s">
        <v>3</v>
      </c>
      <c r="I2" s="77">
        <v>7</v>
      </c>
    </row>
    <row r="3" spans="1:9">
      <c r="A3" s="76" t="s">
        <v>0</v>
      </c>
      <c r="B3" s="77" t="s">
        <v>37</v>
      </c>
      <c r="C3" s="76" t="s">
        <v>1</v>
      </c>
      <c r="D3" s="78" t="s">
        <v>38</v>
      </c>
      <c r="E3" s="77"/>
      <c r="F3" s="76" t="s">
        <v>2</v>
      </c>
      <c r="G3" s="77">
        <v>1835133</v>
      </c>
      <c r="H3" s="76" t="s">
        <v>3</v>
      </c>
      <c r="I3" s="77">
        <v>7</v>
      </c>
    </row>
    <row r="4" spans="1:9" ht="17.5">
      <c r="A4" s="118" t="s">
        <v>4</v>
      </c>
      <c r="B4" s="118"/>
      <c r="C4" s="118"/>
      <c r="D4" s="118"/>
      <c r="E4" s="118"/>
      <c r="F4" s="118"/>
      <c r="G4" s="118"/>
      <c r="H4" s="118"/>
      <c r="I4" s="118"/>
    </row>
    <row r="5" spans="1:9" ht="17.5">
      <c r="A5" s="97"/>
      <c r="B5" s="97"/>
      <c r="C5" s="97"/>
      <c r="D5" s="97"/>
      <c r="E5" s="97"/>
      <c r="F5" s="97"/>
      <c r="G5" s="98">
        <f ca="1">NOW()</f>
        <v>44727.934931944445</v>
      </c>
      <c r="H5" s="129">
        <f ca="1">NOW()</f>
        <v>44727.934931944445</v>
      </c>
      <c r="I5" s="130"/>
    </row>
    <row r="6" spans="1:9" ht="16" thickBot="1">
      <c r="A6" s="3" t="s">
        <v>5</v>
      </c>
      <c r="B6" s="1"/>
      <c r="C6" s="2"/>
      <c r="D6" s="1"/>
      <c r="E6" s="1"/>
      <c r="F6" s="1"/>
    </row>
    <row r="7" spans="1:9">
      <c r="A7" s="4" t="s">
        <v>6</v>
      </c>
      <c r="B7" s="5" t="s">
        <v>7</v>
      </c>
      <c r="C7" s="5">
        <v>2022</v>
      </c>
      <c r="D7" s="5">
        <v>2023</v>
      </c>
      <c r="E7" s="5">
        <v>2024</v>
      </c>
      <c r="F7" s="5">
        <v>2025</v>
      </c>
      <c r="G7" s="5">
        <v>2026</v>
      </c>
      <c r="H7" s="5">
        <v>2027</v>
      </c>
      <c r="I7" s="6">
        <v>2028</v>
      </c>
    </row>
    <row r="8" spans="1:9">
      <c r="A8" s="7" t="s">
        <v>43</v>
      </c>
      <c r="B8" s="60"/>
      <c r="C8" s="49"/>
      <c r="D8" s="50">
        <f>200</f>
        <v>200</v>
      </c>
      <c r="E8" s="50">
        <f>D8*1.04</f>
        <v>208</v>
      </c>
      <c r="F8" s="50">
        <f t="shared" ref="F8:I8" si="0">E8*1.07</f>
        <v>222.56</v>
      </c>
      <c r="G8" s="50">
        <f t="shared" si="0"/>
        <v>238.13920000000002</v>
      </c>
      <c r="H8" s="50">
        <f t="shared" si="0"/>
        <v>254.80894400000003</v>
      </c>
      <c r="I8" s="50">
        <f t="shared" si="0"/>
        <v>272.64557008000003</v>
      </c>
    </row>
    <row r="9" spans="1:9">
      <c r="A9" s="7" t="s">
        <v>44</v>
      </c>
      <c r="B9" s="60"/>
      <c r="C9" s="49"/>
      <c r="D9" s="49">
        <v>3470</v>
      </c>
      <c r="E9" s="49">
        <v>3470</v>
      </c>
      <c r="F9" s="49">
        <v>3470</v>
      </c>
      <c r="G9" s="49">
        <v>3470</v>
      </c>
      <c r="H9" s="49">
        <v>3470</v>
      </c>
      <c r="I9" s="49">
        <v>3470</v>
      </c>
    </row>
    <row r="10" spans="1:9">
      <c r="A10" s="8" t="s">
        <v>8</v>
      </c>
      <c r="B10" s="61"/>
      <c r="C10" s="9"/>
      <c r="D10" s="10">
        <f>D8*D9</f>
        <v>694000</v>
      </c>
      <c r="E10" s="10">
        <f t="shared" ref="E10:I10" si="1">E8*E9</f>
        <v>721760</v>
      </c>
      <c r="F10" s="10">
        <f t="shared" si="1"/>
        <v>772283.2</v>
      </c>
      <c r="G10" s="10">
        <f t="shared" si="1"/>
        <v>826343.02400000009</v>
      </c>
      <c r="H10" s="10">
        <f t="shared" si="1"/>
        <v>884187.03568000009</v>
      </c>
      <c r="I10" s="10">
        <f t="shared" si="1"/>
        <v>946080.1281776001</v>
      </c>
    </row>
    <row r="11" spans="1:9">
      <c r="A11" s="11" t="s">
        <v>9</v>
      </c>
      <c r="B11" s="52"/>
      <c r="C11" s="52"/>
      <c r="D11" s="53"/>
      <c r="E11" s="53"/>
      <c r="F11" s="53"/>
      <c r="G11" s="53"/>
      <c r="H11" s="53"/>
      <c r="I11" s="12"/>
    </row>
    <row r="12" spans="1:9">
      <c r="A12" s="7" t="s">
        <v>40</v>
      </c>
      <c r="B12" s="60"/>
      <c r="C12" s="51"/>
      <c r="D12" s="49">
        <v>2100</v>
      </c>
      <c r="E12" s="49"/>
      <c r="F12" s="49"/>
      <c r="G12" s="49"/>
      <c r="H12" s="49"/>
      <c r="I12" s="13"/>
    </row>
    <row r="13" spans="1:9">
      <c r="A13" s="7" t="s">
        <v>45</v>
      </c>
      <c r="B13" s="60"/>
      <c r="C13" s="51"/>
      <c r="D13" s="49">
        <v>6500</v>
      </c>
      <c r="E13" s="49"/>
      <c r="F13" s="49"/>
      <c r="G13" s="49"/>
      <c r="H13" s="49"/>
      <c r="I13" s="13"/>
    </row>
    <row r="14" spans="1:9">
      <c r="A14" s="7" t="s">
        <v>46</v>
      </c>
      <c r="B14" s="60"/>
      <c r="C14" s="51"/>
      <c r="D14" s="49">
        <f>D8*420</f>
        <v>84000</v>
      </c>
      <c r="E14" s="49">
        <f t="shared" ref="E14:I14" si="2">E8*420</f>
        <v>87360</v>
      </c>
      <c r="F14" s="49">
        <f t="shared" si="2"/>
        <v>93475.199999999997</v>
      </c>
      <c r="G14" s="49">
        <f t="shared" si="2"/>
        <v>100018.46400000001</v>
      </c>
      <c r="H14" s="49">
        <f t="shared" si="2"/>
        <v>107019.75648000001</v>
      </c>
      <c r="I14" s="49">
        <f t="shared" si="2"/>
        <v>114511.13943360001</v>
      </c>
    </row>
    <row r="15" spans="1:9">
      <c r="A15" s="7" t="s">
        <v>49</v>
      </c>
      <c r="B15" s="60"/>
      <c r="C15" s="51"/>
      <c r="D15" s="49">
        <f>1.9*D14</f>
        <v>159600</v>
      </c>
      <c r="E15" s="49">
        <f t="shared" ref="E15:I15" si="3">1.9*E14</f>
        <v>165984</v>
      </c>
      <c r="F15" s="49">
        <f t="shared" si="3"/>
        <v>177602.87999999998</v>
      </c>
      <c r="G15" s="49">
        <f t="shared" si="3"/>
        <v>190035.0816</v>
      </c>
      <c r="H15" s="49">
        <f t="shared" si="3"/>
        <v>203337.537312</v>
      </c>
      <c r="I15" s="49">
        <f t="shared" si="3"/>
        <v>217571.16492384</v>
      </c>
    </row>
    <row r="16" spans="1:9">
      <c r="A16" s="7" t="s">
        <v>47</v>
      </c>
      <c r="B16" s="60"/>
      <c r="C16" s="51"/>
      <c r="D16" s="49">
        <f>D15*0.23</f>
        <v>36708</v>
      </c>
      <c r="E16" s="49">
        <f t="shared" ref="E16:I16" si="4">E15*0.23</f>
        <v>38176.32</v>
      </c>
      <c r="F16" s="49">
        <f t="shared" si="4"/>
        <v>40848.662399999994</v>
      </c>
      <c r="G16" s="49">
        <f t="shared" si="4"/>
        <v>43708.068768000005</v>
      </c>
      <c r="H16" s="49">
        <f t="shared" si="4"/>
        <v>46767.633581760005</v>
      </c>
      <c r="I16" s="49">
        <f t="shared" si="4"/>
        <v>50041.367932483205</v>
      </c>
    </row>
    <row r="17" spans="1:9">
      <c r="A17" s="7" t="s">
        <v>48</v>
      </c>
      <c r="B17" s="60"/>
      <c r="C17" s="54"/>
      <c r="D17" s="49">
        <v>4200</v>
      </c>
      <c r="E17" s="49">
        <v>4200</v>
      </c>
      <c r="F17" s="49"/>
      <c r="G17" s="49"/>
      <c r="H17" s="49"/>
      <c r="I17" s="13"/>
    </row>
    <row r="18" spans="1:9">
      <c r="A18" s="7" t="s">
        <v>50</v>
      </c>
      <c r="B18" s="60"/>
      <c r="C18" s="54"/>
      <c r="D18" s="49">
        <v>192500</v>
      </c>
      <c r="E18" s="49">
        <v>192500</v>
      </c>
      <c r="F18" s="49">
        <v>192500</v>
      </c>
      <c r="G18" s="49">
        <v>192500</v>
      </c>
      <c r="H18" s="49">
        <v>192500</v>
      </c>
      <c r="I18" s="49">
        <v>192500</v>
      </c>
    </row>
    <row r="19" spans="1:9">
      <c r="A19" s="8" t="s">
        <v>10</v>
      </c>
      <c r="B19" s="14"/>
      <c r="C19" s="14"/>
      <c r="D19" s="10">
        <f>SUM(D12:D18)</f>
        <v>485608</v>
      </c>
      <c r="E19" s="10">
        <f t="shared" ref="E19:I19" si="5">SUM(E12:E18)</f>
        <v>488220.32</v>
      </c>
      <c r="F19" s="10">
        <f t="shared" si="5"/>
        <v>504426.74239999993</v>
      </c>
      <c r="G19" s="10">
        <f t="shared" si="5"/>
        <v>526261.61436800007</v>
      </c>
      <c r="H19" s="10">
        <f t="shared" si="5"/>
        <v>549624.92737376003</v>
      </c>
      <c r="I19" s="10">
        <f t="shared" si="5"/>
        <v>574623.67228992318</v>
      </c>
    </row>
    <row r="20" spans="1:9">
      <c r="A20" s="15" t="s">
        <v>11</v>
      </c>
      <c r="B20" s="16"/>
      <c r="C20" s="16"/>
      <c r="D20" s="17">
        <f>D10-D19</f>
        <v>208392</v>
      </c>
      <c r="E20" s="17">
        <f t="shared" ref="E20:I20" si="6">E10-E19</f>
        <v>233539.68</v>
      </c>
      <c r="F20" s="17">
        <f t="shared" si="6"/>
        <v>267856.45760000002</v>
      </c>
      <c r="G20" s="17">
        <f t="shared" si="6"/>
        <v>300081.40963200002</v>
      </c>
      <c r="H20" s="17">
        <f t="shared" si="6"/>
        <v>334562.10830624006</v>
      </c>
      <c r="I20" s="17">
        <f t="shared" si="6"/>
        <v>371456.45588767692</v>
      </c>
    </row>
    <row r="21" spans="1:9">
      <c r="A21" s="18" t="s">
        <v>12</v>
      </c>
      <c r="B21" s="19"/>
      <c r="C21" s="19"/>
      <c r="D21" s="19"/>
      <c r="E21" s="19"/>
      <c r="F21" s="19"/>
      <c r="G21" s="19"/>
      <c r="H21" s="19"/>
      <c r="I21" s="20"/>
    </row>
    <row r="22" spans="1:9">
      <c r="A22" s="21" t="s">
        <v>53</v>
      </c>
      <c r="B22" s="60"/>
      <c r="C22" s="49"/>
      <c r="D22" s="49">
        <f>C31*0.2*0.5</f>
        <v>17330</v>
      </c>
      <c r="E22" s="49">
        <f>0.2*$C$31*(1-0.2/2)*(1-0.2)^(2-2)</f>
        <v>31194</v>
      </c>
      <c r="F22" s="49">
        <f>0.2*$C$31*(1-0.2/2)*(1-0.2)^(3-2)</f>
        <v>24955.200000000001</v>
      </c>
      <c r="G22" s="49">
        <f>0.2*$C$31*(1-0.2/2)*(1-0.2)^(4-2)</f>
        <v>19964.160000000003</v>
      </c>
      <c r="H22" s="49">
        <f>0.2*$C$31*(1-0.2/2)*(1-0.2)^(5-2)</f>
        <v>15971.328000000003</v>
      </c>
      <c r="I22" s="13">
        <f>0.2*$C$31*(1-0.2/2)*(1-0.2)^(6-1)</f>
        <v>10221.649920000005</v>
      </c>
    </row>
    <row r="23" spans="1:9">
      <c r="A23" s="21" t="s">
        <v>54</v>
      </c>
      <c r="B23" s="60"/>
      <c r="C23" s="49"/>
      <c r="D23" s="49">
        <f>C30*0.1*0.5</f>
        <v>10521</v>
      </c>
      <c r="E23" s="49">
        <f>0.1*$C$30*(1-0.1/2)*(1-0.1)^(2-2)</f>
        <v>19989.899999999998</v>
      </c>
      <c r="F23" s="49">
        <f>0.1*$C$30*(1-0.1/2)*(1-0.1)^(3-2)</f>
        <v>17990.91</v>
      </c>
      <c r="G23" s="49">
        <f>0.1*$C$30*(1-0.1/2)*(1-0.1)^(4-2)</f>
        <v>16191.819</v>
      </c>
      <c r="H23" s="49">
        <f>0.1*$C$30*(1-0.1/2)*(1-0.1)^(5-2)</f>
        <v>14572.6371</v>
      </c>
      <c r="I23" s="49">
        <f>0.1*$C$30*(1-0.1/2)*(1-0.1)^(6-1)</f>
        <v>11803.836051000002</v>
      </c>
    </row>
    <row r="24" spans="1:9">
      <c r="A24" s="21" t="s">
        <v>51</v>
      </c>
      <c r="B24" s="60"/>
      <c r="C24" s="49"/>
      <c r="D24" s="49">
        <f>0.22*D20</f>
        <v>45846.239999999998</v>
      </c>
      <c r="E24" s="49">
        <f t="shared" ref="E24:I24" si="7">0.22*E20</f>
        <v>51378.729599999999</v>
      </c>
      <c r="F24" s="49">
        <f t="shared" si="7"/>
        <v>58928.420672000007</v>
      </c>
      <c r="G24" s="49">
        <f t="shared" si="7"/>
        <v>66017.910119040011</v>
      </c>
      <c r="H24" s="49">
        <f t="shared" si="7"/>
        <v>73603.663827372817</v>
      </c>
      <c r="I24" s="49">
        <f t="shared" si="7"/>
        <v>81720.420295288917</v>
      </c>
    </row>
    <row r="25" spans="1:9">
      <c r="A25" s="21" t="s">
        <v>55</v>
      </c>
      <c r="B25" s="60"/>
      <c r="C25" s="49"/>
      <c r="D25" s="49">
        <f t="shared" ref="D25:I25" si="8">(D22+D23)*0.22</f>
        <v>6127.22</v>
      </c>
      <c r="E25" s="49">
        <f t="shared" si="8"/>
        <v>11260.457999999999</v>
      </c>
      <c r="F25" s="49">
        <f t="shared" si="8"/>
        <v>9448.1442000000006</v>
      </c>
      <c r="G25" s="49">
        <f t="shared" si="8"/>
        <v>7954.3153800000018</v>
      </c>
      <c r="H25" s="49">
        <f t="shared" si="8"/>
        <v>6719.6723220000003</v>
      </c>
      <c r="I25" s="49">
        <f t="shared" si="8"/>
        <v>4845.6069136200022</v>
      </c>
    </row>
    <row r="26" spans="1:9">
      <c r="A26" s="21" t="s">
        <v>58</v>
      </c>
      <c r="B26" s="60"/>
      <c r="C26" s="49"/>
      <c r="D26" s="49">
        <f>D24-D25</f>
        <v>39719.019999999997</v>
      </c>
      <c r="E26" s="49">
        <f t="shared" ref="E26:I26" si="9">E24-E25</f>
        <v>40118.2716</v>
      </c>
      <c r="F26" s="49">
        <f t="shared" si="9"/>
        <v>49480.276472000005</v>
      </c>
      <c r="G26" s="49">
        <f t="shared" si="9"/>
        <v>58063.594739040011</v>
      </c>
      <c r="H26" s="49">
        <f t="shared" si="9"/>
        <v>66883.991505372818</v>
      </c>
      <c r="I26" s="49">
        <f t="shared" si="9"/>
        <v>76874.813381668908</v>
      </c>
    </row>
    <row r="27" spans="1:9">
      <c r="A27" s="23" t="s">
        <v>13</v>
      </c>
      <c r="B27" s="24"/>
      <c r="C27" s="24"/>
      <c r="D27" s="25">
        <f>D20-D26</f>
        <v>168672.98</v>
      </c>
      <c r="E27" s="25">
        <f t="shared" ref="E27:I27" si="10">E20-E26</f>
        <v>193421.40839999999</v>
      </c>
      <c r="F27" s="25">
        <f t="shared" si="10"/>
        <v>218376.18112800003</v>
      </c>
      <c r="G27" s="25">
        <f t="shared" si="10"/>
        <v>242017.81489296001</v>
      </c>
      <c r="H27" s="25">
        <f t="shared" si="10"/>
        <v>267678.11680086725</v>
      </c>
      <c r="I27" s="25">
        <f t="shared" si="10"/>
        <v>294581.64250600804</v>
      </c>
    </row>
    <row r="28" spans="1:9">
      <c r="A28" s="11" t="s">
        <v>14</v>
      </c>
      <c r="B28" s="52"/>
      <c r="C28" s="56"/>
      <c r="D28" s="53"/>
      <c r="E28" s="53"/>
      <c r="F28" s="53"/>
      <c r="G28" s="53"/>
      <c r="H28" s="53"/>
      <c r="I28" s="12"/>
    </row>
    <row r="29" spans="1:9">
      <c r="A29" s="26" t="s">
        <v>41</v>
      </c>
      <c r="B29" s="62"/>
      <c r="C29" s="101">
        <f>501000-C30</f>
        <v>290580</v>
      </c>
      <c r="D29" s="49"/>
      <c r="E29" s="49"/>
      <c r="F29" s="49"/>
      <c r="G29" s="49"/>
      <c r="H29" s="49"/>
      <c r="I29" s="13"/>
    </row>
    <row r="30" spans="1:9">
      <c r="A30" s="26" t="s">
        <v>42</v>
      </c>
      <c r="B30" s="62"/>
      <c r="C30" s="101">
        <f>501000*0.42</f>
        <v>210420</v>
      </c>
      <c r="D30" s="49"/>
      <c r="E30" s="49"/>
      <c r="F30" s="49"/>
      <c r="G30" s="49"/>
      <c r="H30" s="49"/>
      <c r="I30" s="13"/>
    </row>
    <row r="31" spans="1:9">
      <c r="A31" s="26" t="s">
        <v>39</v>
      </c>
      <c r="B31" s="63"/>
      <c r="C31" s="29">
        <v>173300</v>
      </c>
      <c r="D31" s="29"/>
      <c r="E31" s="29"/>
      <c r="F31" s="29"/>
      <c r="G31" s="29"/>
      <c r="H31" s="29"/>
      <c r="I31" s="30"/>
    </row>
    <row r="32" spans="1:9">
      <c r="A32" s="11" t="s">
        <v>15</v>
      </c>
      <c r="B32" s="52"/>
      <c r="C32" s="52"/>
      <c r="D32" s="53"/>
      <c r="E32" s="53"/>
      <c r="F32" s="53"/>
      <c r="G32" s="53"/>
      <c r="H32" s="53"/>
      <c r="I32" s="12"/>
    </row>
    <row r="33" spans="1:9">
      <c r="A33" s="26" t="s">
        <v>41</v>
      </c>
      <c r="B33" s="60"/>
      <c r="D33" s="49"/>
      <c r="E33" s="49"/>
      <c r="F33" s="49"/>
      <c r="G33" s="49"/>
      <c r="H33" s="55"/>
      <c r="I33" s="58">
        <f>1.8*C29</f>
        <v>523044</v>
      </c>
    </row>
    <row r="34" spans="1:9">
      <c r="A34" s="26" t="s">
        <v>42</v>
      </c>
      <c r="B34" s="60"/>
      <c r="D34" s="49"/>
      <c r="E34" s="49"/>
      <c r="F34" s="49"/>
      <c r="G34" s="49"/>
      <c r="H34" s="55"/>
      <c r="I34" s="58">
        <f>0.9*C30</f>
        <v>189378</v>
      </c>
    </row>
    <row r="35" spans="1:9">
      <c r="A35" s="26" t="s">
        <v>39</v>
      </c>
      <c r="B35" s="62"/>
      <c r="C35" s="55"/>
      <c r="D35" s="29"/>
      <c r="E35" s="29"/>
      <c r="F35" s="29"/>
      <c r="G35" s="29"/>
      <c r="H35" s="31"/>
      <c r="I35" s="58">
        <f>C31-((C31-47000)/14)*6</f>
        <v>119171.42857142858</v>
      </c>
    </row>
    <row r="36" spans="1:9">
      <c r="A36" s="11" t="s">
        <v>16</v>
      </c>
      <c r="B36" s="71"/>
      <c r="C36" s="52"/>
      <c r="D36" s="57"/>
      <c r="E36" s="57"/>
      <c r="F36" s="57"/>
      <c r="G36" s="57"/>
      <c r="H36" s="57"/>
      <c r="I36" s="32"/>
    </row>
    <row r="37" spans="1:9">
      <c r="A37" s="21" t="s">
        <v>56</v>
      </c>
      <c r="B37" s="69"/>
      <c r="C37" s="55"/>
      <c r="D37" s="55"/>
      <c r="E37" s="55"/>
      <c r="F37" s="55"/>
      <c r="G37" s="55"/>
      <c r="H37" s="55"/>
      <c r="I37" s="13">
        <f>(I22-MIN(C31,I35))*0.22</f>
        <v>-23968.951303314287</v>
      </c>
    </row>
    <row r="38" spans="1:9">
      <c r="A38" s="21" t="s">
        <v>57</v>
      </c>
      <c r="B38" s="69"/>
      <c r="C38" s="55"/>
      <c r="D38" s="55"/>
      <c r="E38" s="55"/>
      <c r="F38" s="55"/>
      <c r="G38" s="55"/>
      <c r="H38" s="55"/>
      <c r="I38" s="13">
        <f>(I23-MIN(C30,I34))*(0.22*0.1/(0.047+0.1))</f>
        <v>-26575.725216857143</v>
      </c>
    </row>
    <row r="39" spans="1:9">
      <c r="A39" s="26" t="s">
        <v>52</v>
      </c>
      <c r="B39" s="70"/>
      <c r="C39" s="28"/>
      <c r="D39" s="16"/>
      <c r="E39" s="16"/>
      <c r="F39" s="16"/>
      <c r="G39" s="16"/>
      <c r="H39" s="16"/>
      <c r="I39" s="30">
        <f>I37+I38</f>
        <v>-50544.67652017143</v>
      </c>
    </row>
    <row r="40" spans="1:9">
      <c r="A40" s="33" t="s">
        <v>17</v>
      </c>
      <c r="B40" s="64"/>
      <c r="C40" s="58">
        <f>-C29-C30-C31</f>
        <v>-674300</v>
      </c>
      <c r="D40" s="58">
        <f>D27</f>
        <v>168672.98</v>
      </c>
      <c r="E40" s="58">
        <f t="shared" ref="E40:H40" si="11">E27</f>
        <v>193421.40839999999</v>
      </c>
      <c r="F40" s="58">
        <f t="shared" si="11"/>
        <v>218376.18112800003</v>
      </c>
      <c r="G40" s="58">
        <f t="shared" si="11"/>
        <v>242017.81489296001</v>
      </c>
      <c r="H40" s="58">
        <f t="shared" si="11"/>
        <v>267678.11680086725</v>
      </c>
      <c r="I40" s="59">
        <f>I27-I39+I33+I34+I35</f>
        <v>1176719.7475976082</v>
      </c>
    </row>
    <row r="41" spans="1:9">
      <c r="A41" s="34" t="s">
        <v>18</v>
      </c>
      <c r="B41" s="100">
        <v>7.0000000000000007E-2</v>
      </c>
      <c r="C41" s="60"/>
      <c r="D41" s="60"/>
      <c r="E41" s="60"/>
      <c r="F41" s="60"/>
      <c r="G41" s="60"/>
      <c r="H41" s="60"/>
      <c r="I41" s="72"/>
    </row>
    <row r="42" spans="1:9" ht="16" thickBot="1">
      <c r="A42" s="35" t="s">
        <v>19</v>
      </c>
      <c r="B42" s="65"/>
      <c r="C42" s="36">
        <f>PV($B$41,0,,-C40)</f>
        <v>-674300</v>
      </c>
      <c r="D42" s="36">
        <f>PV($B$41,1,,-D40)</f>
        <v>157638.29906542055</v>
      </c>
      <c r="E42" s="36">
        <f>PV($B$41,2,,-E40)</f>
        <v>168941.74897370947</v>
      </c>
      <c r="F42" s="36">
        <f>PV($B$41,3,,-F40)</f>
        <v>178260.01301831854</v>
      </c>
      <c r="G42" s="36">
        <f>PV($B$41,4,,-G40)</f>
        <v>184634.23221204343</v>
      </c>
      <c r="H42" s="36">
        <f>PV($B$41,5,,-H40)</f>
        <v>190850.79782923349</v>
      </c>
      <c r="I42" s="36">
        <f>PV($B$41,6,,-I40)</f>
        <v>784098.05342299561</v>
      </c>
    </row>
    <row r="43" spans="1:9">
      <c r="A43" s="79" t="s">
        <v>20</v>
      </c>
      <c r="B43" s="119">
        <f>NPV(,C42:I42)</f>
        <v>990123.14452172106</v>
      </c>
      <c r="C43" s="120"/>
      <c r="D43" s="1"/>
      <c r="E43" s="101"/>
      <c r="F43" s="1"/>
      <c r="G43" s="1"/>
      <c r="H43" s="1"/>
      <c r="I43" s="1"/>
    </row>
    <row r="44" spans="1:9" ht="16" thickBot="1">
      <c r="A44" s="80" t="s">
        <v>21</v>
      </c>
      <c r="B44" s="121" t="s">
        <v>59</v>
      </c>
      <c r="C44" s="122"/>
      <c r="D44" s="1"/>
      <c r="E44" s="1"/>
      <c r="F44" s="1"/>
      <c r="G44" s="1"/>
      <c r="H44" s="1"/>
      <c r="I44" s="1"/>
    </row>
    <row r="45" spans="1:9">
      <c r="A45" s="1"/>
      <c r="B45" s="1"/>
      <c r="C45" s="2"/>
      <c r="D45" s="1"/>
      <c r="E45" s="1"/>
      <c r="F45" s="1"/>
      <c r="G45" s="1"/>
      <c r="H45" s="1"/>
      <c r="I45" s="1"/>
    </row>
    <row r="46" spans="1:9" ht="16" thickBot="1">
      <c r="A46" s="3" t="s">
        <v>22</v>
      </c>
      <c r="B46" s="1"/>
      <c r="C46" s="1"/>
      <c r="D46" s="2"/>
      <c r="E46" s="1"/>
      <c r="F46" s="1"/>
      <c r="G46" s="1"/>
      <c r="H46" s="1"/>
      <c r="I46" s="1"/>
    </row>
    <row r="47" spans="1:9">
      <c r="A47" s="112" t="s">
        <v>23</v>
      </c>
      <c r="B47" s="113"/>
      <c r="C47" s="113"/>
      <c r="D47" s="113"/>
      <c r="E47" s="113"/>
      <c r="F47" s="113"/>
      <c r="G47" s="113"/>
      <c r="H47" s="113"/>
      <c r="I47" s="114"/>
    </row>
    <row r="48" spans="1:9">
      <c r="A48" s="7" t="s">
        <v>60</v>
      </c>
      <c r="B48" s="60"/>
      <c r="C48" s="49"/>
      <c r="D48" s="49">
        <v>2075224</v>
      </c>
      <c r="E48" s="49">
        <v>2179975.6799999997</v>
      </c>
      <c r="F48" s="49">
        <v>2301030.9776000003</v>
      </c>
      <c r="G48" s="49">
        <v>2438478.1460320004</v>
      </c>
      <c r="H48" s="49">
        <v>2585546.6162542403</v>
      </c>
      <c r="I48" s="13">
        <v>2742909.8793920372</v>
      </c>
    </row>
    <row r="49" spans="1:9">
      <c r="A49" s="7" t="s">
        <v>61</v>
      </c>
      <c r="B49" s="60"/>
      <c r="C49" s="49"/>
      <c r="D49" s="49">
        <f>-D25</f>
        <v>-6127.22</v>
      </c>
      <c r="E49" s="49">
        <f t="shared" ref="E49:I49" si="12">-E25</f>
        <v>-11260.457999999999</v>
      </c>
      <c r="F49" s="49">
        <f t="shared" si="12"/>
        <v>-9448.1442000000006</v>
      </c>
      <c r="G49" s="49">
        <f t="shared" si="12"/>
        <v>-7954.3153800000018</v>
      </c>
      <c r="H49" s="49">
        <f t="shared" si="12"/>
        <v>-6719.6723220000003</v>
      </c>
      <c r="I49" s="49">
        <f t="shared" si="12"/>
        <v>-4845.6069136200022</v>
      </c>
    </row>
    <row r="50" spans="1:9">
      <c r="A50" s="7" t="s">
        <v>62</v>
      </c>
      <c r="B50" s="60"/>
      <c r="C50" s="49"/>
      <c r="D50" s="49"/>
      <c r="E50" s="49"/>
      <c r="F50" s="49"/>
      <c r="G50" s="49"/>
      <c r="H50" s="49"/>
      <c r="I50" s="13">
        <f>-I39</f>
        <v>50544.67652017143</v>
      </c>
    </row>
    <row r="51" spans="1:9">
      <c r="A51" s="7"/>
      <c r="B51" s="60"/>
      <c r="C51" s="49"/>
      <c r="D51" s="49"/>
      <c r="E51" s="49"/>
      <c r="F51" s="49"/>
      <c r="G51" s="49"/>
      <c r="H51" s="49"/>
      <c r="I51" s="13"/>
    </row>
    <row r="52" spans="1:9">
      <c r="A52" s="7"/>
      <c r="B52" s="60"/>
      <c r="C52" s="49"/>
      <c r="D52" s="49"/>
      <c r="E52" s="49"/>
      <c r="F52" s="49"/>
      <c r="G52" s="49"/>
      <c r="H52" s="49"/>
      <c r="I52" s="13"/>
    </row>
    <row r="53" spans="1:9">
      <c r="A53" s="7"/>
      <c r="B53" s="60"/>
      <c r="C53" s="49"/>
      <c r="D53" s="49"/>
      <c r="E53" s="49"/>
      <c r="F53" s="49"/>
      <c r="G53" s="49"/>
      <c r="H53" s="49"/>
      <c r="I53" s="13"/>
    </row>
    <row r="54" spans="1:9">
      <c r="A54" s="7"/>
      <c r="B54" s="60"/>
      <c r="C54" s="49"/>
      <c r="D54" s="49"/>
      <c r="E54" s="49"/>
      <c r="F54" s="49"/>
      <c r="G54" s="49"/>
      <c r="H54" s="49"/>
      <c r="I54" s="13"/>
    </row>
    <row r="55" spans="1:9">
      <c r="A55" s="26"/>
      <c r="B55" s="60"/>
      <c r="C55" s="49"/>
      <c r="D55" s="49"/>
      <c r="E55" s="49"/>
      <c r="F55" s="49"/>
      <c r="G55" s="49"/>
      <c r="H55" s="49"/>
      <c r="I55" s="13"/>
    </row>
    <row r="56" spans="1:9">
      <c r="A56" s="26"/>
      <c r="B56" s="60"/>
      <c r="C56" s="49"/>
      <c r="D56" s="49"/>
      <c r="E56" s="49"/>
      <c r="F56" s="49"/>
      <c r="G56" s="49"/>
      <c r="H56" s="49"/>
      <c r="I56" s="13"/>
    </row>
    <row r="57" spans="1:9">
      <c r="A57" s="27"/>
      <c r="B57" s="74"/>
      <c r="C57" s="29"/>
      <c r="D57" s="29"/>
      <c r="E57" s="29"/>
      <c r="F57" s="29"/>
      <c r="G57" s="29"/>
      <c r="H57" s="29"/>
      <c r="I57" s="30"/>
    </row>
    <row r="58" spans="1:9">
      <c r="A58" s="34" t="s">
        <v>17</v>
      </c>
      <c r="B58" s="60"/>
      <c r="C58" s="49">
        <f>SUM(C48:C57)</f>
        <v>0</v>
      </c>
      <c r="D58" s="49">
        <f t="shared" ref="D58:I58" si="13">SUM(D48:D57)</f>
        <v>2069096.78</v>
      </c>
      <c r="E58" s="49">
        <f t="shared" si="13"/>
        <v>2168715.2219999996</v>
      </c>
      <c r="F58" s="49">
        <f t="shared" si="13"/>
        <v>2291582.8334000004</v>
      </c>
      <c r="G58" s="49">
        <f t="shared" si="13"/>
        <v>2430523.8306520004</v>
      </c>
      <c r="H58" s="49">
        <f t="shared" si="13"/>
        <v>2578826.9439322404</v>
      </c>
      <c r="I58" s="49">
        <f t="shared" si="13"/>
        <v>2788608.9489985886</v>
      </c>
    </row>
    <row r="59" spans="1:9">
      <c r="A59" s="34" t="s">
        <v>18</v>
      </c>
      <c r="B59" s="100">
        <v>4.7E-2</v>
      </c>
      <c r="C59" s="60"/>
      <c r="D59" s="60"/>
      <c r="E59" s="60"/>
      <c r="F59" s="60"/>
      <c r="G59" s="60"/>
      <c r="H59" s="60"/>
      <c r="I59" s="72"/>
    </row>
    <row r="60" spans="1:9" ht="16" thickBot="1">
      <c r="A60" s="35" t="s">
        <v>19</v>
      </c>
      <c r="B60" s="73"/>
      <c r="C60" s="36">
        <f>PV($B$59,0,,-C58)</f>
        <v>0</v>
      </c>
      <c r="D60" s="36">
        <f>PV($B$59,1,,-D58)</f>
        <v>1976214.689589303</v>
      </c>
      <c r="E60" s="36">
        <f>PV($B$59,2,,-E58)</f>
        <v>1978377.501005739</v>
      </c>
      <c r="F60" s="36">
        <f>PV($B$59,3,,-F58)</f>
        <v>1996620.4509609141</v>
      </c>
      <c r="G60" s="36">
        <f>PV($B$59,4,,-G58)</f>
        <v>2022614.6886821957</v>
      </c>
      <c r="H60" s="36">
        <f>PV($B$59,5,,-H58)</f>
        <v>2049692.8716150087</v>
      </c>
      <c r="I60" s="36">
        <f>PV($B$59,6,,-I58)</f>
        <v>2116935.016352782</v>
      </c>
    </row>
    <row r="61" spans="1:9" ht="16" thickBot="1">
      <c r="A61" s="34" t="s">
        <v>24</v>
      </c>
      <c r="B61" s="123">
        <f>SUM(C60:I60)</f>
        <v>12140455.218205942</v>
      </c>
      <c r="C61" s="124"/>
      <c r="D61" s="37"/>
      <c r="E61" s="37"/>
      <c r="F61" s="37"/>
      <c r="G61" s="37"/>
      <c r="H61" s="37"/>
      <c r="I61" s="38"/>
    </row>
    <row r="62" spans="1:9" ht="16" thickBot="1">
      <c r="A62" s="35" t="s">
        <v>25</v>
      </c>
      <c r="B62" s="125">
        <f>PMT(B59,6,-1)</f>
        <v>0.19513131927965954</v>
      </c>
      <c r="C62" s="126"/>
      <c r="D62" s="37"/>
      <c r="E62" s="37"/>
      <c r="F62" s="37"/>
      <c r="G62" s="37"/>
      <c r="H62" s="37"/>
      <c r="I62" s="38"/>
    </row>
    <row r="63" spans="1:9" ht="16" thickBot="1">
      <c r="A63" s="39" t="s">
        <v>26</v>
      </c>
      <c r="B63" s="127">
        <f>PMT(B59,6,-B61)</f>
        <v>2368983.0433841525</v>
      </c>
      <c r="C63" s="128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2"/>
      <c r="E64" s="1"/>
      <c r="F64" s="1"/>
      <c r="G64" s="1"/>
      <c r="H64" s="1"/>
      <c r="I64" s="1"/>
    </row>
    <row r="65" spans="1:9" ht="16" thickBot="1">
      <c r="A65" s="3" t="s">
        <v>27</v>
      </c>
      <c r="B65" s="1"/>
      <c r="C65" s="2"/>
      <c r="D65" s="1"/>
      <c r="E65" s="1"/>
      <c r="F65" s="1"/>
      <c r="G65" s="1"/>
      <c r="H65" s="1"/>
      <c r="I65" s="1"/>
    </row>
    <row r="66" spans="1:9" ht="16" thickBot="1">
      <c r="A66" s="112" t="s">
        <v>28</v>
      </c>
      <c r="B66" s="113"/>
      <c r="C66" s="113"/>
      <c r="D66" s="113"/>
      <c r="E66" s="113"/>
      <c r="F66" s="113"/>
      <c r="G66" s="113"/>
      <c r="H66" s="114"/>
      <c r="I66" s="3"/>
    </row>
    <row r="67" spans="1:9">
      <c r="A67" s="82"/>
      <c r="B67" s="83"/>
      <c r="C67" s="83"/>
      <c r="D67" s="84"/>
      <c r="E67" s="84"/>
      <c r="F67" s="84"/>
      <c r="G67" s="84"/>
      <c r="H67" s="85"/>
      <c r="I67" s="40"/>
    </row>
    <row r="68" spans="1:9">
      <c r="A68" s="86"/>
      <c r="B68" s="87" t="s">
        <v>64</v>
      </c>
      <c r="C68" s="102">
        <v>1670225.9170438885</v>
      </c>
      <c r="D68" s="87"/>
      <c r="E68" s="87"/>
      <c r="F68" s="87"/>
      <c r="G68" s="87"/>
      <c r="H68" s="88"/>
      <c r="I68" s="41"/>
    </row>
    <row r="69" spans="1:9">
      <c r="A69" s="86"/>
      <c r="B69" s="87"/>
      <c r="C69" s="89"/>
      <c r="D69" s="89"/>
      <c r="E69" s="89"/>
      <c r="F69" s="89"/>
      <c r="G69" s="89"/>
      <c r="H69" s="90"/>
      <c r="I69" s="37"/>
    </row>
    <row r="70" spans="1:9">
      <c r="A70" s="86"/>
      <c r="B70" s="87" t="s">
        <v>65</v>
      </c>
      <c r="C70" s="89"/>
      <c r="D70" s="91"/>
      <c r="E70" s="91"/>
      <c r="F70" s="91"/>
      <c r="G70" s="91"/>
      <c r="H70" s="92"/>
      <c r="I70" s="1"/>
    </row>
    <row r="71" spans="1:9" ht="16" thickBot="1">
      <c r="A71" s="93"/>
      <c r="B71" s="115"/>
      <c r="C71" s="115"/>
      <c r="D71" s="94"/>
      <c r="E71" s="95"/>
      <c r="F71" s="95"/>
      <c r="G71" s="95"/>
      <c r="H71" s="96"/>
      <c r="I71" s="1"/>
    </row>
    <row r="72" spans="1:9" ht="16" thickBot="1">
      <c r="A72" s="35" t="s">
        <v>29</v>
      </c>
      <c r="B72" s="116">
        <f>PMT(B59,6,-C68)</f>
        <v>325913.38668785314</v>
      </c>
      <c r="C72" s="117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2"/>
      <c r="E73" s="1"/>
      <c r="F73" s="1"/>
      <c r="G73" s="1"/>
      <c r="H73" s="1"/>
      <c r="I73" s="1"/>
    </row>
    <row r="74" spans="1:9" ht="16" thickBot="1">
      <c r="A74" s="3" t="s">
        <v>30</v>
      </c>
      <c r="B74" s="22"/>
      <c r="C74" s="42"/>
      <c r="D74" s="1"/>
      <c r="E74" s="1"/>
      <c r="F74" s="1"/>
      <c r="G74" s="1"/>
      <c r="H74" s="1"/>
      <c r="I74" s="3"/>
    </row>
    <row r="75" spans="1:9">
      <c r="A75" s="43" t="s">
        <v>31</v>
      </c>
      <c r="B75" s="44"/>
      <c r="C75" s="99"/>
      <c r="D75" s="44"/>
      <c r="E75" s="45"/>
      <c r="F75" s="1"/>
      <c r="G75" s="1"/>
      <c r="H75" s="1"/>
      <c r="I75" s="1"/>
    </row>
    <row r="76" spans="1:9">
      <c r="A76" s="46" t="s">
        <v>32</v>
      </c>
      <c r="B76" s="81">
        <v>-0.1</v>
      </c>
      <c r="C76" s="81"/>
      <c r="D76" s="81">
        <v>0.1</v>
      </c>
      <c r="E76" s="47"/>
      <c r="F76" s="1"/>
      <c r="G76" s="1"/>
      <c r="H76" s="1"/>
      <c r="I76" s="1"/>
    </row>
    <row r="77" spans="1:9">
      <c r="A77" s="66" t="s">
        <v>47</v>
      </c>
      <c r="B77" s="68"/>
      <c r="C77" s="68">
        <f>SUM(D16:I16)</f>
        <v>256250.05268224323</v>
      </c>
      <c r="D77" s="68"/>
      <c r="E77" s="67"/>
      <c r="F77" s="1"/>
      <c r="G77" s="1"/>
      <c r="H77" s="1"/>
      <c r="I77" s="1"/>
    </row>
    <row r="78" spans="1:9">
      <c r="A78" s="66" t="s">
        <v>63</v>
      </c>
      <c r="B78" s="68">
        <v>2360798.8968371237</v>
      </c>
      <c r="C78" s="68">
        <v>1670225.9170438885</v>
      </c>
      <c r="D78" s="68">
        <v>1475355.7280091164</v>
      </c>
      <c r="E78" s="67"/>
      <c r="F78" s="1"/>
      <c r="G78" s="1"/>
      <c r="H78" s="1"/>
      <c r="I78" s="1"/>
    </row>
    <row r="79" spans="1:9">
      <c r="A79" s="66"/>
      <c r="B79" s="68"/>
      <c r="C79" s="68"/>
      <c r="D79" s="68"/>
      <c r="E79" s="67"/>
      <c r="F79" s="1"/>
      <c r="G79" s="1"/>
      <c r="H79" s="1"/>
      <c r="I79" s="1"/>
    </row>
    <row r="80" spans="1:9" ht="12.75" customHeight="1">
      <c r="A80" s="106" t="s">
        <v>66</v>
      </c>
      <c r="B80" s="107"/>
      <c r="C80" s="107"/>
      <c r="D80" s="107"/>
      <c r="E80" s="108"/>
      <c r="F80" s="1"/>
      <c r="G80" s="1"/>
      <c r="H80" s="1"/>
      <c r="I80" s="1"/>
    </row>
    <row r="81" spans="1:9">
      <c r="A81" s="106"/>
      <c r="B81" s="107"/>
      <c r="C81" s="107"/>
      <c r="D81" s="107"/>
      <c r="E81" s="108"/>
      <c r="F81" s="1"/>
      <c r="G81" s="1"/>
      <c r="H81" s="1"/>
      <c r="I81" s="1"/>
    </row>
    <row r="82" spans="1:9" ht="15.75" customHeight="1">
      <c r="A82" s="106"/>
      <c r="B82" s="107"/>
      <c r="C82" s="107"/>
      <c r="D82" s="107"/>
      <c r="E82" s="108"/>
      <c r="F82" s="1"/>
      <c r="G82" s="1"/>
      <c r="H82" s="1"/>
      <c r="I82" s="1"/>
    </row>
    <row r="83" spans="1:9" ht="15.75" customHeight="1">
      <c r="A83" s="106"/>
      <c r="B83" s="107"/>
      <c r="C83" s="107"/>
      <c r="D83" s="107"/>
      <c r="E83" s="108"/>
      <c r="F83" s="1"/>
      <c r="G83" s="1"/>
      <c r="H83" s="1"/>
      <c r="I83" s="1"/>
    </row>
    <row r="84" spans="1:9" ht="15.75" customHeight="1">
      <c r="A84" s="106"/>
      <c r="B84" s="107"/>
      <c r="C84" s="107"/>
      <c r="D84" s="107"/>
      <c r="E84" s="108"/>
      <c r="F84" s="1"/>
      <c r="G84" s="1"/>
      <c r="H84" s="1"/>
      <c r="I84" s="1"/>
    </row>
    <row r="85" spans="1:9" ht="15.75" customHeight="1">
      <c r="A85" s="106"/>
      <c r="B85" s="107"/>
      <c r="C85" s="107"/>
      <c r="D85" s="107"/>
      <c r="E85" s="108"/>
      <c r="F85" s="1"/>
      <c r="G85" s="1"/>
      <c r="H85" s="1"/>
      <c r="I85" s="1"/>
    </row>
    <row r="86" spans="1:9" ht="15.75" customHeight="1">
      <c r="A86" s="106"/>
      <c r="B86" s="107"/>
      <c r="C86" s="107"/>
      <c r="D86" s="107"/>
      <c r="E86" s="108"/>
      <c r="F86" s="48"/>
      <c r="G86" s="48"/>
      <c r="H86" s="48"/>
      <c r="I86" s="1"/>
    </row>
    <row r="87" spans="1:9" ht="15.75" customHeight="1">
      <c r="A87" s="106"/>
      <c r="B87" s="107"/>
      <c r="C87" s="107"/>
      <c r="D87" s="107"/>
      <c r="E87" s="108"/>
      <c r="F87" s="1"/>
      <c r="G87" s="1"/>
      <c r="H87" s="1"/>
      <c r="I87" s="1"/>
    </row>
    <row r="88" spans="1:9" ht="15.75" customHeight="1">
      <c r="A88" s="106"/>
      <c r="B88" s="107"/>
      <c r="C88" s="107"/>
      <c r="D88" s="107"/>
      <c r="E88" s="108"/>
      <c r="F88" s="1"/>
      <c r="G88" s="1"/>
      <c r="H88" s="1"/>
      <c r="I88" s="1"/>
    </row>
    <row r="89" spans="1:9" ht="15.75" customHeight="1">
      <c r="A89" s="106"/>
      <c r="B89" s="107"/>
      <c r="C89" s="107"/>
      <c r="D89" s="107"/>
      <c r="E89" s="108"/>
      <c r="F89" s="1"/>
      <c r="G89" s="1"/>
      <c r="H89" s="1"/>
      <c r="I89" s="1"/>
    </row>
    <row r="90" spans="1:9" ht="15.75" customHeight="1">
      <c r="A90" s="106"/>
      <c r="B90" s="107"/>
      <c r="C90" s="107"/>
      <c r="D90" s="107"/>
      <c r="E90" s="108"/>
      <c r="F90" s="1"/>
      <c r="G90" s="1"/>
      <c r="H90" s="1"/>
      <c r="I90" s="1"/>
    </row>
    <row r="91" spans="1:9" ht="15.75" customHeight="1">
      <c r="A91" s="106"/>
      <c r="B91" s="107"/>
      <c r="C91" s="107"/>
      <c r="D91" s="107"/>
      <c r="E91" s="108"/>
      <c r="F91" s="1"/>
      <c r="G91" s="1"/>
      <c r="H91" s="1"/>
      <c r="I91" s="1"/>
    </row>
    <row r="92" spans="1:9" ht="15.75" customHeight="1">
      <c r="A92" s="106"/>
      <c r="B92" s="107"/>
      <c r="C92" s="107"/>
      <c r="D92" s="107"/>
      <c r="E92" s="108"/>
      <c r="F92" s="1"/>
      <c r="G92" s="1"/>
      <c r="H92" s="1"/>
      <c r="I92" s="1"/>
    </row>
    <row r="93" spans="1:9" ht="16.5" customHeight="1" thickBot="1">
      <c r="A93" s="109"/>
      <c r="B93" s="110"/>
      <c r="C93" s="110"/>
      <c r="D93" s="110"/>
      <c r="E93" s="111"/>
      <c r="F93" s="1"/>
      <c r="G93" s="1"/>
      <c r="H93" s="1"/>
      <c r="I93" s="1"/>
    </row>
    <row r="97" spans="1:7">
      <c r="B97" s="105"/>
      <c r="C97" s="105"/>
      <c r="D97" s="105"/>
      <c r="E97" s="105"/>
      <c r="F97" s="105"/>
      <c r="G97" s="105"/>
    </row>
    <row r="98" spans="1:7">
      <c r="A98" s="103"/>
      <c r="B98" s="104"/>
      <c r="C98" s="104"/>
      <c r="D98" s="104"/>
      <c r="E98" s="104"/>
      <c r="F98" s="104"/>
      <c r="G98" s="104"/>
    </row>
    <row r="99" spans="1:7">
      <c r="A99" s="103"/>
      <c r="B99" s="104"/>
      <c r="C99" s="104"/>
      <c r="D99" s="104"/>
      <c r="E99" s="104"/>
      <c r="F99" s="104"/>
      <c r="G99" s="104"/>
    </row>
  </sheetData>
  <mergeCells count="12">
    <mergeCell ref="A80:E93"/>
    <mergeCell ref="A66:H66"/>
    <mergeCell ref="B71:C71"/>
    <mergeCell ref="B72:C72"/>
    <mergeCell ref="A4:I4"/>
    <mergeCell ref="B43:C43"/>
    <mergeCell ref="B44:C44"/>
    <mergeCell ref="A47:I47"/>
    <mergeCell ref="B61:C61"/>
    <mergeCell ref="B62:C62"/>
    <mergeCell ref="B63:C63"/>
    <mergeCell ref="H5:I5"/>
  </mergeCells>
  <pageMargins left="0.7" right="0.7" top="0.75" bottom="0.75" header="0.3" footer="0.3"/>
  <pageSetup scale="70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83C3-D692-0245-85BE-FA2E60025793}">
  <dimension ref="A1"/>
  <sheetViews>
    <sheetView workbookViewId="0">
      <selection activeCell="C28" sqref="C28"/>
    </sheetView>
  </sheetViews>
  <sheetFormatPr defaultColWidth="11"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TP5</vt:lpstr>
      <vt:lpstr>Calculs perso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joliann morissette</dc:creator>
  <cp:keywords/>
  <dc:description/>
  <cp:lastModifiedBy>Nadia</cp:lastModifiedBy>
  <cp:revision/>
  <dcterms:created xsi:type="dcterms:W3CDTF">2022-03-16T18:12:40Z</dcterms:created>
  <dcterms:modified xsi:type="dcterms:W3CDTF">2022-06-16T02:39:21Z</dcterms:modified>
  <cp:category/>
  <cp:contentStatus/>
</cp:coreProperties>
</file>