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Y:\profiles\Desktop\"/>
    </mc:Choice>
  </mc:AlternateContent>
  <xr:revisionPtr revIDLastSave="0" documentId="8_{D6AD7619-C1A3-4DBB-ADFA-0C79DBCADD78}" xr6:coauthVersionLast="36" xr6:coauthVersionMax="36" xr10:uidLastSave="{00000000-0000-0000-0000-000000000000}"/>
  <bookViews>
    <workbookView xWindow="0" yWindow="0" windowWidth="21570" windowHeight="7980" tabRatio="692" xr2:uid="{00000000-000D-0000-FFFF-FFFF00000000}"/>
  </bookViews>
  <sheets>
    <sheet name="Lab" sheetId="53" r:id="rId1"/>
    <sheet name="Calcul perso" sheetId="51" r:id="rId2"/>
  </sheets>
  <externalReferences>
    <externalReference r:id="rId3"/>
  </externalReferences>
  <definedNames>
    <definedName name="_xlnm.Print_Area" localSheetId="0">Lab!$A$1:$I$80</definedName>
  </definedNames>
  <calcPr calcId="191028" iterate="1" iterateCount="1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9" i="53" l="1"/>
  <c r="B57" i="53"/>
  <c r="G51" i="53"/>
  <c r="I51" i="53" s="1"/>
  <c r="G50" i="53"/>
  <c r="E50" i="53"/>
  <c r="G49" i="53"/>
  <c r="I49" i="53" s="1"/>
  <c r="E42" i="53"/>
  <c r="E41" i="53"/>
  <c r="H39" i="53"/>
  <c r="I39" i="53"/>
  <c r="I37" i="53"/>
  <c r="H37" i="53"/>
  <c r="D39" i="53"/>
  <c r="C39" i="53"/>
  <c r="B39" i="53"/>
  <c r="D37" i="53"/>
  <c r="C37" i="53"/>
  <c r="H32" i="53"/>
  <c r="G32" i="53"/>
  <c r="H26" i="53"/>
  <c r="G26" i="53"/>
  <c r="E31" i="53"/>
  <c r="D31" i="53"/>
  <c r="D26" i="53"/>
  <c r="E26" i="53"/>
  <c r="B24" i="53"/>
  <c r="E29" i="53"/>
  <c r="E24" i="53"/>
  <c r="D24" i="53"/>
  <c r="I50" i="53" l="1"/>
  <c r="H54" i="53" s="1"/>
  <c r="A4" i="53"/>
  <c r="B4" i="53"/>
  <c r="C6" i="53"/>
  <c r="C7" i="53"/>
  <c r="D7" i="53"/>
  <c r="H7" i="53"/>
  <c r="A8" i="53"/>
  <c r="B8" i="53"/>
  <c r="C8" i="53"/>
  <c r="D8" i="53"/>
  <c r="G8" i="53"/>
  <c r="A9" i="53"/>
  <c r="B9" i="53"/>
  <c r="C9" i="53"/>
  <c r="D9" i="53"/>
  <c r="F9" i="53"/>
  <c r="A10" i="53"/>
  <c r="B10" i="53"/>
  <c r="C10" i="53"/>
  <c r="D10" i="53"/>
  <c r="F10" i="53"/>
  <c r="G10" i="53"/>
  <c r="A11" i="53"/>
  <c r="B11" i="53"/>
  <c r="C11" i="53"/>
  <c r="D11" i="53"/>
  <c r="F11" i="53"/>
  <c r="H11" i="53"/>
  <c r="I11" i="53"/>
  <c r="A12" i="53"/>
  <c r="B12" i="53"/>
  <c r="C12" i="53"/>
  <c r="D12" i="53"/>
  <c r="F12" i="53"/>
  <c r="A14" i="53"/>
  <c r="I12" i="53"/>
  <c r="A13" i="53"/>
  <c r="B13" i="53"/>
  <c r="C13" i="53"/>
  <c r="D13" i="53"/>
  <c r="B14" i="53"/>
  <c r="C14" i="53"/>
  <c r="D14" i="53"/>
  <c r="D15" i="53"/>
  <c r="I16" i="53"/>
  <c r="C17" i="53"/>
  <c r="I17" i="53"/>
  <c r="B18" i="53"/>
  <c r="C18" i="53"/>
  <c r="A19" i="53"/>
  <c r="B19" i="53"/>
  <c r="C19" i="53"/>
  <c r="D19" i="53"/>
</calcChain>
</file>

<file path=xl/sharedStrings.xml><?xml version="1.0" encoding="utf-8"?>
<sst xmlns="http://schemas.openxmlformats.org/spreadsheetml/2006/main" count="127" uniqueCount="83">
  <si>
    <t xml:space="preserve">Nom : </t>
  </si>
  <si>
    <t xml:space="preserve">Prénom : </t>
  </si>
  <si>
    <t xml:space="preserve">Matricule : </t>
  </si>
  <si>
    <t xml:space="preserve">Groupe : </t>
  </si>
  <si>
    <t>Partie 1</t>
  </si>
  <si>
    <t>Q1</t>
  </si>
  <si>
    <t>TRAM</t>
  </si>
  <si>
    <t>Années</t>
  </si>
  <si>
    <t>Montants</t>
  </si>
  <si>
    <t>Q2</t>
  </si>
  <si>
    <t>(P/G;i;n)</t>
  </si>
  <si>
    <t>(P/F;i;n)</t>
  </si>
  <si>
    <t>Réponse</t>
  </si>
  <si>
    <t>XX</t>
  </si>
  <si>
    <t>Chaque X ou R vaut pour moins 0,5</t>
  </si>
  <si>
    <t>Max de points perdus</t>
  </si>
  <si>
    <t>Q3</t>
  </si>
  <si>
    <t xml:space="preserve">Note minimum = </t>
  </si>
  <si>
    <t>Annuités</t>
  </si>
  <si>
    <t>R</t>
  </si>
  <si>
    <t>Taux</t>
  </si>
  <si>
    <t>1er taux</t>
  </si>
  <si>
    <t>2e taux</t>
  </si>
  <si>
    <t>Calcul</t>
  </si>
  <si>
    <t>v</t>
  </si>
  <si>
    <t>Taux annuel</t>
  </si>
  <si>
    <t>r</t>
  </si>
  <si>
    <r>
      <t xml:space="preserve">Dans les cases </t>
    </r>
    <r>
      <rPr>
        <b/>
        <sz val="12"/>
        <color theme="1"/>
        <rFont val="Calibri"/>
        <family val="2"/>
        <scheme val="minor"/>
      </rPr>
      <t>Calcul,</t>
    </r>
    <r>
      <rPr>
        <sz val="12"/>
        <color theme="1"/>
        <rFont val="Calibri"/>
        <family val="2"/>
        <scheme val="minor"/>
      </rPr>
      <t xml:space="preserve"> écrire la formule (ex. 2/3-1)</t>
    </r>
  </si>
  <si>
    <t>m</t>
  </si>
  <si>
    <t>Taux mensuel</t>
  </si>
  <si>
    <t xml:space="preserve">Taux eff. ann. </t>
  </si>
  <si>
    <t>Q4</t>
  </si>
  <si>
    <t>Taux eff/sem</t>
  </si>
  <si>
    <t>Partie 2</t>
  </si>
  <si>
    <t>Aug. Salaire</t>
  </si>
  <si>
    <t>% dernier salaire</t>
  </si>
  <si>
    <t xml:space="preserve">Montant </t>
  </si>
  <si>
    <r>
      <t xml:space="preserve">Renommer le terme </t>
    </r>
    <r>
      <rPr>
        <b/>
        <sz val="12"/>
        <color theme="1"/>
        <rFont val="Calibri"/>
        <family val="2"/>
        <scheme val="minor"/>
      </rPr>
      <t>Facteur</t>
    </r>
    <r>
      <rPr>
        <sz val="12"/>
        <color theme="1"/>
        <rFont val="Calibri"/>
        <family val="2"/>
        <scheme val="minor"/>
      </rPr>
      <t xml:space="preserve"> par la bon facteur (ex. (F/A;10%;4)</t>
    </r>
  </si>
  <si>
    <r>
      <t xml:space="preserve">Indiquer en dessous du Facteur le facteur en </t>
    </r>
    <r>
      <rPr>
        <b/>
        <sz val="12"/>
        <color theme="1"/>
        <rFont val="Calibri"/>
        <family val="2"/>
        <scheme val="minor"/>
      </rPr>
      <t xml:space="preserve">chiffre </t>
    </r>
    <r>
      <rPr>
        <sz val="12"/>
        <color theme="1"/>
        <rFont val="Calibri"/>
        <family val="2"/>
        <scheme val="minor"/>
      </rPr>
      <t>(ex. 2,3456)</t>
    </r>
  </si>
  <si>
    <t>Ne pas utiliser les tables</t>
  </si>
  <si>
    <t>Partie 3</t>
  </si>
  <si>
    <t>a)</t>
  </si>
  <si>
    <t>Réponse a</t>
  </si>
  <si>
    <t>b)</t>
  </si>
  <si>
    <t>Réponse b</t>
  </si>
  <si>
    <t>c)</t>
  </si>
  <si>
    <t>Réponse c</t>
  </si>
  <si>
    <t>BONUS</t>
  </si>
  <si>
    <t>+ 2 points</t>
  </si>
  <si>
    <t>Prix maximum du nouvel immeuble</t>
  </si>
  <si>
    <t>Calcul, questionnement et notes</t>
  </si>
  <si>
    <t>Morales</t>
  </si>
  <si>
    <t>Tsolakos</t>
  </si>
  <si>
    <t>Defotsing</t>
  </si>
  <si>
    <t>Nadia</t>
  </si>
  <si>
    <t>Katerina</t>
  </si>
  <si>
    <t>Wilfried</t>
  </si>
  <si>
    <t>v*(ln(12%+1)</t>
  </si>
  <si>
    <t xml:space="preserve"> i=e^(r/v)-1</t>
  </si>
  <si>
    <t xml:space="preserve"> i=e^(r/v)-2</t>
  </si>
  <si>
    <t>(F/P,4%,30)</t>
  </si>
  <si>
    <t xml:space="preserve">TAUX </t>
  </si>
  <si>
    <t>dernier salaire</t>
  </si>
  <si>
    <t>n travail</t>
  </si>
  <si>
    <t>n retraite</t>
  </si>
  <si>
    <t>i</t>
  </si>
  <si>
    <t>(P/A,8%,35)</t>
  </si>
  <si>
    <t>(A/F,8%,30)</t>
  </si>
  <si>
    <t>(P/F,8%,30)</t>
  </si>
  <si>
    <t>Fédéral</t>
  </si>
  <si>
    <t>Provincial</t>
  </si>
  <si>
    <t>3600/250= 14.40</t>
  </si>
  <si>
    <t>7200/500 = 14.40</t>
  </si>
  <si>
    <t>Répartition des montants</t>
  </si>
  <si>
    <t>n</t>
  </si>
  <si>
    <t xml:space="preserve"> i</t>
  </si>
  <si>
    <t>(F/A,i,n)</t>
  </si>
  <si>
    <t>(F/P,i,n)</t>
  </si>
  <si>
    <t>inflation</t>
  </si>
  <si>
    <t>Mise de fond</t>
  </si>
  <si>
    <t>aujoud'hui</t>
  </si>
  <si>
    <t>(P/F)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</si>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</sst>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#,##0\ &quot;$&quot;_);[Red]\(#,##0\ &quot;$&quot;\)"/>
    <numFmt numFmtId="43" formatCode="_ * #,##0.00_)\ _$_ ;_ * \(#,##0.00\)\ _$_ ;_ * &quot;-&quot;??_)\ _$_ ;_ @_ "/>
    <numFmt numFmtId="164" formatCode="_-* #,##0.00\ &quot;€&quot;_-;\-* #,##0.00\ &quot;€&quot;_-;_-* &quot;-&quot;??\ &quot;€&quot;_-;_-@_-"/>
    <numFmt numFmtId="165" formatCode="_-[$$-409]* #,##0.00_ ;_-[$$-409]* \-#,##0.00\ ;_-[$$-409]* &quot;-&quot;??_ ;_-@_ "/>
    <numFmt numFmtId="166" formatCode="0.000000"/>
    <numFmt numFmtId="167" formatCode="0.0000"/>
    <numFmt numFmtId="168" formatCode="_ * #,##0_)\ &quot;$&quot;_ ;_ * \(#,##0\)\ &quot;$&quot;_ ;_ * &quot;-&quot;??_)\ &quot;$&quot;_ ;_ @_ "/>
    <numFmt numFmtId="169" formatCode="_ * #,##0.0000_)\ _$_ ;_ * \(#,##0.0000\)\ _$_ ;_ * &quot;-&quot;??_)\ _$_ ;_ @_ "/>
    <numFmt numFmtId="170" formatCode="h&quot; h &quot;mm;@"/>
    <numFmt numFmtId="171" formatCode="[$-F800]dddd\,\ mmmm\ dd\,\ yyyy"/>
    <numFmt numFmtId="172" formatCode="_ * #,##0.00_)\ [$$-C0C]_ ;_ * \(#,##0.00\)\ [$$-C0C]_ ;_ * &quot;-&quot;??_)\ [$$-C0C]_ ;_ @_ "/>
    <numFmt numFmtId="173" formatCode="_ * #,##0_)\ [$$-C0C]_ ;_ * \(#,##0\)\ [$$-C0C]_ ;_ * &quot;-&quot;??_)\ [$$-C0C]_ ;_ @_ "/>
    <numFmt numFmtId="174" formatCode="#,##0.00&quot;/20&quot;"/>
    <numFmt numFmtId="175" formatCode="_-[$$-409]* #,##0_ ;_-[$$-409]* \-#,##0\ ;_-[$$-409]* &quot;-&quot;??_ ;_-@_ "/>
    <numFmt numFmtId="180" formatCode="0.000"/>
    <numFmt numFmtId="182" formatCode="#,##0\ &quot;$&quot;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6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4" xfId="0" applyFont="1" applyBorder="1"/>
    <xf numFmtId="0" fontId="2" fillId="0" borderId="19" xfId="0" applyFont="1" applyBorder="1"/>
    <xf numFmtId="0" fontId="0" fillId="0" borderId="16" xfId="0" applyFont="1" applyBorder="1"/>
    <xf numFmtId="0" fontId="2" fillId="0" borderId="3" xfId="0" applyFont="1" applyBorder="1"/>
    <xf numFmtId="0" fontId="0" fillId="0" borderId="0" xfId="0" applyFont="1"/>
    <xf numFmtId="49" fontId="6" fillId="0" borderId="0" xfId="0" applyNumberFormat="1" applyFont="1" applyAlignment="1">
      <alignment horizontal="right"/>
    </xf>
    <xf numFmtId="49" fontId="6" fillId="0" borderId="0" xfId="0" applyNumberFormat="1" applyFont="1" applyAlignment="1" applyProtection="1">
      <alignment horizontal="right"/>
      <protection locked="0"/>
    </xf>
    <xf numFmtId="49" fontId="2" fillId="0" borderId="0" xfId="0" applyNumberFormat="1" applyFont="1" applyBorder="1" applyAlignment="1"/>
    <xf numFmtId="49" fontId="6" fillId="0" borderId="0" xfId="0" applyNumberFormat="1" applyFont="1" applyAlignment="1"/>
    <xf numFmtId="0" fontId="2" fillId="0" borderId="1" xfId="0" applyFont="1" applyBorder="1" applyAlignment="1">
      <alignment horizontal="center"/>
    </xf>
    <xf numFmtId="165" fontId="2" fillId="0" borderId="0" xfId="0" applyNumberFormat="1" applyFont="1" applyFill="1" applyBorder="1"/>
    <xf numFmtId="0" fontId="2" fillId="0" borderId="0" xfId="0" applyFont="1" applyFill="1" applyBorder="1"/>
    <xf numFmtId="9" fontId="2" fillId="0" borderId="0" xfId="0" applyNumberFormat="1" applyFont="1" applyFill="1" applyBorder="1"/>
    <xf numFmtId="165" fontId="0" fillId="0" borderId="0" xfId="1" applyNumberFormat="1" applyFont="1" applyFill="1" applyBorder="1"/>
    <xf numFmtId="0" fontId="2" fillId="0" borderId="0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4" xfId="0" applyFont="1" applyFill="1" applyBorder="1" applyAlignment="1">
      <alignment horizontal="right"/>
    </xf>
    <xf numFmtId="0" fontId="0" fillId="0" borderId="9" xfId="0" applyFont="1" applyBorder="1"/>
    <xf numFmtId="0" fontId="0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1" applyNumberFormat="1" applyFont="1" applyBorder="1"/>
    <xf numFmtId="0" fontId="0" fillId="0" borderId="0" xfId="69" applyNumberFormat="1" applyFont="1" applyBorder="1"/>
    <xf numFmtId="167" fontId="0" fillId="0" borderId="1" xfId="0" applyNumberFormat="1" applyFont="1" applyBorder="1"/>
    <xf numFmtId="0" fontId="0" fillId="0" borderId="0" xfId="0" applyFont="1" applyFill="1" applyBorder="1"/>
    <xf numFmtId="0" fontId="0" fillId="0" borderId="0" xfId="0" applyFont="1" applyAlignment="1">
      <alignment vertical="center"/>
    </xf>
    <xf numFmtId="167" fontId="0" fillId="0" borderId="0" xfId="0" applyNumberFormat="1" applyFont="1" applyFill="1" applyBorder="1"/>
    <xf numFmtId="165" fontId="0" fillId="0" borderId="0" xfId="0" applyNumberFormat="1" applyFont="1" applyFill="1" applyBorder="1"/>
    <xf numFmtId="166" fontId="0" fillId="0" borderId="0" xfId="0" applyNumberFormat="1" applyFont="1" applyFill="1" applyBorder="1"/>
    <xf numFmtId="10" fontId="0" fillId="0" borderId="9" xfId="2" applyNumberFormat="1" applyFont="1" applyBorder="1" applyAlignment="1">
      <alignment horizontal="center"/>
    </xf>
    <xf numFmtId="10" fontId="0" fillId="0" borderId="9" xfId="2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9" xfId="0" applyFont="1" applyBorder="1" applyAlignment="1">
      <alignment horizontal="right" vertical="center" wrapText="1"/>
    </xf>
    <xf numFmtId="10" fontId="0" fillId="2" borderId="2" xfId="2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7" fontId="0" fillId="0" borderId="6" xfId="0" applyNumberFormat="1" applyFont="1" applyBorder="1"/>
    <xf numFmtId="0" fontId="2" fillId="0" borderId="23" xfId="0" applyFont="1" applyBorder="1"/>
    <xf numFmtId="0" fontId="0" fillId="0" borderId="14" xfId="0" applyFont="1" applyBorder="1" applyAlignment="1">
      <alignment horizontal="center"/>
    </xf>
    <xf numFmtId="0" fontId="0" fillId="0" borderId="9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0" fillId="0" borderId="14" xfId="0" applyFont="1" applyBorder="1" applyAlignment="1">
      <alignment horizontal="right"/>
    </xf>
    <xf numFmtId="0" fontId="0" fillId="0" borderId="1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0" fontId="0" fillId="0" borderId="9" xfId="0" applyNumberFormat="1" applyFont="1" applyBorder="1" applyAlignment="1">
      <alignment horizontal="center"/>
    </xf>
    <xf numFmtId="10" fontId="0" fillId="0" borderId="18" xfId="0" applyNumberFormat="1" applyFont="1" applyBorder="1" applyAlignment="1">
      <alignment horizontal="center"/>
    </xf>
    <xf numFmtId="0" fontId="2" fillId="3" borderId="0" xfId="0" applyFont="1" applyFill="1"/>
    <xf numFmtId="0" fontId="0" fillId="3" borderId="0" xfId="0" applyFont="1" applyFill="1"/>
    <xf numFmtId="10" fontId="0" fillId="0" borderId="14" xfId="0" applyNumberFormat="1" applyFont="1" applyBorder="1" applyAlignment="1">
      <alignment horizontal="center"/>
    </xf>
    <xf numFmtId="0" fontId="8" fillId="0" borderId="0" xfId="0" applyFont="1"/>
    <xf numFmtId="0" fontId="0" fillId="0" borderId="12" xfId="0" applyNumberFormat="1" applyFont="1" applyBorder="1"/>
    <xf numFmtId="0" fontId="7" fillId="0" borderId="13" xfId="0" applyNumberFormat="1" applyFont="1" applyBorder="1"/>
    <xf numFmtId="0" fontId="0" fillId="0" borderId="14" xfId="0" applyNumberFormat="1" applyFont="1" applyBorder="1"/>
    <xf numFmtId="0" fontId="7" fillId="0" borderId="0" xfId="0" applyNumberFormat="1" applyFont="1" applyBorder="1"/>
    <xf numFmtId="0" fontId="7" fillId="0" borderId="15" xfId="0" applyNumberFormat="1" applyFont="1" applyBorder="1"/>
    <xf numFmtId="0" fontId="7" fillId="0" borderId="16" xfId="0" applyNumberFormat="1" applyFont="1" applyBorder="1"/>
    <xf numFmtId="0" fontId="0" fillId="0" borderId="16" xfId="0" applyNumberFormat="1" applyFont="1" applyBorder="1"/>
    <xf numFmtId="0" fontId="7" fillId="0" borderId="12" xfId="0" applyNumberFormat="1" applyFont="1" applyBorder="1"/>
    <xf numFmtId="0" fontId="0" fillId="0" borderId="0" xfId="0" applyNumberFormat="1" applyFont="1"/>
    <xf numFmtId="0" fontId="7" fillId="0" borderId="13" xfId="0" applyNumberFormat="1" applyFont="1" applyBorder="1" applyAlignment="1">
      <alignment wrapText="1"/>
    </xf>
    <xf numFmtId="0" fontId="7" fillId="0" borderId="17" xfId="0" applyNumberFormat="1" applyFont="1" applyBorder="1" applyAlignment="1">
      <alignment wrapText="1"/>
    </xf>
    <xf numFmtId="0" fontId="7" fillId="0" borderId="14" xfId="0" applyNumberFormat="1" applyFont="1" applyBorder="1"/>
    <xf numFmtId="0" fontId="0" fillId="0" borderId="0" xfId="0" applyNumberFormat="1" applyFont="1" applyBorder="1"/>
    <xf numFmtId="0" fontId="7" fillId="0" borderId="0" xfId="0" applyNumberFormat="1" applyFont="1" applyBorder="1" applyAlignment="1">
      <alignment horizontal="center" wrapText="1"/>
    </xf>
    <xf numFmtId="0" fontId="7" fillId="0" borderId="18" xfId="0" applyNumberFormat="1" applyFont="1" applyBorder="1"/>
    <xf numFmtId="0" fontId="0" fillId="0" borderId="18" xfId="0" applyNumberFormat="1" applyFont="1" applyBorder="1"/>
    <xf numFmtId="0" fontId="0" fillId="0" borderId="0" xfId="0" applyNumberFormat="1" applyFont="1" applyBorder="1" applyAlignment="1">
      <alignment horizontal="center"/>
    </xf>
    <xf numFmtId="0" fontId="0" fillId="0" borderId="0" xfId="69" applyNumberFormat="1" applyFont="1" applyBorder="1" applyAlignment="1">
      <alignment horizontal="right"/>
    </xf>
    <xf numFmtId="0" fontId="2" fillId="0" borderId="0" xfId="0" applyNumberFormat="1" applyFont="1" applyBorder="1"/>
    <xf numFmtId="0" fontId="2" fillId="0" borderId="18" xfId="0" applyNumberFormat="1" applyFont="1" applyBorder="1"/>
    <xf numFmtId="0" fontId="0" fillId="0" borderId="0" xfId="1" applyNumberFormat="1" applyFont="1"/>
    <xf numFmtId="0" fontId="0" fillId="0" borderId="12" xfId="0" applyNumberFormat="1" applyFont="1" applyFill="1" applyBorder="1"/>
    <xf numFmtId="0" fontId="0" fillId="0" borderId="13" xfId="0" applyNumberFormat="1" applyFont="1" applyFill="1" applyBorder="1"/>
    <xf numFmtId="0" fontId="0" fillId="0" borderId="17" xfId="0" applyNumberFormat="1" applyFont="1" applyFill="1" applyBorder="1"/>
    <xf numFmtId="0" fontId="0" fillId="0" borderId="0" xfId="0" applyNumberFormat="1" applyFont="1" applyFill="1" applyBorder="1"/>
    <xf numFmtId="0" fontId="0" fillId="0" borderId="18" xfId="0" applyNumberFormat="1" applyFont="1" applyFill="1" applyBorder="1"/>
    <xf numFmtId="0" fontId="0" fillId="0" borderId="14" xfId="0" applyNumberFormat="1" applyFont="1" applyFill="1" applyBorder="1"/>
    <xf numFmtId="170" fontId="2" fillId="0" borderId="0" xfId="0" applyNumberFormat="1" applyFont="1" applyAlignment="1">
      <alignment horizontal="center"/>
    </xf>
    <xf numFmtId="49" fontId="6" fillId="0" borderId="0" xfId="0" applyNumberFormat="1" applyFont="1" applyAlignment="1" applyProtection="1">
      <alignment horizontal="center"/>
      <protection locked="0"/>
    </xf>
    <xf numFmtId="49" fontId="6" fillId="0" borderId="0" xfId="0" applyNumberFormat="1" applyFont="1" applyAlignment="1">
      <alignment horizontal="center"/>
    </xf>
    <xf numFmtId="49" fontId="9" fillId="0" borderId="0" xfId="0" applyNumberFormat="1" applyFont="1" applyAlignment="1" applyProtection="1">
      <protection locked="0"/>
    </xf>
    <xf numFmtId="0" fontId="10" fillId="0" borderId="0" xfId="0" applyFont="1"/>
    <xf numFmtId="0" fontId="2" fillId="0" borderId="0" xfId="0" applyFont="1" applyAlignment="1">
      <alignment horizontal="center"/>
    </xf>
    <xf numFmtId="9" fontId="2" fillId="0" borderId="5" xfId="0" applyNumberFormat="1" applyFont="1" applyBorder="1"/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24" xfId="0" applyFont="1" applyBorder="1"/>
    <xf numFmtId="172" fontId="0" fillId="0" borderId="1" xfId="1" applyNumberFormat="1" applyFont="1" applyBorder="1"/>
    <xf numFmtId="172" fontId="0" fillId="0" borderId="11" xfId="0" applyNumberFormat="1" applyFont="1" applyBorder="1"/>
    <xf numFmtId="2" fontId="0" fillId="0" borderId="18" xfId="0" applyNumberFormat="1" applyFont="1" applyBorder="1"/>
    <xf numFmtId="2" fontId="0" fillId="0" borderId="0" xfId="0" applyNumberFormat="1" applyFont="1" applyBorder="1"/>
    <xf numFmtId="173" fontId="0" fillId="0" borderId="24" xfId="1" applyNumberFormat="1" applyFont="1" applyBorder="1"/>
    <xf numFmtId="0" fontId="0" fillId="0" borderId="1" xfId="0" applyFont="1" applyBorder="1" applyAlignment="1">
      <alignment horizontal="right"/>
    </xf>
    <xf numFmtId="167" fontId="0" fillId="0" borderId="1" xfId="0" applyNumberFormat="1" applyFont="1" applyBorder="1" applyAlignment="1">
      <alignment horizontal="right"/>
    </xf>
    <xf numFmtId="173" fontId="0" fillId="0" borderId="25" xfId="1" applyNumberFormat="1" applyFont="1" applyBorder="1"/>
    <xf numFmtId="0" fontId="0" fillId="0" borderId="6" xfId="0" applyFont="1" applyBorder="1" applyAlignment="1">
      <alignment horizontal="right"/>
    </xf>
    <xf numFmtId="167" fontId="0" fillId="0" borderId="6" xfId="0" applyNumberFormat="1" applyFont="1" applyBorder="1" applyAlignment="1">
      <alignment horizontal="right"/>
    </xf>
    <xf numFmtId="0" fontId="0" fillId="0" borderId="25" xfId="0" applyFont="1" applyBorder="1"/>
    <xf numFmtId="172" fontId="0" fillId="0" borderId="6" xfId="1" applyNumberFormat="1" applyFont="1" applyBorder="1"/>
    <xf numFmtId="0" fontId="2" fillId="0" borderId="6" xfId="0" applyFont="1" applyBorder="1"/>
    <xf numFmtId="172" fontId="2" fillId="2" borderId="7" xfId="0" applyNumberFormat="1" applyFont="1" applyFill="1" applyBorder="1"/>
    <xf numFmtId="165" fontId="0" fillId="0" borderId="0" xfId="0" applyNumberFormat="1" applyFont="1" applyFill="1" applyBorder="1" applyAlignment="1">
      <alignment horizontal="center"/>
    </xf>
    <xf numFmtId="174" fontId="0" fillId="0" borderId="0" xfId="0" applyNumberFormat="1" applyFont="1"/>
    <xf numFmtId="0" fontId="2" fillId="0" borderId="24" xfId="0" applyFont="1" applyBorder="1"/>
    <xf numFmtId="0" fontId="0" fillId="0" borderId="1" xfId="0" applyFont="1" applyBorder="1" applyAlignment="1">
      <alignment horizontal="center"/>
    </xf>
    <xf numFmtId="172" fontId="0" fillId="0" borderId="25" xfId="0" applyNumberFormat="1" applyFont="1" applyBorder="1"/>
    <xf numFmtId="169" fontId="0" fillId="0" borderId="6" xfId="69" applyNumberFormat="1" applyFont="1" applyBorder="1"/>
    <xf numFmtId="172" fontId="2" fillId="2" borderId="7" xfId="1" applyNumberFormat="1" applyFont="1" applyFill="1" applyBorder="1"/>
    <xf numFmtId="0" fontId="0" fillId="0" borderId="10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26" xfId="0" applyFont="1" applyBorder="1"/>
    <xf numFmtId="0" fontId="0" fillId="0" borderId="0" xfId="0" applyFont="1" applyAlignment="1">
      <alignment horizontal="left"/>
    </xf>
    <xf numFmtId="0" fontId="2" fillId="0" borderId="27" xfId="0" applyFont="1" applyBorder="1"/>
    <xf numFmtId="49" fontId="2" fillId="3" borderId="0" xfId="0" applyNumberFormat="1" applyFont="1" applyFill="1"/>
    <xf numFmtId="0" fontId="2" fillId="3" borderId="0" xfId="0" applyFont="1" applyFill="1" applyAlignment="1">
      <alignment horizontal="center"/>
    </xf>
    <xf numFmtId="0" fontId="0" fillId="0" borderId="29" xfId="0" applyFont="1" applyBorder="1"/>
    <xf numFmtId="0" fontId="0" fillId="0" borderId="18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/>
    <xf numFmtId="0" fontId="1" fillId="0" borderId="0" xfId="69" applyNumberFormat="1" applyFont="1" applyFill="1" applyBorder="1"/>
    <xf numFmtId="0" fontId="1" fillId="0" borderId="0" xfId="2" applyNumberFormat="1" applyFont="1" applyFill="1" applyBorder="1"/>
    <xf numFmtId="0" fontId="1" fillId="0" borderId="0" xfId="1" applyNumberFormat="1" applyFont="1" applyFill="1" applyBorder="1" applyAlignment="1">
      <alignment horizontal="left"/>
    </xf>
    <xf numFmtId="0" fontId="7" fillId="0" borderId="17" xfId="0" applyNumberFormat="1" applyFont="1" applyBorder="1"/>
    <xf numFmtId="175" fontId="2" fillId="2" borderId="7" xfId="0" applyNumberFormat="1" applyFont="1" applyFill="1" applyBorder="1"/>
    <xf numFmtId="0" fontId="2" fillId="0" borderId="5" xfId="0" applyFont="1" applyBorder="1" applyAlignment="1">
      <alignment horizontal="center"/>
    </xf>
    <xf numFmtId="175" fontId="2" fillId="2" borderId="11" xfId="0" applyNumberFormat="1" applyFont="1" applyFill="1" applyBorder="1"/>
    <xf numFmtId="175" fontId="0" fillId="0" borderId="28" xfId="0" applyNumberFormat="1" applyFont="1" applyBorder="1"/>
    <xf numFmtId="175" fontId="0" fillId="0" borderId="1" xfId="1" applyNumberFormat="1" applyFont="1" applyBorder="1"/>
    <xf numFmtId="9" fontId="2" fillId="4" borderId="0" xfId="0" applyNumberFormat="1" applyFont="1" applyFill="1"/>
    <xf numFmtId="168" fontId="0" fillId="0" borderId="0" xfId="1" applyNumberFormat="1" applyFont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168" fontId="2" fillId="2" borderId="19" xfId="1" applyNumberFormat="1" applyFont="1" applyFill="1" applyBorder="1" applyAlignment="1">
      <alignment horizontal="center"/>
    </xf>
    <xf numFmtId="168" fontId="2" fillId="2" borderId="21" xfId="1" applyNumberFormat="1" applyFont="1" applyFill="1" applyBorder="1" applyAlignment="1">
      <alignment horizontal="center"/>
    </xf>
    <xf numFmtId="168" fontId="2" fillId="2" borderId="22" xfId="1" applyNumberFormat="1" applyFont="1" applyFill="1" applyBorder="1" applyAlignment="1">
      <alignment horizontal="right"/>
    </xf>
    <xf numFmtId="168" fontId="2" fillId="2" borderId="21" xfId="1" applyNumberFormat="1" applyFont="1" applyFill="1" applyBorder="1" applyAlignment="1">
      <alignment horizontal="right"/>
    </xf>
    <xf numFmtId="49" fontId="6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left"/>
    </xf>
    <xf numFmtId="0" fontId="0" fillId="0" borderId="17" xfId="0" applyFont="1" applyBorder="1"/>
    <xf numFmtId="0" fontId="0" fillId="0" borderId="8" xfId="0" applyFont="1" applyBorder="1"/>
    <xf numFmtId="9" fontId="0" fillId="0" borderId="17" xfId="2" applyFont="1" applyBorder="1"/>
    <xf numFmtId="2" fontId="0" fillId="0" borderId="1" xfId="0" applyNumberFormat="1" applyFont="1" applyBorder="1"/>
    <xf numFmtId="9" fontId="0" fillId="0" borderId="0" xfId="0" applyNumberFormat="1" applyFont="1"/>
    <xf numFmtId="165" fontId="0" fillId="0" borderId="6" xfId="0" applyNumberFormat="1" applyFont="1" applyBorder="1"/>
    <xf numFmtId="180" fontId="0" fillId="0" borderId="1" xfId="0" applyNumberFormat="1" applyFont="1" applyBorder="1"/>
    <xf numFmtId="2" fontId="0" fillId="0" borderId="6" xfId="0" applyNumberFormat="1" applyFont="1" applyBorder="1"/>
    <xf numFmtId="9" fontId="7" fillId="0" borderId="13" xfId="0" applyNumberFormat="1" applyFont="1" applyBorder="1"/>
    <xf numFmtId="0" fontId="7" fillId="0" borderId="13" xfId="0" applyFont="1" applyBorder="1"/>
    <xf numFmtId="9" fontId="7" fillId="0" borderId="0" xfId="0" applyNumberFormat="1" applyFont="1" applyBorder="1"/>
    <xf numFmtId="0" fontId="0" fillId="0" borderId="0" xfId="0" applyNumberFormat="1" applyFont="1" applyFill="1" applyBorder="1" applyAlignment="1">
      <alignment horizontal="center"/>
    </xf>
    <xf numFmtId="9" fontId="0" fillId="0" borderId="0" xfId="0" applyNumberFormat="1" applyFont="1" applyBorder="1"/>
    <xf numFmtId="182" fontId="0" fillId="0" borderId="18" xfId="1" applyNumberFormat="1" applyFont="1" applyBorder="1"/>
    <xf numFmtId="10" fontId="0" fillId="0" borderId="0" xfId="0" applyNumberFormat="1" applyFont="1"/>
    <xf numFmtId="6" fontId="0" fillId="0" borderId="0" xfId="0" applyNumberFormat="1" applyFont="1"/>
  </cellXfs>
  <cellStyles count="70">
    <cellStyle name="Lien hypertexte" xfId="49" builtinId="8" hidden="1"/>
    <cellStyle name="Lien hypertexte" xfId="51" builtinId="8" hidden="1"/>
    <cellStyle name="Lien hypertexte" xfId="55" builtinId="8" hidden="1"/>
    <cellStyle name="Lien hypertexte" xfId="59" builtinId="8" hidden="1"/>
    <cellStyle name="Lien hypertexte" xfId="63" builtinId="8" hidden="1"/>
    <cellStyle name="Lien hypertexte" xfId="61" builtinId="8" hidden="1"/>
    <cellStyle name="Lien hypertexte" xfId="45" builtinId="8" hidden="1"/>
    <cellStyle name="Lien hypertexte" xfId="37" builtinId="8" hidden="1"/>
    <cellStyle name="Lien hypertexte" xfId="29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1" builtinId="8" hidden="1"/>
    <cellStyle name="Lien hypertexte" xfId="8" builtinId="8" hidden="1"/>
    <cellStyle name="Lien hypertexte" xfId="10" builtinId="8" hidden="1"/>
    <cellStyle name="Lien hypertexte" xfId="4" builtinId="8" hidden="1"/>
    <cellStyle name="Lien hypertexte" xfId="6" builtinId="8" hidden="1"/>
    <cellStyle name="Lien hypertexte" xfId="23" builtinId="8" hidden="1"/>
    <cellStyle name="Lien hypertexte" xfId="12" builtinId="8" hidden="1"/>
    <cellStyle name="Lien hypertexte" xfId="53" builtinId="8" hidden="1"/>
    <cellStyle name="Lien hypertexte" xfId="57" builtinId="8" hidden="1"/>
    <cellStyle name="Lien hypertexte" xfId="47" builtinId="8" hidden="1"/>
    <cellStyle name="Lien hypertexte" xfId="31" builtinId="8" hidden="1"/>
    <cellStyle name="Lien hypertexte" xfId="33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35" builtinId="8" hidden="1"/>
    <cellStyle name="Lien hypertexte" xfId="25" builtinId="8" hidden="1"/>
    <cellStyle name="Lien hypertexte" xfId="27" builtinId="8" hidden="1"/>
    <cellStyle name="Lien hypertexte" xfId="65" builtinId="8" hidden="1"/>
    <cellStyle name="Lien hypertexte" xfId="67" builtinId="8" hidden="1"/>
    <cellStyle name="Lien hypertexte visité" xfId="44" builtinId="9" hidden="1"/>
    <cellStyle name="Lien hypertexte visité" xfId="22" builtinId="9" hidden="1"/>
    <cellStyle name="Lien hypertexte visité" xfId="13" builtinId="9" hidden="1"/>
    <cellStyle name="Lien hypertexte visité" xfId="15" builtinId="9" hidden="1"/>
    <cellStyle name="Lien hypertexte visité" xfId="19" builtinId="9" hidden="1"/>
    <cellStyle name="Lien hypertexte visité" xfId="9" builtinId="9" hidden="1"/>
    <cellStyle name="Lien hypertexte visité" xfId="11" builtinId="9" hidden="1"/>
    <cellStyle name="Lien hypertexte visité" xfId="5" builtinId="9" hidden="1"/>
    <cellStyle name="Lien hypertexte visité" xfId="7" builtinId="9" hidden="1"/>
    <cellStyle name="Lien hypertexte visité" xfId="17" builtinId="9" hidden="1"/>
    <cellStyle name="Lien hypertexte visité" xfId="38" builtinId="9" hidden="1"/>
    <cellStyle name="Lien hypertexte visité" xfId="62" builtinId="9" hidden="1"/>
    <cellStyle name="Lien hypertexte visité" xfId="54" builtinId="9" hidden="1"/>
    <cellStyle name="Lien hypertexte visité" xfId="46" builtinId="9" hidden="1"/>
    <cellStyle name="Lien hypertexte visité" xfId="24" builtinId="9" hidden="1"/>
    <cellStyle name="Lien hypertexte visité" xfId="26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40" builtinId="9" hidden="1"/>
    <cellStyle name="Lien hypertexte visité" xfId="42" builtinId="9" hidden="1"/>
    <cellStyle name="Lien hypertexte visité" xfId="28" builtinId="9" hidden="1"/>
    <cellStyle name="Lien hypertexte visité" xfId="58" builtinId="9" hidden="1"/>
    <cellStyle name="Lien hypertexte visité" xfId="60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52" builtinId="9" hidden="1"/>
    <cellStyle name="Lien hypertexte visité" xfId="56" builtinId="9" hidden="1"/>
    <cellStyle name="Lien hypertexte visité" xfId="50" builtinId="9" hidden="1"/>
    <cellStyle name="Lien hypertexte visité" xfId="48" builtinId="9" hidden="1"/>
    <cellStyle name="Milliers" xfId="69" builtinId="3"/>
    <cellStyle name="Monétaire" xfId="1" builtinId="4"/>
    <cellStyle name="Normal" xfId="0" builtinId="0"/>
    <cellStyle name="Normal 2" xfId="3" xr:uid="{00000000-0005-0000-0000-000042000000}"/>
    <cellStyle name="Pourcentage" xfId="2" builtinId="5"/>
    <cellStyle name="Pourcentage 2" xfId="20" xr:uid="{00000000-0005-0000-0000-000044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S05.labos.polymtl.ca\profiles\Users\Moulay%201\Mes%20documents\Travail\SSH3201\00-Lab%202022-3-E&#769;te&#769;-tempo\Lab%203%20TP2\SSH3201_Lab3_TP2_H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DEEE-DAEC-1C4D-8353-53A354E71886}">
  <dimension ref="A1:T80"/>
  <sheetViews>
    <sheetView tabSelected="1" zoomScaleNormal="100" workbookViewId="0">
      <selection activeCell="K45" sqref="K45"/>
    </sheetView>
  </sheetViews>
  <sheetFormatPr baseColWidth="10" defaultColWidth="10.875" defaultRowHeight="15.75" x14ac:dyDescent="0.25"/>
  <cols>
    <col min="1" max="1" width="11.375" style="7" customWidth="1"/>
    <col min="2" max="2" width="13.625" style="7" bestFit="1" customWidth="1"/>
    <col min="3" max="3" width="15.125" style="7" customWidth="1"/>
    <col min="4" max="4" width="15" style="7" bestFit="1" customWidth="1"/>
    <col min="5" max="5" width="15" style="7" customWidth="1"/>
    <col min="6" max="6" width="12.875" style="7" bestFit="1" customWidth="1"/>
    <col min="7" max="7" width="17.125" style="7" customWidth="1"/>
    <col min="8" max="8" width="9.875" style="7" bestFit="1" customWidth="1"/>
    <col min="9" max="9" width="12.375" style="7" bestFit="1" customWidth="1"/>
    <col min="10" max="10" width="9.125" style="7" customWidth="1"/>
    <col min="11" max="16384" width="10.875" style="7"/>
  </cols>
  <sheetData>
    <row r="1" spans="1:9" x14ac:dyDescent="0.25">
      <c r="A1" s="8" t="s">
        <v>0</v>
      </c>
      <c r="B1" s="145" t="s">
        <v>51</v>
      </c>
      <c r="C1" s="145"/>
      <c r="D1" s="9" t="s">
        <v>1</v>
      </c>
      <c r="E1" s="86" t="s">
        <v>54</v>
      </c>
      <c r="F1" s="10" t="s">
        <v>2</v>
      </c>
      <c r="G1" s="87">
        <v>1957691</v>
      </c>
      <c r="H1" s="11" t="s">
        <v>3</v>
      </c>
      <c r="I1" s="11" t="s">
        <v>82</v>
      </c>
    </row>
    <row r="2" spans="1:9" x14ac:dyDescent="0.25">
      <c r="A2" s="8" t="s">
        <v>0</v>
      </c>
      <c r="B2" s="145" t="s">
        <v>52</v>
      </c>
      <c r="C2" s="145"/>
      <c r="D2" s="9" t="s">
        <v>1</v>
      </c>
      <c r="E2" s="86" t="s">
        <v>55</v>
      </c>
      <c r="F2" s="10" t="s">
        <v>2</v>
      </c>
      <c r="G2" s="87">
        <v>1985938</v>
      </c>
      <c r="H2" s="11" t="s">
        <v>3</v>
      </c>
      <c r="I2" s="11"/>
    </row>
    <row r="3" spans="1:9" x14ac:dyDescent="0.25">
      <c r="A3" s="8" t="s">
        <v>0</v>
      </c>
      <c r="B3" s="145" t="s">
        <v>53</v>
      </c>
      <c r="C3" s="145"/>
      <c r="D3" s="9" t="s">
        <v>1</v>
      </c>
      <c r="E3" s="86" t="s">
        <v>56</v>
      </c>
      <c r="F3" s="10" t="s">
        <v>2</v>
      </c>
      <c r="G3" s="87">
        <v>1956835</v>
      </c>
      <c r="H3" s="11" t="s">
        <v>3</v>
      </c>
      <c r="I3" s="11"/>
    </row>
    <row r="4" spans="1:9" ht="15" customHeight="1" x14ac:dyDescent="0.25">
      <c r="A4" s="83">
        <f ca="1">NOW()</f>
        <v>44707.46666111111</v>
      </c>
      <c r="B4" s="146">
        <f ca="1">NOW()</f>
        <v>44707.46666111111</v>
      </c>
      <c r="C4" s="146"/>
      <c r="D4" s="146"/>
      <c r="E4" s="84"/>
      <c r="F4" s="84"/>
      <c r="G4" s="10"/>
      <c r="H4" s="85"/>
      <c r="I4" s="88"/>
    </row>
    <row r="5" spans="1:9" hidden="1" x14ac:dyDescent="0.25">
      <c r="A5" s="52" t="s">
        <v>4</v>
      </c>
      <c r="B5" s="53"/>
      <c r="C5" s="53"/>
      <c r="D5" s="53"/>
      <c r="E5" s="53"/>
      <c r="F5" s="53"/>
      <c r="G5" s="53"/>
      <c r="H5" s="53"/>
      <c r="I5" s="53"/>
    </row>
    <row r="6" spans="1:9" hidden="1" x14ac:dyDescent="0.25">
      <c r="A6" s="1" t="s">
        <v>5</v>
      </c>
      <c r="B6" s="6" t="s">
        <v>6</v>
      </c>
      <c r="C6" s="89">
        <f>[1]BD!G12</f>
        <v>0.08</v>
      </c>
    </row>
    <row r="7" spans="1:9" hidden="1" x14ac:dyDescent="0.25">
      <c r="A7" s="6" t="s">
        <v>7</v>
      </c>
      <c r="B7" s="2" t="s">
        <v>8</v>
      </c>
      <c r="C7" s="12" t="str">
        <f>IF(7=[1]BD!G14,"(F/P;i;n)","(P/F;i;n)")</f>
        <v>(P/F;i;n)</v>
      </c>
      <c r="D7" s="90" t="str">
        <f>IF(7=[1]BD!G14,"Montants cap.","Montants act.")</f>
        <v>Montants act.</v>
      </c>
      <c r="E7" s="91"/>
      <c r="F7" s="1" t="s">
        <v>9</v>
      </c>
      <c r="G7" s="6" t="s">
        <v>6</v>
      </c>
      <c r="H7" s="89">
        <f>[1]BD!G12</f>
        <v>0.08</v>
      </c>
    </row>
    <row r="8" spans="1:9" hidden="1" x14ac:dyDescent="0.25">
      <c r="A8" s="92">
        <f>IF(7=[1]BD!G14,[1]BD!B10,[1]BD!B5)</f>
        <v>1</v>
      </c>
      <c r="B8" s="93">
        <f>[1]BD!G5</f>
        <v>12</v>
      </c>
      <c r="C8" s="28">
        <f>IF(7=[1]BD!G14,(1+$C$6)^A8,(1+$C$6)^-A8)</f>
        <v>0.92592592592592582</v>
      </c>
      <c r="D8" s="94">
        <f t="shared" ref="D8:D14" si="0">B8*C8</f>
        <v>11.111111111111111</v>
      </c>
      <c r="E8" s="95"/>
      <c r="F8" s="6" t="s">
        <v>8</v>
      </c>
      <c r="G8" s="12" t="str">
        <f>IF(7=[1]BD!G14,"(F/A;i;n)","(P/A;i;n)")</f>
        <v>(P/A;i;n)</v>
      </c>
      <c r="H8" s="12" t="s">
        <v>10</v>
      </c>
      <c r="I8" s="39" t="s">
        <v>11</v>
      </c>
    </row>
    <row r="9" spans="1:9" hidden="1" x14ac:dyDescent="0.25">
      <c r="A9" s="92">
        <f>IF(7=[1]BD!G14,[1]BD!B9,[1]BD!B6)</f>
        <v>2</v>
      </c>
      <c r="B9" s="93">
        <f>[1]BD!G6</f>
        <v>8</v>
      </c>
      <c r="C9" s="28">
        <f>IF(7=[1]BD!G14,(1+$C$6)^A9,(1+$C$6)^-A9)</f>
        <v>0.85733882030178321</v>
      </c>
      <c r="D9" s="94">
        <f t="shared" si="0"/>
        <v>6.8587105624142657</v>
      </c>
      <c r="E9" s="96"/>
      <c r="F9" s="97">
        <f>[1]BD!G5</f>
        <v>12</v>
      </c>
      <c r="G9" s="98"/>
      <c r="H9" s="98"/>
      <c r="I9" s="98"/>
    </row>
    <row r="10" spans="1:9" hidden="1" x14ac:dyDescent="0.25">
      <c r="A10" s="92">
        <f>IF(7=[1]BD!G14,[1]BD!B8,[1]BD!B7)</f>
        <v>3</v>
      </c>
      <c r="B10" s="93">
        <f>[1]BD!G7</f>
        <v>12</v>
      </c>
      <c r="C10" s="28">
        <f>IF(7=[1]BD!G14,(1+$C$6)^A10,(1+$C$6)^-A10)</f>
        <v>0.79383224102016958</v>
      </c>
      <c r="D10" s="94">
        <f t="shared" si="0"/>
        <v>9.5259868922420345</v>
      </c>
      <c r="E10" s="96"/>
      <c r="F10" s="97">
        <f>[1]BD!G6</f>
        <v>8</v>
      </c>
      <c r="G10" s="99">
        <f>IF(7=[1]BD!G14,FV(H7,([1]BD!B10-[1]BD!B6+1),-1),PV(H7,([1]BD!B10-[1]BD!B6+1),-1))</f>
        <v>3.9927100370780875</v>
      </c>
      <c r="H10" s="98"/>
      <c r="I10" s="98"/>
    </row>
    <row r="11" spans="1:9" hidden="1" x14ac:dyDescent="0.25">
      <c r="A11" s="92">
        <f>IF(7=[1]BD!G14,[1]BD!B7,[1]BD!B8)</f>
        <v>4</v>
      </c>
      <c r="B11" s="93">
        <f>[1]BD!G8</f>
        <v>16</v>
      </c>
      <c r="C11" s="28">
        <f>IF(7=[1]BD!G14,(1+$C$6)^A11,(1+$C$6)^-A11)</f>
        <v>0.73502985279645328</v>
      </c>
      <c r="D11" s="94">
        <f t="shared" si="0"/>
        <v>11.760477644743252</v>
      </c>
      <c r="E11" s="96"/>
      <c r="F11" s="97">
        <f>[1]BD!G4</f>
        <v>4</v>
      </c>
      <c r="G11" s="98"/>
      <c r="H11" s="99">
        <f>(((((1+H7)^[1]BD!B7)-1)/(H7*(1+H7)^[1]BD!B7))-(([1]BD!B7)/((1+H7)^[1]BD!B7)))/H7</f>
        <v>2.4450033023421467</v>
      </c>
      <c r="I11" s="99">
        <f>IF(7=[1]BD!G14,1,(1+H7)^-A8)</f>
        <v>0.92592592592592582</v>
      </c>
    </row>
    <row r="12" spans="1:9" ht="16.5" hidden="1" thickBot="1" x14ac:dyDescent="0.3">
      <c r="A12" s="92">
        <f>IF(7=[1]BD!G14,[1]BD!B6,[1]BD!B9)</f>
        <v>5</v>
      </c>
      <c r="B12" s="93">
        <f>[1]BD!G9</f>
        <v>8</v>
      </c>
      <c r="C12" s="28">
        <f>IF(7=[1]BD!G14,(1+$C$6)^A12,(1+$C$6)^-A12)</f>
        <v>0.68058319703375303</v>
      </c>
      <c r="D12" s="94">
        <f t="shared" si="0"/>
        <v>5.4446655762700242</v>
      </c>
      <c r="E12" s="96"/>
      <c r="F12" s="100">
        <f>[1]BD!G11</f>
        <v>5</v>
      </c>
      <c r="G12" s="101"/>
      <c r="H12" s="101"/>
      <c r="I12" s="102">
        <f>IF(7=[1]BD!G14,1,(1+H7)^-A14)</f>
        <v>0.58349039526213387</v>
      </c>
    </row>
    <row r="13" spans="1:9" hidden="1" x14ac:dyDescent="0.25">
      <c r="A13" s="92">
        <f>IF(7=[1]BD!G14,[1]BD!B5,[1]BD!B10)</f>
        <v>6</v>
      </c>
      <c r="B13" s="93">
        <f>[1]BD!G10</f>
        <v>8</v>
      </c>
      <c r="C13" s="28">
        <f>IF(7=[1]BD!G14,(1+$C$6)^A13,(1+$C$6)^-A13)</f>
        <v>0.63016962688310452</v>
      </c>
      <c r="D13" s="94">
        <f t="shared" si="0"/>
        <v>5.0413570150648361</v>
      </c>
      <c r="E13" s="96"/>
    </row>
    <row r="14" spans="1:9" ht="16.5" hidden="1" thickBot="1" x14ac:dyDescent="0.3">
      <c r="A14" s="103">
        <f>IF(7=[1]BD!G14,[1]BD!B4,[1]BD!B11)</f>
        <v>7</v>
      </c>
      <c r="B14" s="104">
        <f>[1]BD!G11</f>
        <v>5</v>
      </c>
      <c r="C14" s="28">
        <f>IF(7=[1]BD!G14,(1+$C$6)^A14,(1+$C$6)^-A14)</f>
        <v>0.58349039526213387</v>
      </c>
      <c r="D14" s="94">
        <f t="shared" si="0"/>
        <v>2.9174519763106694</v>
      </c>
      <c r="E14" s="96"/>
    </row>
    <row r="15" spans="1:9" ht="16.5" hidden="1" thickBot="1" x14ac:dyDescent="0.3">
      <c r="C15" s="105" t="s">
        <v>12</v>
      </c>
      <c r="D15" s="106">
        <f>SUM(D8:D14)</f>
        <v>52.659760778156198</v>
      </c>
      <c r="E15" s="107" t="s">
        <v>13</v>
      </c>
      <c r="G15" s="7" t="s">
        <v>14</v>
      </c>
    </row>
    <row r="16" spans="1:9" hidden="1" x14ac:dyDescent="0.25">
      <c r="E16" s="25"/>
      <c r="G16" s="7" t="s">
        <v>15</v>
      </c>
      <c r="I16" s="7">
        <f>17*0.5</f>
        <v>8.5</v>
      </c>
    </row>
    <row r="17" spans="1:20" hidden="1" x14ac:dyDescent="0.25">
      <c r="A17" s="1" t="s">
        <v>16</v>
      </c>
      <c r="B17" s="6" t="s">
        <v>6</v>
      </c>
      <c r="C17" s="89">
        <f>[1]BD!G12</f>
        <v>0.08</v>
      </c>
      <c r="E17" s="25"/>
      <c r="G17" s="7" t="s">
        <v>17</v>
      </c>
      <c r="I17" s="108">
        <f>20-I16</f>
        <v>11.5</v>
      </c>
      <c r="J17" s="137"/>
    </row>
    <row r="18" spans="1:20" hidden="1" x14ac:dyDescent="0.25">
      <c r="A18" s="109" t="s">
        <v>8</v>
      </c>
      <c r="B18" s="110" t="str">
        <f>IF(7=[1]BD!G14,"(P/F;i;"&amp;TEXT(([1]BD!B11-[1]BD!G16),"##")&amp;")","(F/P;i;"&amp;TEXT(([1]BD!G15-1),"##")&amp;")")</f>
        <v>(F/P;i;1)</v>
      </c>
      <c r="C18" s="110" t="str">
        <f>IF(7=[1]BD!G14,"(A/F;i;"&amp;TEXT(([1]BD!G16-[1]BD!G15+1),"##")&amp;")","(P/A;i;"&amp;TEXT(([1]BD!G16-[1]BD!G15+1),"##")&amp;")")</f>
        <v>(P/A;i;6)</v>
      </c>
      <c r="D18" s="90" t="s">
        <v>18</v>
      </c>
      <c r="E18" s="25"/>
      <c r="J18" s="25"/>
    </row>
    <row r="19" spans="1:20" ht="16.5" hidden="1" thickBot="1" x14ac:dyDescent="0.3">
      <c r="A19" s="111" t="e">
        <f>#REF!</f>
        <v>#REF!</v>
      </c>
      <c r="B19" s="40">
        <f>IF(7=[1]BD!G14,(1+C17)^-([1]BD!B11-[1]BD!G16),(1+C17)^([1]BD!G15-1))</f>
        <v>1.08</v>
      </c>
      <c r="C19" s="112">
        <f>IF(7=[1]BD!G14,PMT(C17,([1]BD!G16-[1]BD!G15+1),,-1),PMT(C17,([1]BD!G16-[1]BD!G15+1),-1))</f>
        <v>0.21631538622900984</v>
      </c>
      <c r="D19" s="113" t="e">
        <f>A19*B19*C19</f>
        <v>#REF!</v>
      </c>
      <c r="E19" s="25" t="s">
        <v>19</v>
      </c>
      <c r="J19" s="25"/>
    </row>
    <row r="20" spans="1:20" hidden="1" x14ac:dyDescent="0.25">
      <c r="J20" s="25"/>
    </row>
    <row r="21" spans="1:20" ht="16.5" thickBot="1" x14ac:dyDescent="0.3">
      <c r="A21" s="52" t="s">
        <v>4</v>
      </c>
      <c r="B21" s="53"/>
      <c r="C21" s="53"/>
      <c r="D21" s="53"/>
      <c r="E21" s="53"/>
      <c r="F21" s="53"/>
      <c r="G21" s="53"/>
      <c r="H21" s="53"/>
      <c r="I21" s="53"/>
      <c r="J21" s="25"/>
    </row>
    <row r="22" spans="1:20" ht="16.5" thickBot="1" x14ac:dyDescent="0.3">
      <c r="A22" s="17" t="s">
        <v>5</v>
      </c>
      <c r="B22" s="24" t="s">
        <v>20</v>
      </c>
      <c r="C22" s="17" t="s">
        <v>9</v>
      </c>
      <c r="D22" s="24" t="s">
        <v>21</v>
      </c>
      <c r="E22" s="24" t="s">
        <v>22</v>
      </c>
      <c r="F22" s="17" t="s">
        <v>16</v>
      </c>
      <c r="G22" s="24" t="s">
        <v>21</v>
      </c>
      <c r="H22" s="24" t="s">
        <v>22</v>
      </c>
    </row>
    <row r="23" spans="1:20" ht="16.5" thickBot="1" x14ac:dyDescent="0.3">
      <c r="A23" s="45" t="s">
        <v>23</v>
      </c>
      <c r="B23" s="147" t="s">
        <v>57</v>
      </c>
      <c r="C23" s="19" t="s">
        <v>24</v>
      </c>
      <c r="D23" s="48">
        <v>1</v>
      </c>
      <c r="E23" s="47">
        <v>1</v>
      </c>
      <c r="F23" s="19" t="s">
        <v>24</v>
      </c>
      <c r="G23" s="23">
        <v>1</v>
      </c>
      <c r="H23" s="48">
        <v>1</v>
      </c>
      <c r="N23" s="14"/>
      <c r="O23" s="15"/>
      <c r="P23" s="14"/>
      <c r="Q23" s="15"/>
      <c r="R23" s="29"/>
    </row>
    <row r="24" spans="1:20" ht="16.5" thickBot="1" x14ac:dyDescent="0.3">
      <c r="A24" s="44" t="s">
        <v>25</v>
      </c>
      <c r="B24" s="149">
        <f>1*(LN(12%+1))</f>
        <v>0.11332868530700327</v>
      </c>
      <c r="C24" s="20" t="s">
        <v>26</v>
      </c>
      <c r="D24" s="50">
        <f>6%/12</f>
        <v>5.0000000000000001E-3</v>
      </c>
      <c r="E24" s="51">
        <f>9%/3</f>
        <v>0.03</v>
      </c>
      <c r="F24" s="20" t="s">
        <v>26</v>
      </c>
      <c r="G24" s="34">
        <v>0.06</v>
      </c>
      <c r="H24" s="35">
        <v>0.36</v>
      </c>
      <c r="J24" s="7" t="s">
        <v>27</v>
      </c>
      <c r="N24" s="29"/>
      <c r="R24" s="29"/>
    </row>
    <row r="25" spans="1:20" ht="16.5" thickBot="1" x14ac:dyDescent="0.3">
      <c r="B25" s="25"/>
      <c r="C25" s="46" t="s">
        <v>23</v>
      </c>
      <c r="D25" s="49" t="s">
        <v>58</v>
      </c>
      <c r="E25" s="49" t="s">
        <v>58</v>
      </c>
      <c r="F25" s="21" t="s">
        <v>28</v>
      </c>
      <c r="G25" s="23">
        <v>12</v>
      </c>
      <c r="H25" s="114">
        <v>9</v>
      </c>
      <c r="N25" s="14"/>
      <c r="R25" s="29"/>
    </row>
    <row r="26" spans="1:20" ht="16.5" thickBot="1" x14ac:dyDescent="0.3">
      <c r="C26" s="46" t="s">
        <v>29</v>
      </c>
      <c r="D26" s="38">
        <f>(EXP(D24/D23)-1)</f>
        <v>5.0125208594009596E-3</v>
      </c>
      <c r="E26" s="38">
        <f>(EXP(E24/E23)-1)</f>
        <v>3.0454533953516938E-2</v>
      </c>
      <c r="F26" s="37" t="s">
        <v>30</v>
      </c>
      <c r="G26" s="38">
        <f>((1+(G24/G25))^(G25/G23))-1</f>
        <v>6.1677811864497611E-2</v>
      </c>
      <c r="H26" s="38">
        <f>((1+(H24/H25))^(H25/H23))-1</f>
        <v>0.42331181242148519</v>
      </c>
      <c r="N26" s="29"/>
      <c r="R26" s="29"/>
      <c r="T26" s="30"/>
    </row>
    <row r="27" spans="1:20" ht="16.5" thickBot="1" x14ac:dyDescent="0.3">
      <c r="C27" s="22"/>
      <c r="D27" s="115"/>
      <c r="E27" s="116"/>
      <c r="F27" s="25"/>
      <c r="G27" s="25"/>
      <c r="H27" s="25"/>
      <c r="N27" s="14"/>
      <c r="O27" s="32"/>
      <c r="P27" s="31"/>
      <c r="Q27" s="13"/>
      <c r="R27" s="29"/>
      <c r="T27" s="30"/>
    </row>
    <row r="28" spans="1:20" ht="16.5" thickBot="1" x14ac:dyDescent="0.3">
      <c r="C28" s="18" t="s">
        <v>24</v>
      </c>
      <c r="D28" s="42">
        <v>1</v>
      </c>
      <c r="E28" s="48">
        <v>1</v>
      </c>
      <c r="F28" s="17" t="s">
        <v>31</v>
      </c>
      <c r="G28" s="24" t="s">
        <v>21</v>
      </c>
      <c r="H28" s="24" t="s">
        <v>22</v>
      </c>
      <c r="N28" s="29"/>
      <c r="O28" s="14"/>
      <c r="P28" s="14"/>
      <c r="Q28" s="14"/>
      <c r="R28" s="29"/>
    </row>
    <row r="29" spans="1:20" ht="16.5" thickBot="1" x14ac:dyDescent="0.3">
      <c r="C29" s="20" t="s">
        <v>26</v>
      </c>
      <c r="D29" s="54">
        <v>0.06</v>
      </c>
      <c r="E29" s="50">
        <f>9%*4</f>
        <v>0.36</v>
      </c>
      <c r="F29" s="19" t="s">
        <v>24</v>
      </c>
      <c r="G29" s="23">
        <v>2</v>
      </c>
      <c r="H29" s="23">
        <v>2</v>
      </c>
      <c r="N29" s="14"/>
      <c r="O29" s="32"/>
      <c r="P29" s="33"/>
      <c r="Q29" s="13"/>
      <c r="R29" s="29"/>
    </row>
    <row r="30" spans="1:20" ht="16.5" thickBot="1" x14ac:dyDescent="0.3">
      <c r="C30" s="43" t="s">
        <v>23</v>
      </c>
      <c r="D30" s="3" t="s">
        <v>58</v>
      </c>
      <c r="E30" s="148" t="s">
        <v>59</v>
      </c>
      <c r="F30" s="20" t="s">
        <v>26</v>
      </c>
      <c r="G30" s="34">
        <v>0.06</v>
      </c>
      <c r="H30" s="35">
        <v>0.36</v>
      </c>
      <c r="N30" s="29"/>
      <c r="O30" s="14"/>
      <c r="P30" s="14"/>
      <c r="Q30" s="14"/>
      <c r="R30" s="29"/>
    </row>
    <row r="31" spans="1:20" ht="16.5" thickBot="1" x14ac:dyDescent="0.3">
      <c r="C31" s="44" t="s">
        <v>25</v>
      </c>
      <c r="D31" s="38">
        <f>(EXP(D29/D28)-1)</f>
        <v>6.1836546545359639E-2</v>
      </c>
      <c r="E31" s="38">
        <f>(EXP(E29/E28)-1)</f>
        <v>0.43332941456034013</v>
      </c>
      <c r="F31" s="21" t="s">
        <v>28</v>
      </c>
      <c r="G31" s="23">
        <v>12</v>
      </c>
      <c r="H31" s="36">
        <v>9</v>
      </c>
      <c r="N31" s="14"/>
      <c r="O31" s="32"/>
      <c r="P31" s="31"/>
      <c r="Q31" s="13"/>
      <c r="R31" s="29"/>
    </row>
    <row r="32" spans="1:20" ht="16.5" thickBot="1" x14ac:dyDescent="0.3">
      <c r="A32" s="7" t="s">
        <v>61</v>
      </c>
      <c r="B32" s="7" t="s">
        <v>62</v>
      </c>
      <c r="C32" s="7" t="s">
        <v>63</v>
      </c>
      <c r="D32" s="25" t="s">
        <v>64</v>
      </c>
      <c r="E32" s="25" t="s">
        <v>65</v>
      </c>
      <c r="F32" s="37" t="s">
        <v>32</v>
      </c>
      <c r="G32" s="38">
        <f>((1+(G30/G31))^(G31/G29))-1</f>
        <v>3.0377509393764601E-2</v>
      </c>
      <c r="H32" s="38">
        <f>((1+(H30/H31))^(H31/H29))-1</f>
        <v>0.19302632511671125</v>
      </c>
    </row>
    <row r="33" spans="1:14" x14ac:dyDescent="0.25">
      <c r="A33" s="151">
        <v>0.08</v>
      </c>
      <c r="B33" s="151">
        <v>0.5</v>
      </c>
      <c r="C33" s="7">
        <v>30</v>
      </c>
      <c r="D33" s="7">
        <v>35</v>
      </c>
      <c r="E33" s="151">
        <v>0.04</v>
      </c>
      <c r="G33" s="117"/>
      <c r="H33" s="117"/>
    </row>
    <row r="34" spans="1:14" x14ac:dyDescent="0.25">
      <c r="A34" s="52" t="s">
        <v>33</v>
      </c>
      <c r="B34" s="53"/>
      <c r="C34" s="53"/>
      <c r="D34" s="53"/>
      <c r="E34" s="53"/>
      <c r="F34" s="53"/>
      <c r="G34" s="53"/>
      <c r="H34" s="53"/>
      <c r="I34" s="53"/>
    </row>
    <row r="35" spans="1:14" ht="16.5" thickBot="1" x14ac:dyDescent="0.3">
      <c r="A35" s="1" t="s">
        <v>34</v>
      </c>
      <c r="B35" s="136"/>
      <c r="C35" s="1" t="s">
        <v>35</v>
      </c>
      <c r="D35" s="136"/>
      <c r="G35" s="5"/>
      <c r="H35" s="5"/>
      <c r="I35" s="5"/>
    </row>
    <row r="36" spans="1:14" ht="16.5" thickBot="1" x14ac:dyDescent="0.3">
      <c r="B36" s="6" t="s">
        <v>36</v>
      </c>
      <c r="C36" s="39" t="s">
        <v>60</v>
      </c>
      <c r="D36" s="132" t="s">
        <v>12</v>
      </c>
      <c r="F36" s="5"/>
      <c r="G36" s="118" t="s">
        <v>36</v>
      </c>
      <c r="H36" s="12" t="s">
        <v>67</v>
      </c>
      <c r="I36" s="132" t="s">
        <v>12</v>
      </c>
      <c r="J36" s="7" t="s">
        <v>37</v>
      </c>
      <c r="K36" s="14"/>
      <c r="L36" s="14"/>
      <c r="M36" s="14"/>
      <c r="N36" s="29"/>
    </row>
    <row r="37" spans="1:14" ht="16.5" thickBot="1" x14ac:dyDescent="0.3">
      <c r="A37" s="6" t="s">
        <v>5</v>
      </c>
      <c r="B37" s="135">
        <v>71000</v>
      </c>
      <c r="C37" s="150">
        <f>FV(E33,C33,,-1)</f>
        <v>3.2433975100275423</v>
      </c>
      <c r="D37" s="133">
        <f>B37*C37</f>
        <v>230281.22321195551</v>
      </c>
      <c r="E37" s="119"/>
      <c r="F37" s="120" t="s">
        <v>16</v>
      </c>
      <c r="G37" s="134">
        <v>1341914</v>
      </c>
      <c r="H37" s="153">
        <f>PMT(A33,C33,,-1)</f>
        <v>8.8274333872722897E-3</v>
      </c>
      <c r="I37" s="133">
        <f>G37*H37</f>
        <v>11845.656446448107</v>
      </c>
      <c r="J37" s="29" t="s">
        <v>38</v>
      </c>
      <c r="K37" s="16"/>
      <c r="L37" s="31"/>
      <c r="M37" s="13"/>
      <c r="N37" s="29"/>
    </row>
    <row r="38" spans="1:14" x14ac:dyDescent="0.25">
      <c r="A38" s="3"/>
      <c r="B38" s="2" t="s">
        <v>36</v>
      </c>
      <c r="C38" s="12" t="s">
        <v>66</v>
      </c>
      <c r="D38" s="132" t="s">
        <v>12</v>
      </c>
      <c r="E38" s="119"/>
      <c r="F38" s="3"/>
      <c r="G38" s="2" t="s">
        <v>36</v>
      </c>
      <c r="H38" s="12" t="s">
        <v>68</v>
      </c>
      <c r="I38" s="132" t="s">
        <v>12</v>
      </c>
      <c r="J38" s="7" t="s">
        <v>39</v>
      </c>
    </row>
    <row r="39" spans="1:14" ht="16.5" thickBot="1" x14ac:dyDescent="0.3">
      <c r="A39" s="105" t="s">
        <v>9</v>
      </c>
      <c r="B39" s="152">
        <f>0.5*D37</f>
        <v>115140.61160597776</v>
      </c>
      <c r="C39" s="150">
        <f xml:space="preserve"> PV(A33,D33,-1)</f>
        <v>11.654568216257124</v>
      </c>
      <c r="D39" s="131">
        <f>B39*C39</f>
        <v>1341914.1124234344</v>
      </c>
      <c r="E39" s="119"/>
      <c r="F39" s="41" t="s">
        <v>31</v>
      </c>
      <c r="G39" s="134">
        <v>1341914</v>
      </c>
      <c r="H39" s="154">
        <f xml:space="preserve"> PV(A33,C33,,-1)</f>
        <v>9.9377332549801231E-2</v>
      </c>
      <c r="I39" s="131">
        <f>G39*H39</f>
        <v>133355.83383123396</v>
      </c>
    </row>
    <row r="40" spans="1:14" ht="16.5" thickBot="1" x14ac:dyDescent="0.3">
      <c r="A40" s="52" t="s">
        <v>40</v>
      </c>
      <c r="B40" s="53"/>
      <c r="C40" s="53"/>
      <c r="D40" s="53"/>
      <c r="E40" s="121"/>
      <c r="F40" s="121"/>
      <c r="G40" s="121"/>
      <c r="H40" s="121"/>
      <c r="I40" s="121"/>
    </row>
    <row r="41" spans="1:14" ht="16.5" thickBot="1" x14ac:dyDescent="0.3">
      <c r="A41" s="56" t="s">
        <v>41</v>
      </c>
      <c r="B41" s="57" t="s">
        <v>69</v>
      </c>
      <c r="C41" s="57">
        <v>500</v>
      </c>
      <c r="D41" s="155">
        <v>0.2</v>
      </c>
      <c r="E41" s="156">
        <f xml:space="preserve"> C41/D41</f>
        <v>2500</v>
      </c>
      <c r="F41" s="57"/>
      <c r="G41" s="57"/>
      <c r="H41" s="57"/>
      <c r="I41" s="130"/>
    </row>
    <row r="42" spans="1:14" ht="16.5" thickBot="1" x14ac:dyDescent="0.3">
      <c r="A42" s="58"/>
      <c r="B42" s="59" t="s">
        <v>70</v>
      </c>
      <c r="C42" s="59">
        <v>250</v>
      </c>
      <c r="D42" s="157">
        <v>0.1</v>
      </c>
      <c r="E42" s="156">
        <f xml:space="preserve"> C42/D42</f>
        <v>2500</v>
      </c>
      <c r="F42" s="59"/>
      <c r="G42" s="59"/>
      <c r="H42" s="59"/>
      <c r="I42" s="70"/>
    </row>
    <row r="43" spans="1:14" ht="16.5" thickBot="1" x14ac:dyDescent="0.3">
      <c r="A43" s="60"/>
      <c r="B43" s="61"/>
      <c r="C43" s="61"/>
      <c r="D43" s="62"/>
      <c r="E43" s="62"/>
      <c r="F43" s="62"/>
      <c r="G43" s="4" t="s">
        <v>42</v>
      </c>
      <c r="H43" s="143">
        <v>2500</v>
      </c>
      <c r="I43" s="144"/>
    </row>
    <row r="44" spans="1:14" x14ac:dyDescent="0.25">
      <c r="A44" s="63" t="s">
        <v>43</v>
      </c>
      <c r="B44" s="57"/>
      <c r="C44" s="57"/>
      <c r="D44" s="57"/>
      <c r="E44" s="64"/>
      <c r="F44" s="57"/>
      <c r="G44" s="65"/>
      <c r="H44" s="65"/>
      <c r="I44" s="66"/>
    </row>
    <row r="45" spans="1:14" x14ac:dyDescent="0.25">
      <c r="A45" s="26" t="s">
        <v>72</v>
      </c>
      <c r="B45" s="68"/>
      <c r="C45" s="27"/>
      <c r="D45" s="27"/>
      <c r="E45" s="27"/>
      <c r="F45" s="59"/>
      <c r="G45" s="69"/>
      <c r="H45" s="69"/>
      <c r="I45" s="70"/>
    </row>
    <row r="46" spans="1:14" x14ac:dyDescent="0.25">
      <c r="A46" s="68" t="s">
        <v>71</v>
      </c>
      <c r="B46" s="68"/>
      <c r="C46" s="26"/>
      <c r="D46" s="27"/>
      <c r="E46" s="68"/>
      <c r="F46" s="68"/>
      <c r="G46" s="68"/>
      <c r="H46" s="68"/>
      <c r="I46" s="71"/>
    </row>
    <row r="47" spans="1:14" x14ac:dyDescent="0.25">
      <c r="A47" s="67"/>
      <c r="B47" s="68"/>
      <c r="C47" s="68"/>
      <c r="D47" s="68"/>
      <c r="E47" s="68"/>
      <c r="F47" s="68"/>
      <c r="G47" s="68"/>
      <c r="H47" s="68"/>
      <c r="I47" s="71"/>
    </row>
    <row r="48" spans="1:14" x14ac:dyDescent="0.25">
      <c r="A48" s="67" t="s">
        <v>73</v>
      </c>
      <c r="B48" s="72"/>
      <c r="C48" s="72" t="s">
        <v>74</v>
      </c>
      <c r="D48" s="72" t="s">
        <v>75</v>
      </c>
      <c r="E48" s="72" t="s">
        <v>76</v>
      </c>
      <c r="F48" s="158" t="s">
        <v>74</v>
      </c>
      <c r="G48" s="72" t="s">
        <v>77</v>
      </c>
      <c r="H48" s="72"/>
      <c r="I48" s="71"/>
    </row>
    <row r="49" spans="1:9" x14ac:dyDescent="0.25">
      <c r="A49" s="67">
        <v>3250</v>
      </c>
      <c r="B49" s="68"/>
      <c r="C49" s="68"/>
      <c r="D49" s="159">
        <v>7.0000000000000007E-2</v>
      </c>
      <c r="E49" s="68"/>
      <c r="F49" s="68">
        <v>18</v>
      </c>
      <c r="G49" s="96">
        <f>FV(D49,F49,,-1)</f>
        <v>3.3799322757325352</v>
      </c>
      <c r="H49" s="73"/>
      <c r="I49" s="160">
        <f>A49*G49</f>
        <v>10984.77989613074</v>
      </c>
    </row>
    <row r="50" spans="1:9" x14ac:dyDescent="0.25">
      <c r="A50" s="67">
        <v>3250</v>
      </c>
      <c r="B50" s="68"/>
      <c r="C50" s="68">
        <v>13</v>
      </c>
      <c r="D50" s="159">
        <v>7.0000000000000007E-2</v>
      </c>
      <c r="E50" s="96">
        <f>FV(D50,C50,-1)</f>
        <v>20.140642859829732</v>
      </c>
      <c r="F50" s="73">
        <v>6</v>
      </c>
      <c r="G50" s="96">
        <f>FV(D50,F50,,-1)</f>
        <v>1.5007303518490001</v>
      </c>
      <c r="H50" s="27"/>
      <c r="I50" s="160">
        <f>A50*G50*E50</f>
        <v>98233.440647866315</v>
      </c>
    </row>
    <row r="51" spans="1:9" x14ac:dyDescent="0.25">
      <c r="A51" s="67">
        <v>1300</v>
      </c>
      <c r="B51" s="68"/>
      <c r="C51" s="68"/>
      <c r="D51" s="159">
        <v>7.0000000000000007E-2</v>
      </c>
      <c r="E51" s="68"/>
      <c r="F51" s="68">
        <v>5</v>
      </c>
      <c r="G51" s="96">
        <f>FV(D51,F51,,-1)</f>
        <v>1.4025517307000002</v>
      </c>
      <c r="H51" s="73"/>
      <c r="I51" s="160">
        <f t="shared" ref="I51" si="1">A51*G51</f>
        <v>1823.3172499100003</v>
      </c>
    </row>
    <row r="52" spans="1:9" x14ac:dyDescent="0.25">
      <c r="A52" s="67"/>
      <c r="B52" s="68"/>
      <c r="C52" s="68"/>
      <c r="D52" s="68"/>
      <c r="E52" s="68"/>
      <c r="F52" s="68"/>
      <c r="G52" s="68"/>
      <c r="H52" s="74"/>
      <c r="I52" s="75"/>
    </row>
    <row r="53" spans="1:9" ht="16.5" thickBot="1" x14ac:dyDescent="0.3">
      <c r="A53" s="67"/>
      <c r="B53" s="68"/>
      <c r="C53" s="68"/>
      <c r="D53" s="68"/>
      <c r="E53" s="68"/>
      <c r="F53" s="68"/>
      <c r="G53" s="68"/>
      <c r="H53" s="68"/>
      <c r="I53" s="71"/>
    </row>
    <row r="54" spans="1:9" ht="16.5" thickBot="1" x14ac:dyDescent="0.3">
      <c r="A54" s="60"/>
      <c r="B54" s="61"/>
      <c r="C54" s="61"/>
      <c r="D54" s="62"/>
      <c r="E54" s="62"/>
      <c r="F54" s="62"/>
      <c r="G54" s="4" t="s">
        <v>44</v>
      </c>
      <c r="H54" s="143">
        <f>SUM(I49:I51)</f>
        <v>111041.53779390706</v>
      </c>
      <c r="I54" s="144"/>
    </row>
    <row r="55" spans="1:9" x14ac:dyDescent="0.25">
      <c r="A55" s="67" t="s">
        <v>45</v>
      </c>
      <c r="B55" s="59"/>
      <c r="C55" s="59"/>
      <c r="D55" s="59"/>
      <c r="E55" s="59"/>
      <c r="F55" s="59"/>
      <c r="G55" s="69"/>
      <c r="H55" s="69"/>
      <c r="I55" s="70"/>
    </row>
    <row r="56" spans="1:9" x14ac:dyDescent="0.25">
      <c r="A56" s="67" t="s">
        <v>78</v>
      </c>
      <c r="B56" s="161">
        <v>2.1000000000000001E-2</v>
      </c>
      <c r="C56" s="64"/>
      <c r="D56" s="59" t="s">
        <v>79</v>
      </c>
      <c r="E56" s="157">
        <v>0.2</v>
      </c>
      <c r="F56" s="59"/>
      <c r="G56" s="69"/>
      <c r="H56" s="69"/>
      <c r="I56" s="70"/>
    </row>
    <row r="57" spans="1:9" x14ac:dyDescent="0.25">
      <c r="A57" s="67" t="s">
        <v>80</v>
      </c>
      <c r="B57" s="162">
        <f>PV(B56,F49,,-H54)</f>
        <v>76387.467165954062</v>
      </c>
      <c r="C57" s="64"/>
      <c r="D57" s="59"/>
      <c r="E57" s="59"/>
      <c r="F57" s="59"/>
      <c r="G57" s="69"/>
      <c r="H57" s="69"/>
      <c r="I57" s="70"/>
    </row>
    <row r="58" spans="1:9" ht="16.5" thickBot="1" x14ac:dyDescent="0.3">
      <c r="A58" s="67" t="s">
        <v>81</v>
      </c>
      <c r="B58" s="64"/>
      <c r="C58" s="76"/>
      <c r="D58" s="59"/>
      <c r="E58" s="59"/>
      <c r="F58" s="59"/>
      <c r="G58" s="69"/>
      <c r="H58" s="69"/>
      <c r="I58" s="70"/>
    </row>
    <row r="59" spans="1:9" ht="16.5" thickBot="1" x14ac:dyDescent="0.3">
      <c r="A59" s="60"/>
      <c r="B59" s="61"/>
      <c r="C59" s="61"/>
      <c r="D59" s="62"/>
      <c r="E59" s="62"/>
      <c r="F59" s="62"/>
      <c r="G59" s="4" t="s">
        <v>46</v>
      </c>
      <c r="H59" s="143">
        <f xml:space="preserve"> B57/E56</f>
        <v>381937.33582977031</v>
      </c>
      <c r="I59" s="144"/>
    </row>
    <row r="60" spans="1:9" ht="16.5" thickBot="1" x14ac:dyDescent="0.3">
      <c r="A60" s="52" t="s">
        <v>47</v>
      </c>
      <c r="B60" s="53"/>
      <c r="C60" s="53"/>
      <c r="D60" s="53"/>
      <c r="E60" s="122" t="s">
        <v>48</v>
      </c>
      <c r="F60" s="53"/>
      <c r="G60" s="53"/>
      <c r="H60" s="53"/>
      <c r="I60" s="53"/>
    </row>
    <row r="61" spans="1:9" x14ac:dyDescent="0.25">
      <c r="A61" s="77"/>
      <c r="B61" s="78"/>
      <c r="C61" s="78"/>
      <c r="D61" s="78"/>
      <c r="E61" s="78"/>
      <c r="F61" s="78"/>
      <c r="G61" s="78"/>
      <c r="H61" s="78"/>
      <c r="I61" s="79"/>
    </row>
    <row r="62" spans="1:9" x14ac:dyDescent="0.25">
      <c r="A62" s="82"/>
      <c r="B62" s="126"/>
      <c r="C62" s="80"/>
      <c r="D62" s="80"/>
      <c r="E62" s="126"/>
      <c r="F62" s="80"/>
      <c r="G62" s="125"/>
      <c r="H62" s="129"/>
      <c r="I62" s="124"/>
    </row>
    <row r="63" spans="1:9" x14ac:dyDescent="0.25">
      <c r="A63" s="82"/>
      <c r="B63" s="126"/>
      <c r="C63" s="80"/>
      <c r="D63" s="80"/>
      <c r="E63" s="126"/>
      <c r="F63" s="80"/>
      <c r="G63" s="125"/>
      <c r="H63" s="125"/>
      <c r="I63" s="124"/>
    </row>
    <row r="64" spans="1:9" x14ac:dyDescent="0.25">
      <c r="A64" s="82"/>
      <c r="B64" s="126"/>
      <c r="C64" s="80"/>
      <c r="D64" s="80"/>
      <c r="E64" s="128"/>
      <c r="F64" s="80"/>
      <c r="G64" s="125"/>
      <c r="H64" s="125"/>
      <c r="I64" s="124"/>
    </row>
    <row r="65" spans="1:9" x14ac:dyDescent="0.25">
      <c r="A65" s="82"/>
      <c r="B65" s="127"/>
      <c r="C65" s="80"/>
      <c r="D65" s="80"/>
      <c r="E65" s="126"/>
      <c r="F65" s="80"/>
      <c r="G65" s="125"/>
      <c r="H65" s="125"/>
      <c r="I65" s="124"/>
    </row>
    <row r="66" spans="1:9" x14ac:dyDescent="0.25">
      <c r="A66" s="82"/>
      <c r="B66" s="127"/>
      <c r="C66" s="80"/>
      <c r="D66" s="80"/>
      <c r="E66" s="126"/>
      <c r="F66" s="80"/>
      <c r="G66" s="125"/>
      <c r="H66" s="125"/>
      <c r="I66" s="124"/>
    </row>
    <row r="67" spans="1:9" x14ac:dyDescent="0.25">
      <c r="A67" s="82"/>
      <c r="B67" s="126"/>
      <c r="C67" s="80"/>
      <c r="D67" s="80"/>
      <c r="E67" s="126"/>
      <c r="F67" s="80"/>
      <c r="G67" s="125"/>
      <c r="H67" s="125"/>
      <c r="I67" s="124"/>
    </row>
    <row r="68" spans="1:9" x14ac:dyDescent="0.25">
      <c r="A68" s="82"/>
      <c r="B68" s="126"/>
      <c r="C68" s="80"/>
      <c r="D68" s="80"/>
      <c r="E68" s="126"/>
      <c r="F68" s="80"/>
      <c r="G68" s="125"/>
      <c r="H68" s="125"/>
      <c r="I68" s="124"/>
    </row>
    <row r="69" spans="1:9" x14ac:dyDescent="0.25">
      <c r="A69" s="82"/>
      <c r="B69" s="126"/>
      <c r="C69" s="80"/>
      <c r="D69" s="80"/>
      <c r="E69" s="80"/>
      <c r="F69" s="80"/>
      <c r="G69" s="125"/>
      <c r="H69" s="125"/>
      <c r="I69" s="124"/>
    </row>
    <row r="70" spans="1:9" x14ac:dyDescent="0.25">
      <c r="A70" s="82"/>
      <c r="B70" s="80"/>
      <c r="C70" s="80"/>
      <c r="D70" s="80"/>
      <c r="E70" s="80"/>
      <c r="F70" s="80"/>
      <c r="G70" s="125"/>
      <c r="H70" s="125"/>
      <c r="I70" s="124"/>
    </row>
    <row r="71" spans="1:9" x14ac:dyDescent="0.25">
      <c r="A71" s="82"/>
      <c r="B71" s="80"/>
      <c r="C71" s="80"/>
      <c r="D71" s="80"/>
      <c r="E71" s="80"/>
      <c r="F71" s="80"/>
      <c r="G71" s="125"/>
      <c r="H71" s="125"/>
      <c r="I71" s="124"/>
    </row>
    <row r="72" spans="1:9" x14ac:dyDescent="0.25">
      <c r="A72" s="82"/>
      <c r="B72" s="80"/>
      <c r="C72" s="80"/>
      <c r="D72" s="80"/>
      <c r="E72" s="126"/>
      <c r="F72" s="80"/>
      <c r="G72" s="125"/>
      <c r="H72" s="125"/>
      <c r="I72" s="124"/>
    </row>
    <row r="73" spans="1:9" x14ac:dyDescent="0.25">
      <c r="A73" s="82"/>
      <c r="B73" s="80"/>
      <c r="C73" s="80"/>
      <c r="D73" s="80"/>
      <c r="E73" s="80"/>
      <c r="F73" s="80"/>
      <c r="G73" s="125"/>
      <c r="H73" s="125"/>
      <c r="I73" s="124"/>
    </row>
    <row r="74" spans="1:9" x14ac:dyDescent="0.25">
      <c r="A74" s="82"/>
      <c r="B74" s="80"/>
      <c r="C74" s="80"/>
      <c r="D74" s="80"/>
      <c r="E74" s="80"/>
      <c r="F74" s="80"/>
      <c r="G74" s="80"/>
      <c r="H74" s="80"/>
      <c r="I74" s="81"/>
    </row>
    <row r="75" spans="1:9" x14ac:dyDescent="0.25">
      <c r="A75" s="82"/>
      <c r="B75" s="80"/>
      <c r="C75" s="80"/>
      <c r="D75" s="80"/>
      <c r="E75" s="80"/>
      <c r="F75" s="80"/>
      <c r="G75" s="80"/>
      <c r="H75" s="80"/>
      <c r="I75" s="81"/>
    </row>
    <row r="76" spans="1:9" x14ac:dyDescent="0.25">
      <c r="A76" s="82"/>
      <c r="B76" s="80"/>
      <c r="C76" s="80"/>
      <c r="D76" s="80"/>
      <c r="E76" s="80"/>
      <c r="F76" s="80"/>
      <c r="G76" s="80"/>
      <c r="H76" s="80"/>
      <c r="I76" s="81"/>
    </row>
    <row r="77" spans="1:9" x14ac:dyDescent="0.25">
      <c r="A77" s="82"/>
      <c r="B77" s="80"/>
      <c r="C77" s="80"/>
      <c r="D77" s="80"/>
      <c r="E77" s="80"/>
      <c r="F77" s="80"/>
      <c r="G77" s="80"/>
      <c r="H77" s="80"/>
      <c r="I77" s="81"/>
    </row>
    <row r="78" spans="1:9" x14ac:dyDescent="0.25">
      <c r="A78" s="82"/>
      <c r="B78" s="80"/>
      <c r="C78" s="80"/>
      <c r="D78" s="80"/>
      <c r="E78" s="80"/>
      <c r="F78" s="80"/>
      <c r="G78" s="80"/>
      <c r="H78" s="80"/>
      <c r="I78" s="81"/>
    </row>
    <row r="79" spans="1:9" ht="16.5" thickBot="1" x14ac:dyDescent="0.3">
      <c r="A79" s="82"/>
      <c r="B79" s="80"/>
      <c r="C79" s="80"/>
      <c r="D79" s="80"/>
      <c r="E79" s="80"/>
      <c r="F79" s="80"/>
      <c r="G79" s="80"/>
      <c r="H79" s="80"/>
      <c r="I79" s="81"/>
    </row>
    <row r="80" spans="1:9" ht="16.5" thickBot="1" x14ac:dyDescent="0.3">
      <c r="A80" s="138" t="s">
        <v>49</v>
      </c>
      <c r="B80" s="139"/>
      <c r="C80" s="140"/>
      <c r="D80" s="141"/>
      <c r="E80" s="142"/>
      <c r="F80" s="5"/>
      <c r="G80" s="5"/>
      <c r="H80" s="5"/>
      <c r="I80" s="123"/>
    </row>
  </sheetData>
  <mergeCells count="9">
    <mergeCell ref="A80:C80"/>
    <mergeCell ref="D80:E80"/>
    <mergeCell ref="H59:I59"/>
    <mergeCell ref="B1:C1"/>
    <mergeCell ref="B2:C2"/>
    <mergeCell ref="B3:C3"/>
    <mergeCell ref="B4:D4"/>
    <mergeCell ref="H43:I43"/>
    <mergeCell ref="H54:I54"/>
  </mergeCells>
  <pageMargins left="0.25" right="0.25" top="0.5" bottom="0.5" header="0" footer="0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B762B-C5E3-E948-A398-7A807146D096}">
  <dimension ref="A1"/>
  <sheetViews>
    <sheetView workbookViewId="0">
      <selection activeCell="C7" sqref="C7"/>
    </sheetView>
  </sheetViews>
  <sheetFormatPr baseColWidth="10" defaultColWidth="10.875" defaultRowHeight="15.75" x14ac:dyDescent="0.25"/>
  <sheetData>
    <row r="1" spans="1:1" ht="31.5" x14ac:dyDescent="0.5">
      <c r="A1" s="5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Lab</vt:lpstr>
      <vt:lpstr>Calcul perso</vt:lpstr>
      <vt:lpstr>Lab!Zone_d_impression</vt:lpstr>
    </vt:vector>
  </TitlesOfParts>
  <Manager/>
  <Company>cabinet medical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RAMDANI hassan</dc:creator>
  <cp:keywords/>
  <dc:description/>
  <cp:lastModifiedBy>Nadia Carolina Morales-Loye</cp:lastModifiedBy>
  <cp:revision/>
  <cp:lastPrinted>2022-05-26T15:12:19Z</cp:lastPrinted>
  <dcterms:created xsi:type="dcterms:W3CDTF">2019-02-08T17:30:38Z</dcterms:created>
  <dcterms:modified xsi:type="dcterms:W3CDTF">2022-05-26T15:18:12Z</dcterms:modified>
  <cp:category/>
  <cp:contentStatus/>
</cp:coreProperties>
</file>