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autoCompressPictures="0"/>
  <mc:AlternateContent xmlns:mc="http://schemas.openxmlformats.org/markup-compatibility/2006">
    <mc:Choice Requires="x15">
      <x15ac:absPath xmlns:x15ac="http://schemas.microsoft.com/office/spreadsheetml/2010/11/ac" url="\\ENS02.labos.polymtl.ca\profiles\chdess\profiles\downloads\"/>
    </mc:Choice>
  </mc:AlternateContent>
  <xr:revisionPtr revIDLastSave="0" documentId="13_ncr:1_{6BBAFC54-B19C-4D74-A2F2-34A6758BCAF5}" xr6:coauthVersionLast="36" xr6:coauthVersionMax="36" xr10:uidLastSave="{00000000-0000-0000-0000-000000000000}"/>
  <bookViews>
    <workbookView xWindow="3945" yWindow="3945" windowWidth="25605" windowHeight="14985" tabRatio="500" xr2:uid="{00000000-000D-0000-FFFF-FFFF00000000}"/>
  </bookViews>
  <sheets>
    <sheet name="Lab" sheetId="1" r:id="rId1"/>
    <sheet name="Calcul perso" sheetId="2" r:id="rId2"/>
  </sheets>
  <definedNames>
    <definedName name="_xlnm.Print_Area" localSheetId="0">Lab!$A$1:$K$68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1" i="1" l="1"/>
  <c r="E20" i="1"/>
  <c r="E10" i="1"/>
  <c r="D16" i="2"/>
  <c r="D14" i="2"/>
  <c r="D12" i="2"/>
  <c r="D10" i="2"/>
  <c r="D9" i="2"/>
  <c r="D8" i="2"/>
  <c r="D5" i="2"/>
  <c r="D4" i="2"/>
  <c r="D11" i="2"/>
  <c r="S5" i="2"/>
  <c r="D66" i="1"/>
  <c r="Q6" i="2"/>
  <c r="C61" i="1"/>
  <c r="Q11" i="2"/>
  <c r="I13" i="2" s="1"/>
  <c r="Q8" i="2"/>
  <c r="Q7" i="2"/>
  <c r="Q5" i="2"/>
  <c r="D13" i="2"/>
  <c r="E53" i="1"/>
  <c r="E17" i="1"/>
  <c r="E30" i="1"/>
  <c r="E19" i="1"/>
  <c r="E18" i="1"/>
  <c r="E15" i="1"/>
  <c r="E14" i="1"/>
  <c r="E13" i="1"/>
  <c r="E12" i="1"/>
  <c r="E11" i="1"/>
  <c r="D6" i="2" l="1"/>
  <c r="E50" i="1"/>
  <c r="E52" i="1" s="1"/>
  <c r="E54" i="1" s="1"/>
  <c r="E38" i="1"/>
  <c r="E27" i="1"/>
  <c r="H68" i="1" l="1"/>
  <c r="I68" i="1"/>
</calcChain>
</file>

<file path=xl/sharedStrings.xml><?xml version="1.0" encoding="utf-8"?>
<sst xmlns="http://schemas.openxmlformats.org/spreadsheetml/2006/main" count="76" uniqueCount="66">
  <si>
    <t xml:space="preserve">Matricule : </t>
  </si>
  <si>
    <t xml:space="preserve">Groupe : </t>
  </si>
  <si>
    <t>Variation de la trésorerie</t>
  </si>
  <si>
    <t>Activités opérationnelles</t>
  </si>
  <si>
    <t>Total des activités opérationnelles</t>
  </si>
  <si>
    <t>Activités d'investissement</t>
  </si>
  <si>
    <t>Total des activités d'investissement</t>
  </si>
  <si>
    <t>Activités de financement</t>
  </si>
  <si>
    <t>Total des activités de financement</t>
  </si>
  <si>
    <t>Trésorerie au début</t>
  </si>
  <si>
    <t>Trésorerie à la fin</t>
  </si>
  <si>
    <t>État des flux de trésorerie (méthode indirecte)</t>
  </si>
  <si>
    <t xml:space="preserve">Nom : </t>
  </si>
  <si>
    <t xml:space="preserve">Prénom : </t>
  </si>
  <si>
    <t>Ratio</t>
  </si>
  <si>
    <t>Calcul, questionnement et notes</t>
  </si>
  <si>
    <t>Réponse :</t>
  </si>
  <si>
    <t>Désormeaux</t>
  </si>
  <si>
    <t>Charles-Etienne</t>
  </si>
  <si>
    <t>Khanafer</t>
  </si>
  <si>
    <t>Diab</t>
  </si>
  <si>
    <t>1956442</t>
  </si>
  <si>
    <t>1952548</t>
  </si>
  <si>
    <t>Résultat net</t>
  </si>
  <si>
    <t>Variation de comptes clients</t>
  </si>
  <si>
    <t>Variation de stocks</t>
  </si>
  <si>
    <t>Variation de comptes fournisseurs</t>
  </si>
  <si>
    <t>Variation des charges à payer</t>
  </si>
  <si>
    <t>Variations des charges payées d'avance</t>
  </si>
  <si>
    <t>Éléments sans effets sur la trésorie</t>
  </si>
  <si>
    <t>Amortissement</t>
  </si>
  <si>
    <t>Dépréciation des comptes-clients</t>
  </si>
  <si>
    <t>Gain sur disposition</t>
  </si>
  <si>
    <t>Perte sur disposition</t>
  </si>
  <si>
    <t>Acquisition d'actifs non-courants</t>
  </si>
  <si>
    <t>Disposition d'actifs non-courants</t>
  </si>
  <si>
    <t>Reclassement des produits d'intérêt</t>
  </si>
  <si>
    <t>Du 1er janvier 2021 au 31 décembre 2021 (en $)</t>
  </si>
  <si>
    <t>Compagnie Boule-dog.inc</t>
  </si>
  <si>
    <t>Produit des ventes</t>
  </si>
  <si>
    <t>Coût des ventes</t>
  </si>
  <si>
    <t>Marge brute</t>
  </si>
  <si>
    <t>Salaire</t>
  </si>
  <si>
    <t>Assurance</t>
  </si>
  <si>
    <t>Électricité</t>
  </si>
  <si>
    <t>Amortissements</t>
  </si>
  <si>
    <t>Émission d'actions</t>
  </si>
  <si>
    <t>Frais financiers</t>
  </si>
  <si>
    <t>Versement de dividandes</t>
  </si>
  <si>
    <t>Nouvel emprunt</t>
  </si>
  <si>
    <t>Remboursement d'emprunt</t>
  </si>
  <si>
    <t>Passifs courants</t>
  </si>
  <si>
    <t>salaire a payer + fournisseurs</t>
  </si>
  <si>
    <t>clients net</t>
  </si>
  <si>
    <t>actifs courants</t>
  </si>
  <si>
    <t>stocks de p</t>
  </si>
  <si>
    <t>encaisse</t>
  </si>
  <si>
    <t>payer avance</t>
  </si>
  <si>
    <t>tot</t>
  </si>
  <si>
    <t>Passif courant</t>
  </si>
  <si>
    <t>Actif courant</t>
  </si>
  <si>
    <t>Stock</t>
  </si>
  <si>
    <t>Frais payé d'avance</t>
  </si>
  <si>
    <t>Dep compte</t>
  </si>
  <si>
    <t>perte mat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</si>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</sst>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* #,##0.00_)\ &quot;$&quot;_ ;_ * \(#,##0.00\)\ &quot;$&quot;_ ;_ * &quot;-&quot;??_)\ &quot;$&quot;_ ;_ @_ "/>
    <numFmt numFmtId="43" formatCode="_ * #,##0.00_)\ _$_ ;_ * \(#,##0.00\)\ _$_ ;_ * &quot;-&quot;??_)\ _$_ ;_ @_ "/>
    <numFmt numFmtId="164" formatCode="_ * #,##0_)\ &quot;$&quot;_ ;_ * \(#,##0\)\ &quot;$&quot;_ ;_ * &quot;-&quot;??_)\ &quot;$&quot;_ ;_ @_ "/>
    <numFmt numFmtId="165" formatCode="[$-F800]dddd\,\ mmmm\ dd\,\ yyyy"/>
    <numFmt numFmtId="166" formatCode="h&quot; h &quot;mm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rgb="FF000000"/>
      <name val="Times"/>
      <family val="1"/>
    </font>
    <font>
      <b/>
      <sz val="12"/>
      <color theme="1"/>
      <name val="Times"/>
      <family val="1"/>
    </font>
    <font>
      <sz val="12"/>
      <color theme="1"/>
      <name val="Times"/>
      <family val="1"/>
    </font>
    <font>
      <b/>
      <sz val="9"/>
      <name val="Arial"/>
      <family val="2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Arial"/>
      <family val="2"/>
    </font>
    <font>
      <b/>
      <u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77">
    <xf numFmtId="0" fontId="0" fillId="0" borderId="0" xfId="0"/>
    <xf numFmtId="164" fontId="4" fillId="0" borderId="0" xfId="1" applyNumberFormat="1" applyFont="1" applyBorder="1" applyProtection="1">
      <protection locked="0"/>
    </xf>
    <xf numFmtId="49" fontId="6" fillId="0" borderId="0" xfId="0" applyNumberFormat="1" applyFont="1" applyBorder="1" applyAlignment="1"/>
    <xf numFmtId="49" fontId="5" fillId="0" borderId="0" xfId="0" applyNumberFormat="1" applyFont="1" applyAlignment="1" applyProtection="1">
      <protection locked="0"/>
    </xf>
    <xf numFmtId="49" fontId="7" fillId="0" borderId="0" xfId="0" applyNumberFormat="1" applyFont="1" applyBorder="1" applyAlignment="1" applyProtection="1">
      <protection locked="0"/>
    </xf>
    <xf numFmtId="0" fontId="8" fillId="0" borderId="0" xfId="2" applyFont="1" applyFill="1" applyBorder="1" applyAlignment="1"/>
    <xf numFmtId="49" fontId="10" fillId="0" borderId="0" xfId="0" applyNumberFormat="1" applyFont="1" applyAlignment="1"/>
    <xf numFmtId="49" fontId="2" fillId="0" borderId="0" xfId="0" applyNumberFormat="1" applyFont="1" applyBorder="1" applyAlignment="1"/>
    <xf numFmtId="49" fontId="0" fillId="0" borderId="0" xfId="0" applyNumberFormat="1" applyFont="1" applyBorder="1" applyAlignment="1"/>
    <xf numFmtId="0" fontId="0" fillId="0" borderId="0" xfId="0" applyFont="1"/>
    <xf numFmtId="164" fontId="12" fillId="0" borderId="0" xfId="2" applyNumberFormat="1" applyFont="1" applyFill="1" applyBorder="1"/>
    <xf numFmtId="164" fontId="12" fillId="0" borderId="0" xfId="2" applyNumberFormat="1" applyFont="1" applyFill="1" applyBorder="1" applyProtection="1">
      <protection locked="0"/>
    </xf>
    <xf numFmtId="164" fontId="12" fillId="0" borderId="0" xfId="1" applyNumberFormat="1" applyFont="1" applyFill="1" applyBorder="1" applyProtection="1">
      <protection locked="0"/>
    </xf>
    <xf numFmtId="164" fontId="11" fillId="0" borderId="0" xfId="1" applyNumberFormat="1" applyFont="1" applyFill="1" applyBorder="1" applyProtection="1">
      <protection locked="0"/>
    </xf>
    <xf numFmtId="164" fontId="0" fillId="0" borderId="5" xfId="1" applyNumberFormat="1" applyFont="1" applyBorder="1" applyAlignment="1">
      <alignment vertical="center"/>
    </xf>
    <xf numFmtId="164" fontId="0" fillId="0" borderId="8" xfId="1" applyNumberFormat="1" applyFont="1" applyBorder="1" applyAlignment="1">
      <alignment vertical="center"/>
    </xf>
    <xf numFmtId="49" fontId="0" fillId="0" borderId="0" xfId="0" applyNumberFormat="1" applyFont="1" applyBorder="1" applyAlignment="1" applyProtection="1">
      <protection locked="0"/>
    </xf>
    <xf numFmtId="164" fontId="2" fillId="3" borderId="3" xfId="1" applyNumberFormat="1" applyFont="1" applyFill="1" applyBorder="1" applyAlignment="1">
      <alignment vertical="center"/>
    </xf>
    <xf numFmtId="49" fontId="10" fillId="0" borderId="0" xfId="0" applyNumberFormat="1" applyFont="1" applyAlignment="1">
      <alignment horizontal="right"/>
    </xf>
    <xf numFmtId="164" fontId="2" fillId="5" borderId="9" xfId="1" applyNumberFormat="1" applyFont="1" applyFill="1" applyBorder="1" applyAlignment="1">
      <alignment vertical="center"/>
    </xf>
    <xf numFmtId="49" fontId="10" fillId="0" borderId="0" xfId="0" applyNumberFormat="1" applyFont="1" applyAlignment="1" applyProtection="1">
      <alignment horizontal="left"/>
      <protection locked="0"/>
    </xf>
    <xf numFmtId="0" fontId="13" fillId="5" borderId="4" xfId="2" applyFont="1" applyFill="1" applyBorder="1" applyAlignment="1">
      <alignment horizontal="left" vertical="center"/>
    </xf>
    <xf numFmtId="0" fontId="13" fillId="5" borderId="0" xfId="2" applyFont="1" applyFill="1" applyBorder="1" applyAlignment="1">
      <alignment horizontal="left" vertical="center"/>
    </xf>
    <xf numFmtId="0" fontId="17" fillId="0" borderId="0" xfId="0" applyFont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0" fontId="11" fillId="0" borderId="0" xfId="2" applyFont="1" applyFill="1" applyBorder="1" applyAlignment="1"/>
    <xf numFmtId="0" fontId="12" fillId="0" borderId="0" xfId="2" applyFont="1" applyFill="1" applyBorder="1" applyAlignment="1"/>
    <xf numFmtId="164" fontId="0" fillId="0" borderId="0" xfId="1" applyNumberFormat="1" applyFont="1" applyFill="1" applyBorder="1" applyProtection="1">
      <protection locked="0"/>
    </xf>
    <xf numFmtId="0" fontId="11" fillId="0" borderId="0" xfId="2" applyFont="1" applyFill="1" applyBorder="1" applyAlignment="1" applyProtection="1">
      <alignment vertical="center"/>
      <protection locked="0"/>
    </xf>
    <xf numFmtId="17" fontId="12" fillId="0" borderId="0" xfId="2" applyNumberFormat="1" applyFont="1" applyFill="1" applyBorder="1" applyAlignment="1" applyProtection="1">
      <protection locked="0"/>
    </xf>
    <xf numFmtId="49" fontId="11" fillId="0" borderId="0" xfId="2" applyNumberFormat="1" applyFont="1" applyFill="1" applyBorder="1" applyAlignment="1">
      <alignment vertical="center"/>
    </xf>
    <xf numFmtId="164" fontId="1" fillId="0" borderId="5" xfId="1" applyNumberFormat="1" applyFont="1" applyBorder="1" applyAlignment="1">
      <alignment vertical="center"/>
    </xf>
    <xf numFmtId="43" fontId="2" fillId="2" borderId="10" xfId="15" applyFont="1" applyFill="1" applyBorder="1" applyAlignment="1">
      <alignment horizontal="center"/>
    </xf>
    <xf numFmtId="43" fontId="2" fillId="2" borderId="12" xfId="15" applyFont="1" applyFill="1" applyBorder="1" applyAlignment="1">
      <alignment horizontal="center"/>
    </xf>
    <xf numFmtId="165" fontId="2" fillId="0" borderId="0" xfId="0" applyNumberFormat="1" applyFont="1" applyAlignment="1">
      <alignment horizontal="left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3" fillId="0" borderId="4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14" fillId="4" borderId="4" xfId="2" applyFont="1" applyFill="1" applyBorder="1" applyAlignment="1">
      <alignment horizontal="center" vertical="center"/>
    </xf>
    <xf numFmtId="0" fontId="14" fillId="4" borderId="0" xfId="2" applyFont="1" applyFill="1" applyBorder="1" applyAlignment="1">
      <alignment horizontal="center" vertical="center"/>
    </xf>
    <xf numFmtId="0" fontId="14" fillId="4" borderId="5" xfId="2" applyFont="1" applyFill="1" applyBorder="1" applyAlignment="1">
      <alignment horizontal="center" vertical="center"/>
    </xf>
    <xf numFmtId="0" fontId="13" fillId="5" borderId="4" xfId="2" applyFont="1" applyFill="1" applyBorder="1" applyAlignment="1">
      <alignment horizontal="left" vertical="center"/>
    </xf>
    <xf numFmtId="0" fontId="13" fillId="5" borderId="0" xfId="2" applyFont="1" applyFill="1" applyBorder="1" applyAlignment="1">
      <alignment horizontal="left" vertical="center"/>
    </xf>
    <xf numFmtId="0" fontId="13" fillId="2" borderId="1" xfId="2" applyFont="1" applyFill="1" applyBorder="1" applyAlignment="1">
      <alignment horizontal="center" vertical="center"/>
    </xf>
    <xf numFmtId="0" fontId="13" fillId="2" borderId="2" xfId="2" applyFont="1" applyFill="1" applyBorder="1" applyAlignment="1">
      <alignment horizontal="center" vertical="center"/>
    </xf>
    <xf numFmtId="0" fontId="13" fillId="2" borderId="3" xfId="2" applyFont="1" applyFill="1" applyBorder="1" applyAlignment="1">
      <alignment horizontal="center" vertical="center"/>
    </xf>
    <xf numFmtId="0" fontId="11" fillId="0" borderId="4" xfId="2" applyFont="1" applyFill="1" applyBorder="1" applyAlignment="1">
      <alignment horizontal="center"/>
    </xf>
    <xf numFmtId="0" fontId="11" fillId="0" borderId="0" xfId="2" applyFont="1" applyFill="1" applyBorder="1" applyAlignment="1">
      <alignment horizontal="center"/>
    </xf>
    <xf numFmtId="0" fontId="11" fillId="0" borderId="5" xfId="2" applyFont="1" applyFill="1" applyBorder="1" applyAlignment="1">
      <alignment horizontal="center"/>
    </xf>
    <xf numFmtId="17" fontId="3" fillId="0" borderId="6" xfId="2" applyNumberFormat="1" applyFill="1" applyBorder="1" applyAlignment="1">
      <alignment horizontal="center" vertical="center"/>
    </xf>
    <xf numFmtId="17" fontId="3" fillId="0" borderId="7" xfId="2" applyNumberFormat="1" applyFill="1" applyBorder="1" applyAlignment="1">
      <alignment horizontal="center" vertical="center"/>
    </xf>
    <xf numFmtId="17" fontId="3" fillId="0" borderId="8" xfId="2" applyNumberFormat="1" applyFill="1" applyBorder="1" applyAlignment="1">
      <alignment horizontal="center" vertical="center"/>
    </xf>
    <xf numFmtId="49" fontId="10" fillId="0" borderId="0" xfId="0" applyNumberFormat="1" applyFont="1" applyAlignment="1" applyProtection="1">
      <alignment horizontal="center"/>
      <protection locked="0"/>
    </xf>
    <xf numFmtId="0" fontId="14" fillId="4" borderId="1" xfId="2" applyFont="1" applyFill="1" applyBorder="1" applyAlignment="1">
      <alignment horizontal="center" vertical="center"/>
    </xf>
    <xf numFmtId="0" fontId="14" fillId="4" borderId="2" xfId="2" applyFont="1" applyFill="1" applyBorder="1" applyAlignment="1">
      <alignment horizontal="center" vertical="center"/>
    </xf>
    <xf numFmtId="0" fontId="14" fillId="4" borderId="3" xfId="2" applyFont="1" applyFill="1" applyBorder="1" applyAlignment="1">
      <alignment horizontal="center" vertical="center"/>
    </xf>
    <xf numFmtId="0" fontId="3" fillId="0" borderId="6" xfId="2" applyFont="1" applyFill="1" applyBorder="1" applyAlignment="1">
      <alignment horizontal="left" vertical="center"/>
    </xf>
    <xf numFmtId="0" fontId="3" fillId="0" borderId="7" xfId="2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2" applyFont="1" applyFill="1" applyBorder="1" applyAlignment="1">
      <alignment horizontal="left" vertical="center"/>
    </xf>
    <xf numFmtId="0" fontId="3" fillId="0" borderId="2" xfId="2" applyFont="1" applyFill="1" applyBorder="1" applyAlignment="1">
      <alignment horizontal="left" vertical="center"/>
    </xf>
    <xf numFmtId="0" fontId="14" fillId="0" borderId="4" xfId="2" applyFont="1" applyFill="1" applyBorder="1" applyAlignment="1">
      <alignment horizontal="left" vertical="center"/>
    </xf>
    <xf numFmtId="164" fontId="0" fillId="0" borderId="5" xfId="1" applyNumberFormat="1" applyFont="1" applyBorder="1" applyAlignment="1">
      <alignment horizontal="right" vertical="center"/>
    </xf>
    <xf numFmtId="164" fontId="1" fillId="0" borderId="5" xfId="1" applyNumberFormat="1" applyFont="1" applyFill="1" applyBorder="1" applyAlignment="1">
      <alignment vertical="center"/>
    </xf>
    <xf numFmtId="0" fontId="0" fillId="0" borderId="0" xfId="0" applyFont="1" applyFill="1" applyBorder="1"/>
    <xf numFmtId="164" fontId="2" fillId="0" borderId="5" xfId="1" applyNumberFormat="1" applyFont="1" applyFill="1" applyBorder="1" applyAlignment="1">
      <alignment vertical="center"/>
    </xf>
    <xf numFmtId="164" fontId="0" fillId="0" borderId="5" xfId="1" applyNumberFormat="1" applyFont="1" applyFill="1" applyBorder="1" applyAlignment="1">
      <alignment vertical="center"/>
    </xf>
  </cellXfs>
  <cellStyles count="16"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Milliers" xfId="15" builtinId="3"/>
    <cellStyle name="Monétaire" xfId="1" builtinId="4"/>
    <cellStyle name="Normal" xfId="0" builtinId="0"/>
    <cellStyle name="Normal 2" xfId="2" xr:uid="{00000000-0005-0000-0000-00000E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8"/>
  <sheetViews>
    <sheetView tabSelected="1" view="pageLayout" topLeftCell="A16" workbookViewId="0">
      <selection activeCell="E42" sqref="E42"/>
    </sheetView>
  </sheetViews>
  <sheetFormatPr baseColWidth="10" defaultRowHeight="15.75" x14ac:dyDescent="0.25"/>
  <cols>
    <col min="1" max="1" width="11" style="9" customWidth="1"/>
    <col min="2" max="2" width="22.625" style="9" customWidth="1"/>
    <col min="3" max="4" width="10.875" style="9"/>
    <col min="5" max="5" width="11.125" style="9" bestFit="1" customWidth="1"/>
    <col min="6" max="6" width="10.875" style="9"/>
    <col min="7" max="7" width="6" style="9" customWidth="1"/>
    <col min="8" max="12" width="10.875" style="9"/>
  </cols>
  <sheetData>
    <row r="1" spans="1:16" x14ac:dyDescent="0.25">
      <c r="A1" s="18" t="s">
        <v>12</v>
      </c>
      <c r="B1" s="18" t="s">
        <v>17</v>
      </c>
      <c r="C1" s="20" t="s">
        <v>13</v>
      </c>
      <c r="D1" s="20" t="s">
        <v>18</v>
      </c>
      <c r="E1" s="20"/>
      <c r="F1" s="60"/>
      <c r="G1" s="60"/>
      <c r="H1" s="7" t="s">
        <v>0</v>
      </c>
      <c r="I1" s="16" t="s">
        <v>21</v>
      </c>
      <c r="J1" s="6" t="s">
        <v>1</v>
      </c>
      <c r="K1" s="9">
        <v>7</v>
      </c>
      <c r="L1" s="8"/>
      <c r="M1" s="4"/>
      <c r="N1" s="3"/>
    </row>
    <row r="2" spans="1:16" x14ac:dyDescent="0.25">
      <c r="A2" s="18" t="s">
        <v>12</v>
      </c>
      <c r="B2" s="18" t="s">
        <v>19</v>
      </c>
      <c r="C2" s="20" t="s">
        <v>13</v>
      </c>
      <c r="D2" s="20" t="s">
        <v>20</v>
      </c>
      <c r="E2" s="20"/>
      <c r="F2" s="60"/>
      <c r="G2" s="60"/>
      <c r="H2" s="7" t="s">
        <v>0</v>
      </c>
      <c r="I2" s="16" t="s">
        <v>22</v>
      </c>
      <c r="J2" s="6" t="s">
        <v>1</v>
      </c>
      <c r="K2" s="9">
        <v>7</v>
      </c>
      <c r="L2" s="8"/>
      <c r="M2" s="4"/>
      <c r="N2" s="3"/>
      <c r="O2" s="2"/>
    </row>
    <row r="3" spans="1:16" x14ac:dyDescent="0.25">
      <c r="A3" s="18" t="s">
        <v>12</v>
      </c>
      <c r="B3" s="18"/>
      <c r="C3" s="20" t="s">
        <v>13</v>
      </c>
      <c r="D3" s="20"/>
      <c r="E3" s="20"/>
      <c r="F3" s="60"/>
      <c r="G3" s="60"/>
      <c r="H3" s="7" t="s">
        <v>0</v>
      </c>
      <c r="I3" s="16"/>
      <c r="J3" s="6" t="s">
        <v>1</v>
      </c>
      <c r="L3" s="8"/>
      <c r="M3" s="4"/>
      <c r="N3" s="3"/>
      <c r="O3" s="2"/>
    </row>
    <row r="4" spans="1:16" x14ac:dyDescent="0.25">
      <c r="A4" s="7"/>
      <c r="B4" s="7"/>
    </row>
    <row r="5" spans="1:16" ht="16.5" thickBot="1" x14ac:dyDescent="0.3"/>
    <row r="6" spans="1:16" x14ac:dyDescent="0.25">
      <c r="A6" s="34"/>
      <c r="B6" s="51" t="s">
        <v>38</v>
      </c>
      <c r="C6" s="52"/>
      <c r="D6" s="52"/>
      <c r="E6" s="53"/>
      <c r="F6" s="34"/>
    </row>
    <row r="7" spans="1:16" x14ac:dyDescent="0.25">
      <c r="A7" s="31"/>
      <c r="B7" s="54" t="s">
        <v>11</v>
      </c>
      <c r="C7" s="55"/>
      <c r="D7" s="55"/>
      <c r="E7" s="56"/>
      <c r="F7" s="31"/>
    </row>
    <row r="8" spans="1:16" ht="17.100000000000001" customHeight="1" thickBot="1" x14ac:dyDescent="0.3">
      <c r="A8" s="35"/>
      <c r="B8" s="57" t="s">
        <v>37</v>
      </c>
      <c r="C8" s="58"/>
      <c r="D8" s="58"/>
      <c r="E8" s="59"/>
      <c r="F8" s="35"/>
    </row>
    <row r="9" spans="1:16" x14ac:dyDescent="0.25">
      <c r="A9" s="32"/>
      <c r="B9" s="61" t="s">
        <v>3</v>
      </c>
      <c r="C9" s="62"/>
      <c r="D9" s="62"/>
      <c r="E9" s="63"/>
      <c r="F9" s="36"/>
      <c r="N9" s="1"/>
    </row>
    <row r="10" spans="1:16" x14ac:dyDescent="0.25">
      <c r="A10" s="32"/>
      <c r="B10" s="44" t="s">
        <v>23</v>
      </c>
      <c r="C10" s="45"/>
      <c r="D10" s="45"/>
      <c r="E10" s="75">
        <f>187993</f>
        <v>187993</v>
      </c>
      <c r="F10" s="36"/>
      <c r="N10" s="1"/>
    </row>
    <row r="11" spans="1:16" x14ac:dyDescent="0.25">
      <c r="A11" s="32"/>
      <c r="B11" s="44" t="s">
        <v>24</v>
      </c>
      <c r="C11" s="45"/>
      <c r="D11" s="45"/>
      <c r="E11" s="37">
        <f xml:space="preserve"> 7100 - 6450</f>
        <v>650</v>
      </c>
      <c r="F11" s="36"/>
      <c r="N11" s="1"/>
    </row>
    <row r="12" spans="1:16" x14ac:dyDescent="0.25">
      <c r="A12" s="32"/>
      <c r="B12" s="44" t="s">
        <v>25</v>
      </c>
      <c r="C12" s="45"/>
      <c r="D12" s="45"/>
      <c r="E12" s="72">
        <f xml:space="preserve"> 5085 - 5650</f>
        <v>-565</v>
      </c>
      <c r="F12" s="36"/>
      <c r="N12" s="1"/>
    </row>
    <row r="13" spans="1:16" x14ac:dyDescent="0.25">
      <c r="A13" s="31"/>
      <c r="B13" s="44" t="s">
        <v>26</v>
      </c>
      <c r="C13" s="45"/>
      <c r="D13" s="45"/>
      <c r="E13" s="37">
        <f xml:space="preserve"> 7080-5900</f>
        <v>1180</v>
      </c>
      <c r="F13" s="10"/>
      <c r="P13" s="5"/>
    </row>
    <row r="14" spans="1:16" x14ac:dyDescent="0.25">
      <c r="A14" s="31"/>
      <c r="B14" s="44" t="s">
        <v>27</v>
      </c>
      <c r="C14" s="45"/>
      <c r="D14" s="45"/>
      <c r="E14" s="73">
        <f xml:space="preserve"> (5000+32550+5485+75000) - (4950+29600+5223+71400)</f>
        <v>6862</v>
      </c>
      <c r="F14" s="11"/>
    </row>
    <row r="15" spans="1:16" x14ac:dyDescent="0.25">
      <c r="A15" s="32"/>
      <c r="B15" s="44" t="s">
        <v>28</v>
      </c>
      <c r="C15" s="45"/>
      <c r="D15" s="45"/>
      <c r="E15" s="76">
        <f>(6250+285200)-(5950+271600)</f>
        <v>13900</v>
      </c>
      <c r="F15" s="12"/>
    </row>
    <row r="16" spans="1:16" x14ac:dyDescent="0.25">
      <c r="A16" s="32"/>
      <c r="B16" s="71" t="s">
        <v>29</v>
      </c>
      <c r="C16" s="45"/>
      <c r="D16" s="45"/>
      <c r="E16" s="37"/>
      <c r="F16" s="12"/>
    </row>
    <row r="17" spans="1:6" x14ac:dyDescent="0.25">
      <c r="A17" s="32"/>
      <c r="B17" s="44" t="s">
        <v>30</v>
      </c>
      <c r="C17" s="45"/>
      <c r="D17" s="45"/>
      <c r="E17" s="37">
        <f>47664-37112</f>
        <v>10552</v>
      </c>
      <c r="F17" s="12"/>
    </row>
    <row r="18" spans="1:6" x14ac:dyDescent="0.25">
      <c r="A18" s="32"/>
      <c r="B18" s="44" t="s">
        <v>31</v>
      </c>
      <c r="C18" s="45"/>
      <c r="D18" s="45"/>
      <c r="E18" s="37">
        <f xml:space="preserve"> 65-84</f>
        <v>-19</v>
      </c>
      <c r="F18" s="12"/>
    </row>
    <row r="19" spans="1:6" x14ac:dyDescent="0.25">
      <c r="A19" s="32"/>
      <c r="B19" s="44" t="s">
        <v>32</v>
      </c>
      <c r="C19" s="45"/>
      <c r="D19" s="45"/>
      <c r="E19" s="37">
        <f>2660</f>
        <v>2660</v>
      </c>
      <c r="F19" s="12"/>
    </row>
    <row r="20" spans="1:6" x14ac:dyDescent="0.25">
      <c r="A20" s="32"/>
      <c r="B20" s="44" t="s">
        <v>33</v>
      </c>
      <c r="C20" s="45"/>
      <c r="D20" s="45"/>
      <c r="E20" s="73">
        <f>0</f>
        <v>0</v>
      </c>
      <c r="F20" s="12"/>
    </row>
    <row r="21" spans="1:6" x14ac:dyDescent="0.25">
      <c r="A21" s="32"/>
      <c r="B21" s="44"/>
      <c r="C21" s="45"/>
      <c r="D21" s="45"/>
      <c r="E21" s="37"/>
      <c r="F21" s="12"/>
    </row>
    <row r="22" spans="1:6" x14ac:dyDescent="0.25">
      <c r="A22" s="32"/>
      <c r="B22" s="44"/>
      <c r="C22" s="45"/>
      <c r="D22" s="45"/>
      <c r="E22" s="37"/>
      <c r="F22" s="33"/>
    </row>
    <row r="23" spans="1:6" x14ac:dyDescent="0.25">
      <c r="A23" s="31"/>
      <c r="B23" s="44"/>
      <c r="C23" s="45"/>
      <c r="D23" s="45"/>
      <c r="E23" s="37"/>
      <c r="F23" s="13"/>
    </row>
    <row r="24" spans="1:6" x14ac:dyDescent="0.25">
      <c r="A24" s="31"/>
      <c r="B24" s="44"/>
      <c r="C24" s="45"/>
      <c r="D24" s="45"/>
      <c r="E24" s="37"/>
      <c r="F24" s="13"/>
    </row>
    <row r="25" spans="1:6" x14ac:dyDescent="0.25">
      <c r="A25" s="31"/>
      <c r="B25" s="44"/>
      <c r="C25" s="45"/>
      <c r="D25" s="45"/>
      <c r="E25" s="37"/>
      <c r="F25" s="12"/>
    </row>
    <row r="26" spans="1:6" x14ac:dyDescent="0.25">
      <c r="A26" s="31"/>
      <c r="B26" s="44"/>
      <c r="C26" s="45"/>
      <c r="D26" s="45"/>
      <c r="E26" s="37"/>
      <c r="F26" s="12"/>
    </row>
    <row r="27" spans="1:6" x14ac:dyDescent="0.25">
      <c r="A27" s="31"/>
      <c r="B27" s="21" t="s">
        <v>4</v>
      </c>
      <c r="C27" s="22"/>
      <c r="D27" s="22"/>
      <c r="E27" s="19">
        <f>SUM(E10:E26)</f>
        <v>223213</v>
      </c>
      <c r="F27" s="12"/>
    </row>
    <row r="28" spans="1:6" x14ac:dyDescent="0.25">
      <c r="A28" s="31"/>
      <c r="B28" s="46" t="s">
        <v>5</v>
      </c>
      <c r="C28" s="47"/>
      <c r="D28" s="47"/>
      <c r="E28" s="48"/>
      <c r="F28" s="12"/>
    </row>
    <row r="29" spans="1:6" x14ac:dyDescent="0.25">
      <c r="A29" s="31"/>
      <c r="B29" s="44" t="s">
        <v>34</v>
      </c>
      <c r="C29" s="45"/>
      <c r="D29" s="45"/>
      <c r="E29" s="37">
        <v>-102200</v>
      </c>
      <c r="F29" s="12"/>
    </row>
    <row r="30" spans="1:6" x14ac:dyDescent="0.25">
      <c r="A30" s="31"/>
      <c r="B30" s="44" t="s">
        <v>35</v>
      </c>
      <c r="C30" s="45"/>
      <c r="D30" s="45"/>
      <c r="E30" s="37">
        <f xml:space="preserve"> 115500-(191100-102200)</f>
        <v>26600</v>
      </c>
      <c r="F30" s="12"/>
    </row>
    <row r="31" spans="1:6" x14ac:dyDescent="0.25">
      <c r="A31" s="31"/>
      <c r="B31" s="44" t="s">
        <v>36</v>
      </c>
      <c r="C31" s="45"/>
      <c r="D31" s="45"/>
      <c r="E31" s="37">
        <v>0</v>
      </c>
      <c r="F31" s="12"/>
    </row>
    <row r="32" spans="1:6" x14ac:dyDescent="0.25">
      <c r="A32" s="31"/>
      <c r="B32" s="44"/>
      <c r="C32" s="45"/>
      <c r="D32" s="45"/>
      <c r="E32" s="37"/>
      <c r="F32" s="12"/>
    </row>
    <row r="33" spans="1:6" x14ac:dyDescent="0.25">
      <c r="A33" s="31"/>
      <c r="B33" s="44"/>
      <c r="C33" s="45"/>
      <c r="D33" s="45"/>
      <c r="E33" s="37"/>
      <c r="F33" s="12"/>
    </row>
    <row r="34" spans="1:6" x14ac:dyDescent="0.25">
      <c r="A34" s="31"/>
      <c r="B34" s="44"/>
      <c r="C34" s="45"/>
      <c r="D34" s="45"/>
      <c r="E34" s="37"/>
      <c r="F34" s="12"/>
    </row>
    <row r="35" spans="1:6" x14ac:dyDescent="0.25">
      <c r="A35" s="31"/>
      <c r="B35" s="44"/>
      <c r="C35" s="45"/>
      <c r="D35" s="45"/>
      <c r="E35" s="37"/>
      <c r="F35" s="12"/>
    </row>
    <row r="36" spans="1:6" x14ac:dyDescent="0.25">
      <c r="A36" s="31"/>
      <c r="B36" s="44"/>
      <c r="C36" s="45"/>
      <c r="D36" s="45"/>
      <c r="E36" s="37"/>
      <c r="F36" s="13"/>
    </row>
    <row r="37" spans="1:6" ht="17.100000000000001" customHeight="1" x14ac:dyDescent="0.25">
      <c r="A37" s="31"/>
      <c r="B37" s="44"/>
      <c r="C37" s="45"/>
      <c r="D37" s="45"/>
      <c r="E37" s="37"/>
      <c r="F37" s="13"/>
    </row>
    <row r="38" spans="1:6" x14ac:dyDescent="0.25">
      <c r="A38" s="31"/>
      <c r="B38" s="49" t="s">
        <v>6</v>
      </c>
      <c r="C38" s="50"/>
      <c r="D38" s="50"/>
      <c r="E38" s="19">
        <f>SUM(E29:E37)</f>
        <v>-75600</v>
      </c>
      <c r="F38" s="33"/>
    </row>
    <row r="39" spans="1:6" x14ac:dyDescent="0.25">
      <c r="A39" s="31"/>
      <c r="B39" s="46" t="s">
        <v>7</v>
      </c>
      <c r="C39" s="47"/>
      <c r="D39" s="47"/>
      <c r="E39" s="48"/>
      <c r="F39" s="33"/>
    </row>
    <row r="40" spans="1:6" x14ac:dyDescent="0.25">
      <c r="A40" s="31"/>
      <c r="B40" s="44" t="s">
        <v>46</v>
      </c>
      <c r="C40" s="45"/>
      <c r="D40" s="45"/>
      <c r="E40" s="14"/>
      <c r="F40" s="12"/>
    </row>
    <row r="41" spans="1:6" x14ac:dyDescent="0.25">
      <c r="A41" s="31"/>
      <c r="B41" s="44" t="s">
        <v>48</v>
      </c>
      <c r="C41" s="45"/>
      <c r="D41" s="45"/>
      <c r="E41" s="14">
        <f>6859-4517</f>
        <v>2342</v>
      </c>
      <c r="F41" s="12"/>
    </row>
    <row r="42" spans="1:6" x14ac:dyDescent="0.25">
      <c r="A42" s="31"/>
      <c r="B42" s="44" t="s">
        <v>49</v>
      </c>
      <c r="C42" s="45"/>
      <c r="D42" s="45"/>
      <c r="E42" s="14">
        <v>0</v>
      </c>
      <c r="F42" s="12"/>
    </row>
    <row r="43" spans="1:6" x14ac:dyDescent="0.25">
      <c r="A43" s="31"/>
      <c r="B43" s="44" t="s">
        <v>50</v>
      </c>
      <c r="C43" s="45"/>
      <c r="D43" s="45"/>
      <c r="E43" s="14">
        <v>0</v>
      </c>
      <c r="F43" s="12"/>
    </row>
    <row r="44" spans="1:6" x14ac:dyDescent="0.25">
      <c r="A44" s="31"/>
      <c r="B44" s="44" t="s">
        <v>47</v>
      </c>
      <c r="C44" s="45"/>
      <c r="D44" s="45"/>
      <c r="E44" s="14"/>
      <c r="F44" s="12"/>
    </row>
    <row r="45" spans="1:6" x14ac:dyDescent="0.25">
      <c r="A45" s="31"/>
      <c r="B45" s="44"/>
      <c r="C45" s="45"/>
      <c r="D45" s="45"/>
      <c r="E45" s="14"/>
      <c r="F45" s="12"/>
    </row>
    <row r="46" spans="1:6" x14ac:dyDescent="0.25">
      <c r="A46" s="31"/>
      <c r="B46" s="44"/>
      <c r="C46" s="45"/>
      <c r="D46" s="45"/>
      <c r="E46" s="14"/>
      <c r="F46" s="12"/>
    </row>
    <row r="47" spans="1:6" x14ac:dyDescent="0.25">
      <c r="A47" s="31"/>
      <c r="B47" s="44"/>
      <c r="C47" s="45"/>
      <c r="D47" s="45"/>
      <c r="E47" s="14"/>
      <c r="F47" s="12"/>
    </row>
    <row r="48" spans="1:6" x14ac:dyDescent="0.25">
      <c r="A48" s="31"/>
      <c r="B48" s="44"/>
      <c r="C48" s="45"/>
      <c r="D48" s="45"/>
      <c r="E48" s="14"/>
      <c r="F48" s="13"/>
    </row>
    <row r="49" spans="1:6" x14ac:dyDescent="0.25">
      <c r="A49" s="31"/>
      <c r="B49" s="44"/>
      <c r="C49" s="45"/>
      <c r="D49" s="45"/>
      <c r="E49" s="14"/>
      <c r="F49" s="13"/>
    </row>
    <row r="50" spans="1:6" x14ac:dyDescent="0.25">
      <c r="A50" s="32"/>
      <c r="B50" s="49" t="s">
        <v>8</v>
      </c>
      <c r="C50" s="50"/>
      <c r="D50" s="50"/>
      <c r="E50" s="19">
        <f>SUM(E40:E49)</f>
        <v>2342</v>
      </c>
      <c r="F50" s="12"/>
    </row>
    <row r="51" spans="1:6" ht="16.5" thickBot="1" x14ac:dyDescent="0.3">
      <c r="A51" s="32"/>
      <c r="B51" s="66"/>
      <c r="C51" s="67"/>
      <c r="D51" s="67"/>
      <c r="E51" s="68"/>
      <c r="F51" s="12"/>
    </row>
    <row r="52" spans="1:6" x14ac:dyDescent="0.25">
      <c r="A52" s="32"/>
      <c r="B52" s="69" t="s">
        <v>2</v>
      </c>
      <c r="C52" s="70"/>
      <c r="D52" s="70"/>
      <c r="E52" s="17">
        <f>E27+E38+E50</f>
        <v>149955</v>
      </c>
      <c r="F52" s="12"/>
    </row>
    <row r="53" spans="1:6" x14ac:dyDescent="0.25">
      <c r="A53" s="32"/>
      <c r="B53" s="44" t="s">
        <v>9</v>
      </c>
      <c r="C53" s="45"/>
      <c r="D53" s="45"/>
      <c r="E53" s="14">
        <f>10800+29600</f>
        <v>40400</v>
      </c>
      <c r="F53" s="12"/>
    </row>
    <row r="54" spans="1:6" ht="16.5" thickBot="1" x14ac:dyDescent="0.3">
      <c r="A54" s="31"/>
      <c r="B54" s="64" t="s">
        <v>10</v>
      </c>
      <c r="C54" s="65"/>
      <c r="D54" s="65"/>
      <c r="E54" s="15">
        <f>E52+E53</f>
        <v>190355</v>
      </c>
      <c r="F54" s="13"/>
    </row>
    <row r="55" spans="1:6" x14ac:dyDescent="0.25">
      <c r="A55" s="31"/>
      <c r="B55" s="31"/>
      <c r="C55" s="13"/>
      <c r="D55" s="13"/>
      <c r="E55" s="13"/>
      <c r="F55" s="13"/>
    </row>
    <row r="56" spans="1:6" x14ac:dyDescent="0.25">
      <c r="A56" s="32"/>
      <c r="B56" s="32"/>
      <c r="C56" s="12"/>
      <c r="D56" s="12"/>
      <c r="E56" s="12"/>
      <c r="F56" s="12"/>
    </row>
    <row r="57" spans="1:6" ht="16.5" thickBot="1" x14ac:dyDescent="0.3"/>
    <row r="58" spans="1:6" ht="16.5" thickBot="1" x14ac:dyDescent="0.3">
      <c r="A58" s="41" t="s">
        <v>14</v>
      </c>
      <c r="B58" s="42"/>
      <c r="C58" s="42"/>
      <c r="D58" s="42"/>
      <c r="E58" s="43"/>
    </row>
    <row r="59" spans="1:6" x14ac:dyDescent="0.25">
      <c r="A59" s="24"/>
      <c r="B59" s="25" t="s">
        <v>60</v>
      </c>
      <c r="C59" s="25">
        <v>15091</v>
      </c>
      <c r="D59" s="25"/>
      <c r="E59" s="26"/>
    </row>
    <row r="60" spans="1:6" x14ac:dyDescent="0.25">
      <c r="A60" s="24"/>
      <c r="B60" s="25" t="s">
        <v>59</v>
      </c>
      <c r="C60" s="25">
        <v>1442</v>
      </c>
      <c r="D60" s="25"/>
      <c r="E60" s="26"/>
    </row>
    <row r="61" spans="1:6" x14ac:dyDescent="0.25">
      <c r="A61" s="24"/>
      <c r="B61" s="25" t="s">
        <v>61</v>
      </c>
      <c r="C61" s="25">
        <f xml:space="preserve"> 5085 - 5650</f>
        <v>-565</v>
      </c>
      <c r="D61" s="25"/>
      <c r="E61" s="26"/>
    </row>
    <row r="62" spans="1:6" x14ac:dyDescent="0.25">
      <c r="A62" s="24"/>
      <c r="B62" s="74" t="s">
        <v>62</v>
      </c>
      <c r="C62" s="25">
        <v>13900</v>
      </c>
      <c r="D62" s="25"/>
      <c r="E62" s="26"/>
    </row>
    <row r="63" spans="1:6" x14ac:dyDescent="0.25">
      <c r="A63" s="24"/>
      <c r="B63" s="25"/>
      <c r="C63" s="25"/>
      <c r="D63" s="25"/>
      <c r="E63" s="26"/>
    </row>
    <row r="64" spans="1:6" x14ac:dyDescent="0.25">
      <c r="A64" s="24"/>
      <c r="B64" s="25"/>
      <c r="C64" s="25"/>
      <c r="D64" s="25"/>
      <c r="E64" s="26"/>
    </row>
    <row r="65" spans="1:11" ht="16.5" thickBot="1" x14ac:dyDescent="0.3">
      <c r="A65" s="24"/>
      <c r="B65" s="25"/>
      <c r="C65" s="25"/>
      <c r="D65" s="25"/>
      <c r="E65" s="26"/>
    </row>
    <row r="66" spans="1:11" ht="16.5" thickBot="1" x14ac:dyDescent="0.3">
      <c r="A66" s="27"/>
      <c r="B66" s="28"/>
      <c r="C66" s="29" t="s">
        <v>16</v>
      </c>
      <c r="D66" s="38">
        <f xml:space="preserve"> (C59-C61-C62)/C60</f>
        <v>1.2177531206657419</v>
      </c>
      <c r="E66" s="39"/>
    </row>
    <row r="68" spans="1:11" x14ac:dyDescent="0.25">
      <c r="H68" s="30">
        <f ca="1">NOW()</f>
        <v>44603.729137615737</v>
      </c>
      <c r="I68" s="40">
        <f ca="1">NOW()</f>
        <v>44603.729137615737</v>
      </c>
      <c r="J68" s="40"/>
      <c r="K68" s="40"/>
    </row>
  </sheetData>
  <mergeCells count="54">
    <mergeCell ref="B54:D54"/>
    <mergeCell ref="B48:D48"/>
    <mergeCell ref="B49:D49"/>
    <mergeCell ref="B30:D30"/>
    <mergeCell ref="B31:D31"/>
    <mergeCell ref="B32:D32"/>
    <mergeCell ref="B41:D41"/>
    <mergeCell ref="B42:D42"/>
    <mergeCell ref="B40:D40"/>
    <mergeCell ref="B43:D43"/>
    <mergeCell ref="B44:D44"/>
    <mergeCell ref="B51:E51"/>
    <mergeCell ref="B52:D52"/>
    <mergeCell ref="B53:D53"/>
    <mergeCell ref="B22:D22"/>
    <mergeCell ref="B23:D23"/>
    <mergeCell ref="B24:D24"/>
    <mergeCell ref="B28:E28"/>
    <mergeCell ref="B29:D29"/>
    <mergeCell ref="B17:D17"/>
    <mergeCell ref="B18:D18"/>
    <mergeCell ref="B19:D19"/>
    <mergeCell ref="B20:D20"/>
    <mergeCell ref="B21:D21"/>
    <mergeCell ref="B9:E9"/>
    <mergeCell ref="B13:D13"/>
    <mergeCell ref="B14:D14"/>
    <mergeCell ref="B15:D15"/>
    <mergeCell ref="B16:D16"/>
    <mergeCell ref="B10:D10"/>
    <mergeCell ref="B11:D11"/>
    <mergeCell ref="B12:D12"/>
    <mergeCell ref="B6:E6"/>
    <mergeCell ref="B7:E7"/>
    <mergeCell ref="B8:E8"/>
    <mergeCell ref="F1:G1"/>
    <mergeCell ref="F2:G2"/>
    <mergeCell ref="F3:G3"/>
    <mergeCell ref="D66:E66"/>
    <mergeCell ref="I68:K68"/>
    <mergeCell ref="A58:E58"/>
    <mergeCell ref="B25:D25"/>
    <mergeCell ref="B26:D26"/>
    <mergeCell ref="B36:D36"/>
    <mergeCell ref="B37:D37"/>
    <mergeCell ref="B33:D33"/>
    <mergeCell ref="B34:D34"/>
    <mergeCell ref="B39:E39"/>
    <mergeCell ref="B50:D50"/>
    <mergeCell ref="B35:D35"/>
    <mergeCell ref="B45:D45"/>
    <mergeCell ref="B46:D46"/>
    <mergeCell ref="B47:D47"/>
    <mergeCell ref="B38:D38"/>
  </mergeCells>
  <phoneticPr fontId="9" type="noConversion"/>
  <pageMargins left="0.2" right="0.2" top="0.2" bottom="0.2" header="0" footer="0"/>
  <pageSetup scale="71" orientation="portrait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00FD-039F-BC4F-8008-399F8DED44F9}">
  <dimension ref="A1:S16"/>
  <sheetViews>
    <sheetView workbookViewId="0">
      <selection activeCell="D17" sqref="D17"/>
    </sheetView>
  </sheetViews>
  <sheetFormatPr baseColWidth="10" defaultRowHeight="15.75" x14ac:dyDescent="0.25"/>
  <sheetData>
    <row r="1" spans="1:19" ht="31.5" x14ac:dyDescent="0.5">
      <c r="A1" s="23" t="s">
        <v>15</v>
      </c>
    </row>
    <row r="3" spans="1:19" x14ac:dyDescent="0.25">
      <c r="I3" t="s">
        <v>51</v>
      </c>
      <c r="P3" t="s">
        <v>54</v>
      </c>
    </row>
    <row r="4" spans="1:19" x14ac:dyDescent="0.25">
      <c r="B4" t="s">
        <v>39</v>
      </c>
      <c r="D4">
        <f>723050</f>
        <v>723050</v>
      </c>
    </row>
    <row r="5" spans="1:19" x14ac:dyDescent="0.25">
      <c r="B5" t="s">
        <v>40</v>
      </c>
      <c r="D5">
        <f>202350</f>
        <v>202350</v>
      </c>
      <c r="I5" t="s">
        <v>52</v>
      </c>
      <c r="L5">
        <v>1442</v>
      </c>
      <c r="P5" t="s">
        <v>53</v>
      </c>
      <c r="Q5">
        <f>7100-6450</f>
        <v>650</v>
      </c>
      <c r="S5" t="e">
        <f>Q5+D9Q7+Q8+(710-645)</f>
        <v>#NAME?</v>
      </c>
    </row>
    <row r="6" spans="1:19" x14ac:dyDescent="0.25">
      <c r="B6" t="s">
        <v>41</v>
      </c>
      <c r="D6">
        <f>D4-D5</f>
        <v>520700</v>
      </c>
      <c r="P6" t="s">
        <v>55</v>
      </c>
      <c r="Q6">
        <f xml:space="preserve"> 5085 - 5650</f>
        <v>-565</v>
      </c>
    </row>
    <row r="7" spans="1:19" x14ac:dyDescent="0.25">
      <c r="Q7">
        <f>-400</f>
        <v>-400</v>
      </c>
    </row>
    <row r="8" spans="1:19" x14ac:dyDescent="0.25">
      <c r="B8" t="s">
        <v>42</v>
      </c>
      <c r="D8">
        <f>-(285200)</f>
        <v>-285200</v>
      </c>
      <c r="P8" t="s">
        <v>56</v>
      </c>
      <c r="Q8">
        <f>44226-29450</f>
        <v>14776</v>
      </c>
    </row>
    <row r="9" spans="1:19" x14ac:dyDescent="0.25">
      <c r="B9" t="s">
        <v>43</v>
      </c>
      <c r="D9">
        <f>-(5000)</f>
        <v>-5000</v>
      </c>
      <c r="P9" t="s">
        <v>57</v>
      </c>
      <c r="Q9">
        <v>13900</v>
      </c>
    </row>
    <row r="10" spans="1:19" x14ac:dyDescent="0.25">
      <c r="B10" t="s">
        <v>44</v>
      </c>
      <c r="D10">
        <f>-(32550)</f>
        <v>-32550</v>
      </c>
    </row>
    <row r="11" spans="1:19" x14ac:dyDescent="0.25">
      <c r="B11" t="s">
        <v>45</v>
      </c>
      <c r="D11">
        <f>-10552</f>
        <v>-10552</v>
      </c>
      <c r="P11" t="s">
        <v>58</v>
      </c>
      <c r="Q11">
        <f>Q5-Q6+Q7+Q8-Q9</f>
        <v>1691</v>
      </c>
    </row>
    <row r="12" spans="1:19" x14ac:dyDescent="0.25">
      <c r="B12" t="s">
        <v>63</v>
      </c>
      <c r="D12">
        <f xml:space="preserve"> -(65)</f>
        <v>-65</v>
      </c>
      <c r="I12" t="s">
        <v>14</v>
      </c>
    </row>
    <row r="13" spans="1:19" x14ac:dyDescent="0.25">
      <c r="B13" t="s">
        <v>32</v>
      </c>
      <c r="D13">
        <f>2660</f>
        <v>2660</v>
      </c>
      <c r="I13">
        <f xml:space="preserve"> Q11/L5</f>
        <v>1.1726768377253813</v>
      </c>
    </row>
    <row r="14" spans="1:19" x14ac:dyDescent="0.25">
      <c r="B14" t="s">
        <v>64</v>
      </c>
      <c r="D14">
        <f xml:space="preserve"> -(2000)</f>
        <v>-2000</v>
      </c>
    </row>
    <row r="16" spans="1:19" x14ac:dyDescent="0.25">
      <c r="B16" t="s">
        <v>65</v>
      </c>
      <c r="D16">
        <f>D6+D8+D9+D10+D11+D12+D13+D14</f>
        <v>187993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Lab</vt:lpstr>
      <vt:lpstr>Calcul perso</vt:lpstr>
      <vt:lpstr>Lab!Zone_d_impression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Charles-Etienne Désormeaux</cp:lastModifiedBy>
  <cp:lastPrinted>2022-02-11T22:29:26Z</cp:lastPrinted>
  <dcterms:created xsi:type="dcterms:W3CDTF">2016-05-02T16:09:14Z</dcterms:created>
  <dcterms:modified xsi:type="dcterms:W3CDTF">2022-02-11T22:29:59Z</dcterms:modified>
</cp:coreProperties>
</file>