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codeName="ThisWorkbook"/>
  <mc:AlternateContent xmlns:mc="http://schemas.openxmlformats.org/markup-compatibility/2006">
    <mc:Choice Requires="x15">
      <x15ac:absPath xmlns:x15ac="http://schemas.microsoft.com/office/spreadsheetml/2010/11/ac" url="\\ENS02.labos.polymtl.ca\profiles\chdess\profiles\downloads\"/>
    </mc:Choice>
  </mc:AlternateContent>
  <xr:revisionPtr revIDLastSave="0" documentId="13_ncr:1_{F5E25F8D-500B-414C-9D0E-5D2A2E41F808}" xr6:coauthVersionLast="36" xr6:coauthVersionMax="36" xr10:uidLastSave="{00000000-0000-0000-0000-000000000000}"/>
  <bookViews>
    <workbookView xWindow="0" yWindow="465" windowWidth="25605" windowHeight="14985" xr2:uid="{00000000-000D-0000-FFFF-FFFF00000000}"/>
  </bookViews>
  <sheets>
    <sheet name="Lab" sheetId="10" r:id="rId1"/>
    <sheet name="Calcul perso" sheetId="11" r:id="rId2"/>
  </sheets>
  <definedNames>
    <definedName name="_xlnm.Print_Area" localSheetId="0">Lab!$A$1:$I$65</definedName>
  </definedNames>
  <calcPr calcId="191029"/>
</workbook>
</file>

<file path=xl/calcChain.xml><?xml version="1.0" encoding="utf-8"?>
<calcChain xmlns="http://schemas.openxmlformats.org/spreadsheetml/2006/main">
  <c r="D63" i="10" l="1"/>
  <c r="D64" i="10"/>
  <c r="D65" i="10" s="1"/>
  <c r="D24" i="10"/>
  <c r="B36" i="10"/>
  <c r="G50" i="10"/>
  <c r="D53" i="10"/>
  <c r="D55" i="10"/>
  <c r="D59" i="10"/>
  <c r="D57" i="10"/>
  <c r="H41" i="10"/>
  <c r="G35" i="10"/>
  <c r="F38" i="10"/>
  <c r="F42" i="10"/>
  <c r="F46" i="10"/>
  <c r="D47" i="10"/>
  <c r="D43" i="10"/>
  <c r="B43" i="10"/>
  <c r="B44" i="10"/>
  <c r="B35" i="10"/>
  <c r="B34" i="10"/>
  <c r="E27" i="10"/>
  <c r="E26" i="10"/>
  <c r="D10" i="10"/>
  <c r="D31" i="10"/>
  <c r="F21" i="10"/>
  <c r="C21" i="10"/>
  <c r="B21" i="10"/>
  <c r="D21" i="10"/>
  <c r="E21" i="10"/>
  <c r="A21" i="10"/>
  <c r="B24" i="10"/>
  <c r="F14" i="10"/>
  <c r="F15" i="10"/>
  <c r="F16" i="10"/>
  <c r="F17" i="10"/>
  <c r="F18" i="10"/>
  <c r="F13" i="10"/>
  <c r="E14" i="10"/>
  <c r="E15" i="10"/>
  <c r="E16" i="10"/>
  <c r="E17" i="10"/>
  <c r="E18" i="10"/>
  <c r="E13" i="10"/>
  <c r="G33" i="10" l="1"/>
  <c r="G5" i="10"/>
  <c r="F5" i="10"/>
</calcChain>
</file>

<file path=xl/sharedStrings.xml><?xml version="1.0" encoding="utf-8"?>
<sst xmlns="http://schemas.openxmlformats.org/spreadsheetml/2006/main" count="80" uniqueCount="67">
  <si>
    <t>MP Variable</t>
  </si>
  <si>
    <t>Partie 1:</t>
  </si>
  <si>
    <t>Partie 2:</t>
  </si>
  <si>
    <t>MS$</t>
  </si>
  <si>
    <t>MS%</t>
  </si>
  <si>
    <t>CM%</t>
  </si>
  <si>
    <t>Prix de vente unitaire</t>
  </si>
  <si>
    <t>Frais variables totaux</t>
  </si>
  <si>
    <t>Frais fixes totaux</t>
  </si>
  <si>
    <t>Revenus supplémentaires</t>
  </si>
  <si>
    <t>CMu</t>
  </si>
  <si>
    <t>MSu</t>
  </si>
  <si>
    <t>Analyse différentielle avec la nouvelle option</t>
  </si>
  <si>
    <t xml:space="preserve">Revenus additionnels apportés par l'option </t>
  </si>
  <si>
    <t>Revenus perdus à cause de l'option (coûts d'opportunité)</t>
  </si>
  <si>
    <t>Revenus différentiels nets (impact net sur les revenus)</t>
  </si>
  <si>
    <t>Coûts additionnels causés par l'option</t>
  </si>
  <si>
    <t>Coûts économisés par l'option</t>
  </si>
  <si>
    <t>Coûts différentiels nets</t>
  </si>
  <si>
    <t xml:space="preserve">Résultats différentiels nets </t>
  </si>
  <si>
    <t>Coût d'opportunité annuel relié au nouvel équipement</t>
  </si>
  <si>
    <t>Autres revenus perdus</t>
  </si>
  <si>
    <t>MO Fixe annuelle</t>
  </si>
  <si>
    <t>MO Variable unitaire</t>
  </si>
  <si>
    <t>Autres frais annuel total</t>
  </si>
  <si>
    <t>1.1</t>
  </si>
  <si>
    <t>1.3</t>
  </si>
  <si>
    <t>1.4</t>
  </si>
  <si>
    <t>1.8</t>
  </si>
  <si>
    <t xml:space="preserve">Nom : </t>
  </si>
  <si>
    <t xml:space="preserve">Prénom : </t>
  </si>
  <si>
    <t xml:space="preserve">Matricule : </t>
  </si>
  <si>
    <t xml:space="preserve">Groupe : </t>
  </si>
  <si>
    <t>Calcul, questionnement et notes</t>
  </si>
  <si>
    <t>Revenus totaux</t>
  </si>
  <si>
    <t xml:space="preserve"> 1.2</t>
  </si>
  <si>
    <t>1.5</t>
  </si>
  <si>
    <t>1.6</t>
  </si>
  <si>
    <t>1.7</t>
  </si>
  <si>
    <t>1.9</t>
  </si>
  <si>
    <t>SR unitaire</t>
  </si>
  <si>
    <t>SR en $</t>
  </si>
  <si>
    <t>Nouveau prix</t>
  </si>
  <si>
    <t>7</t>
  </si>
  <si>
    <t>Désormeaux</t>
  </si>
  <si>
    <t>Charles-Etienne</t>
  </si>
  <si>
    <t>Khanafer</t>
  </si>
  <si>
    <t>Diab</t>
  </si>
  <si>
    <t>Unitées vendues</t>
  </si>
  <si>
    <t>Revenus</t>
  </si>
  <si>
    <t>Coût MO</t>
  </si>
  <si>
    <t>Coût MP</t>
  </si>
  <si>
    <t>Unitées*Coût MO</t>
  </si>
  <si>
    <t>Unitées^2</t>
  </si>
  <si>
    <t>MO indirecte</t>
  </si>
  <si>
    <t>MO directe unitaire</t>
  </si>
  <si>
    <t>MP unitaire</t>
  </si>
  <si>
    <t>Autres coût fixes de production</t>
  </si>
  <si>
    <t>Frais des ventes unitaires</t>
  </si>
  <si>
    <t>Prévision des ventes en unités</t>
  </si>
  <si>
    <t>Coût d'achat de l'équipement</t>
  </si>
  <si>
    <t>Frais d'installation</t>
  </si>
  <si>
    <t>Date d'achat</t>
  </si>
  <si>
    <t>Vie utile (nombre d'années)</t>
  </si>
  <si>
    <t>Revenus unitaire</t>
  </si>
  <si>
    <t>Valeur résiduelle en fin de vie</t>
  </si>
  <si>
    <t>amortissement linéaire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</si>
</sst>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 * #,##0.00_)\ &quot;$&quot;_ ;_ * \(#,##0.00\)\ &quot;$&quot;_ ;_ * &quot;-&quot;??_)\ &quot;$&quot;_ ;_ @_ "/>
    <numFmt numFmtId="43" formatCode="_ * #,##0.00_)\ _$_ ;_ * \(#,##0.00\)\ _$_ ;_ * &quot;-&quot;??_)\ _$_ ;_ @_ "/>
    <numFmt numFmtId="164" formatCode="_ * #,##0_)\ &quot;$&quot;_ ;_ * \(#,##0\)\ &quot;$&quot;_ ;_ * &quot;-&quot;??_)\ &quot;$&quot;_ ;_ @_ "/>
    <numFmt numFmtId="165" formatCode="#,##0&quot; unités&quot;"/>
    <numFmt numFmtId="166" formatCode="#,##0&quot; u.&quot;"/>
    <numFmt numFmtId="167" formatCode="#,##0.00&quot; $/u&quot;"/>
    <numFmt numFmtId="168" formatCode="#,##0&quot; $/an&quot;"/>
    <numFmt numFmtId="169" formatCode="h&quot; h &quot;mm;@"/>
    <numFmt numFmtId="170" formatCode="[$-F800]dddd\,\ mmmm\ dd\,\ yyyy"/>
  </numFmts>
  <fonts count="13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rgb="FF00000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24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5" fillId="0" borderId="1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111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3" fillId="0" borderId="1" xfId="0" applyFont="1" applyBorder="1"/>
    <xf numFmtId="44" fontId="3" fillId="0" borderId="1" xfId="0" applyNumberFormat="1" applyFont="1" applyBorder="1"/>
    <xf numFmtId="0" fontId="3" fillId="0" borderId="4" xfId="0" applyFont="1" applyBorder="1"/>
    <xf numFmtId="44" fontId="3" fillId="3" borderId="6" xfId="2" applyFont="1" applyFill="1" applyBorder="1"/>
    <xf numFmtId="166" fontId="3" fillId="0" borderId="1" xfId="0" applyNumberFormat="1" applyFont="1" applyBorder="1"/>
    <xf numFmtId="44" fontId="3" fillId="0" borderId="1" xfId="2" applyFont="1" applyFill="1" applyBorder="1"/>
    <xf numFmtId="0" fontId="3" fillId="0" borderId="4" xfId="0" applyFont="1" applyBorder="1" applyAlignment="1">
      <alignment horizontal="right"/>
    </xf>
    <xf numFmtId="44" fontId="3" fillId="3" borderId="5" xfId="2" applyFont="1" applyFill="1" applyBorder="1"/>
    <xf numFmtId="0" fontId="3" fillId="0" borderId="5" xfId="0" applyFont="1" applyBorder="1" applyAlignment="1">
      <alignment horizontal="right"/>
    </xf>
    <xf numFmtId="0" fontId="3" fillId="0" borderId="5" xfId="0" applyFont="1" applyBorder="1"/>
    <xf numFmtId="0" fontId="3" fillId="0" borderId="6" xfId="0" applyFont="1" applyBorder="1"/>
    <xf numFmtId="165" fontId="3" fillId="0" borderId="3" xfId="2" applyNumberFormat="1" applyFont="1" applyBorder="1"/>
    <xf numFmtId="164" fontId="3" fillId="0" borderId="3" xfId="2" applyNumberFormat="1" applyFont="1" applyBorder="1"/>
    <xf numFmtId="164" fontId="3" fillId="3" borderId="3" xfId="2" applyNumberFormat="1" applyFont="1" applyFill="1" applyBorder="1"/>
    <xf numFmtId="165" fontId="3" fillId="3" borderId="3" xfId="0" applyNumberFormat="1" applyFont="1" applyFill="1" applyBorder="1"/>
    <xf numFmtId="10" fontId="3" fillId="4" borderId="3" xfId="3" applyNumberFormat="1" applyFont="1" applyFill="1" applyBorder="1"/>
    <xf numFmtId="165" fontId="3" fillId="0" borderId="1" xfId="2" applyNumberFormat="1" applyFont="1" applyFill="1" applyBorder="1"/>
    <xf numFmtId="10" fontId="3" fillId="3" borderId="3" xfId="0" applyNumberFormat="1" applyFont="1" applyFill="1" applyBorder="1"/>
    <xf numFmtId="0" fontId="3" fillId="0" borderId="1" xfId="0" applyFont="1" applyFill="1" applyBorder="1" applyAlignment="1"/>
    <xf numFmtId="164" fontId="3" fillId="0" borderId="1" xfId="2" applyNumberFormat="1" applyFont="1" applyFill="1" applyBorder="1"/>
    <xf numFmtId="164" fontId="3" fillId="0" borderId="15" xfId="2" applyNumberFormat="1" applyFont="1" applyBorder="1"/>
    <xf numFmtId="164" fontId="3" fillId="6" borderId="3" xfId="2" applyNumberFormat="1" applyFont="1" applyFill="1" applyBorder="1"/>
    <xf numFmtId="164" fontId="8" fillId="4" borderId="16" xfId="2" applyNumberFormat="1" applyFont="1" applyFill="1" applyBorder="1"/>
    <xf numFmtId="168" fontId="3" fillId="3" borderId="5" xfId="2" applyNumberFormat="1" applyFont="1" applyFill="1" applyBorder="1"/>
    <xf numFmtId="167" fontId="3" fillId="3" borderId="6" xfId="2" applyNumberFormat="1" applyFont="1" applyFill="1" applyBorder="1"/>
    <xf numFmtId="167" fontId="3" fillId="3" borderId="1" xfId="2" applyNumberFormat="1" applyFont="1" applyFill="1" applyBorder="1"/>
    <xf numFmtId="167" fontId="3" fillId="3" borderId="5" xfId="2" applyNumberFormat="1" applyFont="1" applyFill="1" applyBorder="1"/>
    <xf numFmtId="0" fontId="3" fillId="0" borderId="1" xfId="0" applyFont="1" applyBorder="1" applyAlignment="1">
      <alignment horizontal="right"/>
    </xf>
    <xf numFmtId="9" fontId="3" fillId="0" borderId="1" xfId="3" applyFont="1" applyFill="1" applyBorder="1" applyAlignment="1"/>
    <xf numFmtId="49" fontId="3" fillId="0" borderId="0" xfId="0" applyNumberFormat="1" applyFont="1"/>
    <xf numFmtId="166" fontId="3" fillId="0" borderId="3" xfId="0" applyNumberFormat="1" applyFont="1" applyBorder="1"/>
    <xf numFmtId="165" fontId="3" fillId="0" borderId="1" xfId="0" applyNumberFormat="1" applyFont="1" applyBorder="1"/>
    <xf numFmtId="0" fontId="0" fillId="0" borderId="0" xfId="0"/>
    <xf numFmtId="49" fontId="6" fillId="0" borderId="0" xfId="0" applyNumberFormat="1" applyFont="1" applyAlignment="1">
      <alignment horizontal="right"/>
    </xf>
    <xf numFmtId="49" fontId="6" fillId="0" borderId="0" xfId="0" applyNumberFormat="1" applyFont="1" applyAlignment="1" applyProtection="1">
      <alignment horizontal="right"/>
      <protection locked="0"/>
    </xf>
    <xf numFmtId="49" fontId="6" fillId="0" borderId="0" xfId="0" applyNumberFormat="1" applyFont="1" applyAlignment="1"/>
    <xf numFmtId="169" fontId="4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10" fillId="0" borderId="0" xfId="0" applyFont="1"/>
    <xf numFmtId="49" fontId="6" fillId="0" borderId="0" xfId="0" applyNumberFormat="1" applyFont="1" applyAlignment="1" applyProtection="1">
      <protection locked="0"/>
    </xf>
    <xf numFmtId="0" fontId="8" fillId="0" borderId="0" xfId="0" applyFont="1" applyFill="1"/>
    <xf numFmtId="0" fontId="3" fillId="0" borderId="2" xfId="0" applyFont="1" applyBorder="1" applyAlignment="1"/>
    <xf numFmtId="0" fontId="3" fillId="0" borderId="4" xfId="0" applyFont="1" applyBorder="1" applyAlignment="1"/>
    <xf numFmtId="164" fontId="3" fillId="4" borderId="3" xfId="2" applyNumberFormat="1" applyFont="1" applyFill="1" applyBorder="1" applyAlignment="1"/>
    <xf numFmtId="164" fontId="3" fillId="4" borderId="6" xfId="2" applyNumberFormat="1" applyFont="1" applyFill="1" applyBorder="1" applyAlignment="1"/>
    <xf numFmtId="0" fontId="3" fillId="0" borderId="2" xfId="4" applyNumberFormat="1" applyFont="1" applyBorder="1"/>
    <xf numFmtId="0" fontId="3" fillId="0" borderId="1" xfId="4" applyNumberFormat="1" applyFont="1" applyBorder="1"/>
    <xf numFmtId="0" fontId="3" fillId="0" borderId="3" xfId="4" applyNumberFormat="1" applyFont="1" applyBorder="1"/>
    <xf numFmtId="0" fontId="3" fillId="0" borderId="2" xfId="4" applyNumberFormat="1" applyFont="1" applyBorder="1" applyAlignment="1">
      <alignment horizontal="left"/>
    </xf>
    <xf numFmtId="0" fontId="3" fillId="0" borderId="1" xfId="4" applyNumberFormat="1" applyFont="1" applyFill="1" applyBorder="1"/>
    <xf numFmtId="0" fontId="3" fillId="0" borderId="2" xfId="0" applyNumberFormat="1" applyFont="1" applyBorder="1"/>
    <xf numFmtId="0" fontId="3" fillId="0" borderId="4" xfId="0" applyNumberFormat="1" applyFont="1" applyBorder="1"/>
    <xf numFmtId="0" fontId="3" fillId="0" borderId="3" xfId="0" applyNumberFormat="1" applyFont="1" applyBorder="1"/>
    <xf numFmtId="0" fontId="3" fillId="0" borderId="2" xfId="0" applyNumberFormat="1" applyFont="1" applyBorder="1" applyAlignment="1">
      <alignment horizontal="left"/>
    </xf>
    <xf numFmtId="0" fontId="3" fillId="0" borderId="2" xfId="0" applyNumberFormat="1" applyFont="1" applyBorder="1" applyAlignment="1">
      <alignment horizontal="right"/>
    </xf>
    <xf numFmtId="0" fontId="3" fillId="0" borderId="3" xfId="2" applyNumberFormat="1" applyFont="1" applyBorder="1"/>
    <xf numFmtId="0" fontId="3" fillId="0" borderId="3" xfId="2" applyNumberFormat="1" applyFont="1" applyBorder="1" applyAlignment="1"/>
    <xf numFmtId="49" fontId="4" fillId="0" borderId="1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4" xfId="0" applyNumberFormat="1" applyFont="1" applyBorder="1" applyAlignment="1">
      <alignment horizontal="right"/>
    </xf>
    <xf numFmtId="0" fontId="3" fillId="0" borderId="2" xfId="0" applyNumberFormat="1" applyFont="1" applyBorder="1" applyAlignment="1">
      <alignment horizontal="left" indent="1"/>
    </xf>
    <xf numFmtId="0" fontId="3" fillId="0" borderId="10" xfId="0" applyNumberFormat="1" applyFont="1" applyBorder="1"/>
    <xf numFmtId="0" fontId="3" fillId="0" borderId="11" xfId="2" applyNumberFormat="1" applyFont="1" applyBorder="1"/>
    <xf numFmtId="0" fontId="3" fillId="0" borderId="11" xfId="0" applyNumberFormat="1" applyFont="1" applyBorder="1"/>
    <xf numFmtId="0" fontId="3" fillId="0" borderId="15" xfId="0" applyNumberFormat="1" applyFont="1" applyBorder="1"/>
    <xf numFmtId="0" fontId="3" fillId="0" borderId="1" xfId="0" applyNumberFormat="1" applyFont="1" applyBorder="1"/>
    <xf numFmtId="0" fontId="3" fillId="0" borderId="1" xfId="2" applyNumberFormat="1" applyFont="1" applyBorder="1"/>
    <xf numFmtId="0" fontId="3" fillId="0" borderId="1" xfId="2" applyNumberFormat="1" applyFont="1" applyBorder="1" applyAlignment="1"/>
    <xf numFmtId="170" fontId="4" fillId="0" borderId="0" xfId="0" applyNumberFormat="1" applyFont="1" applyAlignment="1">
      <alignment horizontal="left"/>
    </xf>
    <xf numFmtId="0" fontId="3" fillId="2" borderId="12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3" fillId="2" borderId="12" xfId="0" applyFont="1" applyFill="1" applyBorder="1"/>
    <xf numFmtId="0" fontId="3" fillId="2" borderId="13" xfId="0" applyFont="1" applyFill="1" applyBorder="1"/>
    <xf numFmtId="0" fontId="3" fillId="2" borderId="14" xfId="0" applyFont="1" applyFill="1" applyBorder="1"/>
    <xf numFmtId="0" fontId="3" fillId="0" borderId="5" xfId="0" applyFont="1" applyBorder="1" applyAlignment="1">
      <alignment horizontal="right"/>
    </xf>
    <xf numFmtId="0" fontId="3" fillId="2" borderId="13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1" fillId="0" borderId="2" xfId="4" applyNumberFormat="1" applyFont="1" applyBorder="1"/>
    <xf numFmtId="0" fontId="1" fillId="0" borderId="1" xfId="4" applyNumberFormat="1" applyFont="1" applyBorder="1"/>
    <xf numFmtId="4" fontId="3" fillId="0" borderId="2" xfId="0" applyNumberFormat="1" applyFont="1" applyBorder="1"/>
    <xf numFmtId="0" fontId="1" fillId="0" borderId="0" xfId="0" applyFont="1"/>
    <xf numFmtId="0" fontId="1" fillId="0" borderId="0" xfId="0" applyFont="1" applyFill="1"/>
    <xf numFmtId="0" fontId="1" fillId="0" borderId="1" xfId="0" applyFont="1" applyBorder="1"/>
  </cellXfs>
  <cellStyles count="5">
    <cellStyle name="Milliers" xfId="4" builtinId="3"/>
    <cellStyle name="Monétaire" xfId="2" builtinId="4"/>
    <cellStyle name="Normal" xfId="0" builtinId="0"/>
    <cellStyle name="Normal 2" xfId="1" xr:uid="{59F004E8-D32D-3342-B795-0700449F4FE1}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95F38-745E-4B36-9AC2-4F84AC77E476}">
  <dimension ref="A1:I808"/>
  <sheetViews>
    <sheetView tabSelected="1" view="pageLayout" topLeftCell="A41" zoomScale="90" zoomScaleNormal="100" zoomScalePageLayoutView="90" workbookViewId="0">
      <selection activeCell="E67" sqref="E67"/>
    </sheetView>
  </sheetViews>
  <sheetFormatPr baseColWidth="10" defaultColWidth="12.625" defaultRowHeight="15" customHeight="1" x14ac:dyDescent="0.25"/>
  <cols>
    <col min="1" max="1" width="16.875" style="2" customWidth="1"/>
    <col min="2" max="2" width="14.125" style="2" customWidth="1"/>
    <col min="3" max="3" width="17.875" style="2" customWidth="1"/>
    <col min="4" max="4" width="18" style="2" bestFit="1" customWidth="1"/>
    <col min="5" max="5" width="13.625" style="2" customWidth="1"/>
    <col min="6" max="6" width="17.875" style="2" customWidth="1"/>
    <col min="7" max="7" width="14.875" style="2" customWidth="1"/>
    <col min="8" max="8" width="10.625" style="2" customWidth="1"/>
    <col min="9" max="9" width="4" style="2" customWidth="1"/>
    <col min="10" max="16384" width="12.625" style="1"/>
  </cols>
  <sheetData>
    <row r="1" spans="1:9" ht="15" customHeight="1" x14ac:dyDescent="0.25">
      <c r="A1" s="36" t="s">
        <v>29</v>
      </c>
      <c r="B1" s="38" t="s">
        <v>44</v>
      </c>
      <c r="C1" s="38"/>
      <c r="D1" s="37" t="s">
        <v>30</v>
      </c>
      <c r="E1" s="42" t="s">
        <v>45</v>
      </c>
      <c r="F1" s="60" t="s">
        <v>31</v>
      </c>
      <c r="G1" s="2">
        <v>1956442</v>
      </c>
      <c r="H1" s="38" t="s">
        <v>32</v>
      </c>
      <c r="I1" s="40" t="s">
        <v>43</v>
      </c>
    </row>
    <row r="2" spans="1:9" ht="15" customHeight="1" x14ac:dyDescent="0.25">
      <c r="A2" s="36" t="s">
        <v>29</v>
      </c>
      <c r="B2" s="38" t="s">
        <v>46</v>
      </c>
      <c r="C2" s="38"/>
      <c r="D2" s="37" t="s">
        <v>30</v>
      </c>
      <c r="E2" s="42" t="s">
        <v>47</v>
      </c>
      <c r="F2" s="60" t="s">
        <v>31</v>
      </c>
      <c r="G2" s="2">
        <v>1952548</v>
      </c>
      <c r="H2" s="38" t="s">
        <v>32</v>
      </c>
      <c r="I2" s="40" t="s">
        <v>43</v>
      </c>
    </row>
    <row r="3" spans="1:9" ht="15" customHeight="1" x14ac:dyDescent="0.25">
      <c r="A3" s="36" t="s">
        <v>29</v>
      </c>
      <c r="B3" s="38"/>
      <c r="C3" s="38"/>
      <c r="D3" s="37" t="s">
        <v>30</v>
      </c>
      <c r="E3" s="42"/>
      <c r="F3" s="60" t="s">
        <v>31</v>
      </c>
      <c r="H3" s="38" t="s">
        <v>32</v>
      </c>
      <c r="I3" s="40"/>
    </row>
    <row r="4" spans="1:9" ht="15.75" thickBot="1" x14ac:dyDescent="0.3">
      <c r="A4" s="75" t="s">
        <v>1</v>
      </c>
      <c r="B4" s="75"/>
      <c r="C4" s="75"/>
      <c r="D4" s="75"/>
      <c r="E4" s="75"/>
      <c r="F4" s="75"/>
      <c r="G4" s="75"/>
      <c r="H4" s="75"/>
      <c r="I4" s="75"/>
    </row>
    <row r="5" spans="1:9" ht="16.5" thickBot="1" x14ac:dyDescent="0.3">
      <c r="A5" s="76" t="s">
        <v>25</v>
      </c>
      <c r="B5" s="77"/>
      <c r="C5" s="77"/>
      <c r="D5" s="78"/>
      <c r="F5" s="39">
        <f ca="1">NOW()</f>
        <v>44638.689689004626</v>
      </c>
      <c r="G5" s="72">
        <f ca="1">NOW()</f>
        <v>44638.689689004626</v>
      </c>
      <c r="H5" s="72"/>
      <c r="I5" s="72"/>
    </row>
    <row r="6" spans="1:9" x14ac:dyDescent="0.25">
      <c r="A6" s="48"/>
      <c r="B6" s="49"/>
      <c r="C6" s="49"/>
      <c r="D6" s="50"/>
      <c r="F6" s="32"/>
    </row>
    <row r="7" spans="1:9" x14ac:dyDescent="0.25">
      <c r="A7" s="48"/>
      <c r="B7" s="49"/>
      <c r="C7" s="49"/>
      <c r="D7" s="50"/>
    </row>
    <row r="8" spans="1:9" x14ac:dyDescent="0.25">
      <c r="A8" s="48"/>
      <c r="B8" s="49"/>
      <c r="C8" s="49"/>
      <c r="D8" s="50"/>
    </row>
    <row r="9" spans="1:9" x14ac:dyDescent="0.25">
      <c r="A9" s="48"/>
      <c r="B9" s="49"/>
      <c r="C9" s="49"/>
      <c r="D9" s="50"/>
    </row>
    <row r="10" spans="1:9" ht="15.75" thickBot="1" x14ac:dyDescent="0.3">
      <c r="A10" s="5"/>
      <c r="B10" s="79" t="s">
        <v>6</v>
      </c>
      <c r="C10" s="79"/>
      <c r="D10" s="27">
        <f xml:space="preserve"> SUM(B13:B18)/SUM(A13:A18)</f>
        <v>23</v>
      </c>
    </row>
    <row r="11" spans="1:9" ht="15.75" thickBot="1" x14ac:dyDescent="0.3">
      <c r="A11" s="73" t="s">
        <v>35</v>
      </c>
      <c r="B11" s="80"/>
      <c r="C11" s="80"/>
      <c r="D11" s="80"/>
      <c r="E11" s="80"/>
      <c r="F11" s="80"/>
      <c r="G11" s="80"/>
      <c r="H11" s="74"/>
    </row>
    <row r="12" spans="1:9" x14ac:dyDescent="0.25">
      <c r="A12" s="105" t="s">
        <v>48</v>
      </c>
      <c r="B12" s="106" t="s">
        <v>49</v>
      </c>
      <c r="C12" s="106" t="s">
        <v>50</v>
      </c>
      <c r="D12" s="106" t="s">
        <v>51</v>
      </c>
      <c r="E12" s="106" t="s">
        <v>52</v>
      </c>
      <c r="F12" s="106" t="s">
        <v>53</v>
      </c>
      <c r="G12" s="49"/>
      <c r="H12" s="50"/>
    </row>
    <row r="13" spans="1:9" x14ac:dyDescent="0.25">
      <c r="A13" s="51">
        <v>9300</v>
      </c>
      <c r="B13" s="49">
        <v>213900</v>
      </c>
      <c r="C13" s="49">
        <v>56200</v>
      </c>
      <c r="D13" s="49">
        <v>83700</v>
      </c>
      <c r="E13" s="49">
        <f xml:space="preserve"> A13*C13</f>
        <v>522660000</v>
      </c>
      <c r="F13" s="49">
        <f>A13*A13</f>
        <v>86490000</v>
      </c>
      <c r="G13" s="49"/>
      <c r="H13" s="50"/>
    </row>
    <row r="14" spans="1:9" ht="15.75" customHeight="1" x14ac:dyDescent="0.25">
      <c r="A14" s="51">
        <v>7700</v>
      </c>
      <c r="B14" s="49">
        <v>177100</v>
      </c>
      <c r="C14" s="49">
        <v>49800</v>
      </c>
      <c r="D14" s="49">
        <v>69300</v>
      </c>
      <c r="E14" s="49">
        <f t="shared" ref="E14:E18" si="0" xml:space="preserve"> A14*C14</f>
        <v>383460000</v>
      </c>
      <c r="F14" s="49">
        <f t="shared" ref="F14:F18" si="1">A14*A14</f>
        <v>59290000</v>
      </c>
      <c r="G14" s="49"/>
      <c r="H14" s="50"/>
    </row>
    <row r="15" spans="1:9" ht="15.75" customHeight="1" x14ac:dyDescent="0.25">
      <c r="A15" s="51">
        <v>10200</v>
      </c>
      <c r="B15" s="49">
        <v>234600</v>
      </c>
      <c r="C15" s="49">
        <v>59800</v>
      </c>
      <c r="D15" s="49">
        <v>91800</v>
      </c>
      <c r="E15" s="49">
        <f t="shared" si="0"/>
        <v>609960000</v>
      </c>
      <c r="F15" s="49">
        <f t="shared" si="1"/>
        <v>104040000</v>
      </c>
      <c r="G15" s="49"/>
      <c r="H15" s="50"/>
    </row>
    <row r="16" spans="1:9" ht="15.75" customHeight="1" x14ac:dyDescent="0.25">
      <c r="A16" s="51">
        <v>9200</v>
      </c>
      <c r="B16" s="49">
        <v>211600</v>
      </c>
      <c r="C16" s="49">
        <v>55800</v>
      </c>
      <c r="D16" s="49">
        <v>82800</v>
      </c>
      <c r="E16" s="49">
        <f t="shared" si="0"/>
        <v>513360000</v>
      </c>
      <c r="F16" s="49">
        <f t="shared" si="1"/>
        <v>84640000</v>
      </c>
      <c r="G16" s="49"/>
      <c r="H16" s="50"/>
    </row>
    <row r="17" spans="1:8" ht="15.75" customHeight="1" x14ac:dyDescent="0.25">
      <c r="A17" s="51">
        <v>8200</v>
      </c>
      <c r="B17" s="49">
        <v>188600</v>
      </c>
      <c r="C17" s="49">
        <v>51800</v>
      </c>
      <c r="D17" s="49">
        <v>73800</v>
      </c>
      <c r="E17" s="49">
        <f t="shared" si="0"/>
        <v>424760000</v>
      </c>
      <c r="F17" s="49">
        <f t="shared" si="1"/>
        <v>67240000</v>
      </c>
      <c r="G17" s="49"/>
      <c r="H17" s="50"/>
    </row>
    <row r="18" spans="1:8" ht="15.6" customHeight="1" x14ac:dyDescent="0.25">
      <c r="A18" s="51">
        <v>9000</v>
      </c>
      <c r="B18" s="49">
        <v>207000</v>
      </c>
      <c r="C18" s="49">
        <v>55000</v>
      </c>
      <c r="D18" s="49">
        <v>81000</v>
      </c>
      <c r="E18" s="49">
        <f t="shared" si="0"/>
        <v>495000000</v>
      </c>
      <c r="F18" s="49">
        <f t="shared" si="1"/>
        <v>81000000</v>
      </c>
      <c r="G18" s="49"/>
      <c r="H18" s="50"/>
    </row>
    <row r="19" spans="1:8" ht="15.75" customHeight="1" x14ac:dyDescent="0.25">
      <c r="A19" s="51"/>
      <c r="B19" s="49"/>
      <c r="C19" s="49"/>
      <c r="D19" s="49"/>
      <c r="E19" s="49"/>
      <c r="F19" s="49"/>
      <c r="G19" s="49"/>
      <c r="H19" s="50"/>
    </row>
    <row r="20" spans="1:8" ht="15.75" customHeight="1" x14ac:dyDescent="0.25">
      <c r="A20" s="48"/>
      <c r="B20" s="49"/>
      <c r="C20" s="49"/>
      <c r="D20" s="49"/>
      <c r="E20" s="49"/>
      <c r="F20" s="49"/>
      <c r="G20" s="49"/>
      <c r="H20" s="50"/>
    </row>
    <row r="21" spans="1:8" ht="15.75" customHeight="1" x14ac:dyDescent="0.25">
      <c r="A21" s="48">
        <f>SUM(A13:A18)</f>
        <v>53600</v>
      </c>
      <c r="B21" s="48">
        <f t="shared" ref="B21:F21" si="2">SUM(B13:B18)</f>
        <v>1232800</v>
      </c>
      <c r="C21" s="48">
        <f>SUM(C13:C18)</f>
        <v>328400</v>
      </c>
      <c r="D21" s="48">
        <f t="shared" si="2"/>
        <v>482400</v>
      </c>
      <c r="E21" s="48">
        <f t="shared" si="2"/>
        <v>2949200000</v>
      </c>
      <c r="F21" s="48">
        <f>SUM(F13:F18)</f>
        <v>482700000</v>
      </c>
      <c r="G21" s="49"/>
      <c r="H21" s="50"/>
    </row>
    <row r="22" spans="1:8" ht="15.75" customHeight="1" x14ac:dyDescent="0.25">
      <c r="A22" s="48"/>
      <c r="B22" s="52"/>
      <c r="C22" s="49"/>
      <c r="D22" s="52"/>
      <c r="E22" s="49"/>
      <c r="F22" s="49"/>
      <c r="G22" s="49"/>
      <c r="H22" s="50"/>
    </row>
    <row r="23" spans="1:8" ht="15.75" customHeight="1" x14ac:dyDescent="0.25">
      <c r="A23" s="48"/>
      <c r="B23" s="52"/>
      <c r="C23" s="49"/>
      <c r="D23" s="52"/>
      <c r="E23" s="49"/>
      <c r="F23" s="49"/>
      <c r="G23" s="49"/>
      <c r="H23" s="50"/>
    </row>
    <row r="24" spans="1:8" ht="15.75" customHeight="1" thickBot="1" x14ac:dyDescent="0.3">
      <c r="A24" s="9" t="s">
        <v>23</v>
      </c>
      <c r="B24" s="29">
        <f xml:space="preserve"> (6*SUM(E13:E18)-(SUM(A13:A18)*SUM(C13:C18)))/(6*SUM(F13:F18)-(SUM(A13:A18)^2))</f>
        <v>4</v>
      </c>
      <c r="C24" s="11" t="s">
        <v>22</v>
      </c>
      <c r="D24" s="26">
        <f>C21-(B24*A21)</f>
        <v>114000</v>
      </c>
      <c r="E24" s="12"/>
      <c r="F24" s="12"/>
      <c r="G24" s="12"/>
      <c r="H24" s="13"/>
    </row>
    <row r="25" spans="1:8" ht="15.75" customHeight="1" thickBot="1" x14ac:dyDescent="0.3">
      <c r="A25" s="73" t="s">
        <v>26</v>
      </c>
      <c r="B25" s="80"/>
      <c r="C25" s="80"/>
      <c r="D25" s="74"/>
      <c r="E25" s="81" t="s">
        <v>27</v>
      </c>
      <c r="F25" s="82"/>
      <c r="G25" s="82"/>
      <c r="H25" s="83"/>
    </row>
    <row r="26" spans="1:8" ht="15.75" customHeight="1" x14ac:dyDescent="0.25">
      <c r="A26" s="48"/>
      <c r="B26" s="49"/>
      <c r="C26" s="49"/>
      <c r="D26" s="50"/>
      <c r="E26" s="65">
        <f>(B21-(C21+D21))/A21</f>
        <v>7.8731343283582094</v>
      </c>
      <c r="F26" s="66"/>
      <c r="G26" s="67"/>
      <c r="H26" s="68"/>
    </row>
    <row r="27" spans="1:8" ht="15.75" customHeight="1" x14ac:dyDescent="0.25">
      <c r="A27" s="48"/>
      <c r="B27" s="49"/>
      <c r="C27" s="49"/>
      <c r="D27" s="50"/>
      <c r="E27" s="107">
        <f>E26-7.46</f>
        <v>0.4131343283582094</v>
      </c>
      <c r="F27" s="69"/>
      <c r="G27" s="69"/>
      <c r="H27" s="55"/>
    </row>
    <row r="28" spans="1:8" ht="15.75" customHeight="1" x14ac:dyDescent="0.25">
      <c r="A28" s="48"/>
      <c r="B28" s="49"/>
      <c r="C28" s="49"/>
      <c r="D28" s="50"/>
      <c r="E28" s="53"/>
      <c r="F28" s="70"/>
      <c r="G28" s="69"/>
      <c r="H28" s="55"/>
    </row>
    <row r="29" spans="1:8" ht="15.75" customHeight="1" x14ac:dyDescent="0.25">
      <c r="A29" s="48"/>
      <c r="B29" s="49"/>
      <c r="C29" s="49"/>
      <c r="D29" s="50"/>
      <c r="E29" s="53"/>
      <c r="F29" s="71"/>
      <c r="G29" s="69"/>
      <c r="H29" s="55"/>
    </row>
    <row r="30" spans="1:8" ht="15.75" customHeight="1" x14ac:dyDescent="0.25">
      <c r="A30" s="48"/>
      <c r="B30" s="49"/>
      <c r="C30" s="49"/>
      <c r="D30" s="50"/>
      <c r="E30" s="53"/>
      <c r="F30" s="70"/>
      <c r="G30" s="69"/>
      <c r="H30" s="55"/>
    </row>
    <row r="31" spans="1:8" ht="15.75" customHeight="1" thickBot="1" x14ac:dyDescent="0.3">
      <c r="A31" s="5"/>
      <c r="B31" s="12"/>
      <c r="C31" s="11" t="s">
        <v>0</v>
      </c>
      <c r="D31" s="27">
        <f>(D15-D14)/(A15-A14)</f>
        <v>9</v>
      </c>
      <c r="E31" s="53"/>
      <c r="F31" s="70"/>
      <c r="G31" s="69"/>
      <c r="H31" s="55"/>
    </row>
    <row r="32" spans="1:8" ht="15.75" customHeight="1" thickBot="1" x14ac:dyDescent="0.3">
      <c r="D32" s="3"/>
      <c r="E32" s="53"/>
      <c r="F32" s="70"/>
      <c r="G32" s="69"/>
      <c r="H32" s="55"/>
    </row>
    <row r="33" spans="1:9" ht="15.75" customHeight="1" thickBot="1" x14ac:dyDescent="0.3">
      <c r="A33" s="73" t="s">
        <v>36</v>
      </c>
      <c r="B33" s="74"/>
      <c r="D33" s="3"/>
      <c r="E33" s="84" t="s">
        <v>24</v>
      </c>
      <c r="F33" s="85"/>
      <c r="G33" s="10">
        <f>E27*A21</f>
        <v>22144.000000000025</v>
      </c>
      <c r="H33" s="13"/>
    </row>
    <row r="34" spans="1:9" ht="15.75" customHeight="1" thickBot="1" x14ac:dyDescent="0.3">
      <c r="A34" s="44" t="s">
        <v>34</v>
      </c>
      <c r="B34" s="46">
        <f>B21</f>
        <v>1232800</v>
      </c>
      <c r="E34" s="73" t="s">
        <v>28</v>
      </c>
      <c r="F34" s="74"/>
      <c r="G34" s="73" t="s">
        <v>39</v>
      </c>
      <c r="H34" s="74"/>
    </row>
    <row r="35" spans="1:9" ht="15.75" customHeight="1" x14ac:dyDescent="0.25">
      <c r="A35" s="44" t="s">
        <v>7</v>
      </c>
      <c r="B35" s="46">
        <f>A21*(B24+D31)</f>
        <v>696800</v>
      </c>
      <c r="E35" s="53"/>
      <c r="F35" s="58"/>
      <c r="G35" s="53">
        <f>1023750</f>
        <v>1023750</v>
      </c>
      <c r="H35" s="58"/>
    </row>
    <row r="36" spans="1:9" ht="15.75" customHeight="1" thickBot="1" x14ac:dyDescent="0.3">
      <c r="A36" s="45" t="s">
        <v>8</v>
      </c>
      <c r="B36" s="47">
        <f>G33+D24</f>
        <v>136144.00000000003</v>
      </c>
      <c r="E36" s="53"/>
      <c r="F36" s="59"/>
      <c r="G36" s="53"/>
      <c r="H36" s="59"/>
    </row>
    <row r="37" spans="1:9" ht="15.75" customHeight="1" thickBot="1" x14ac:dyDescent="0.3">
      <c r="E37" s="53"/>
      <c r="F37" s="58"/>
      <c r="G37" s="53"/>
      <c r="H37" s="55"/>
    </row>
    <row r="38" spans="1:9" ht="15.75" customHeight="1" thickBot="1" x14ac:dyDescent="0.3">
      <c r="A38" s="73" t="s">
        <v>37</v>
      </c>
      <c r="B38" s="74"/>
      <c r="C38" s="73" t="s">
        <v>38</v>
      </c>
      <c r="D38" s="74"/>
      <c r="E38" s="57" t="s">
        <v>3</v>
      </c>
      <c r="F38" s="16">
        <f>B34-D47</f>
        <v>919668.79999999993</v>
      </c>
      <c r="G38" s="53"/>
      <c r="H38" s="33"/>
    </row>
    <row r="39" spans="1:9" ht="15.75" customHeight="1" x14ac:dyDescent="0.25">
      <c r="A39" s="53"/>
      <c r="B39" s="55"/>
      <c r="C39" s="53"/>
      <c r="D39" s="55"/>
      <c r="E39" s="53"/>
      <c r="F39" s="55"/>
      <c r="G39" s="53"/>
      <c r="H39" s="55"/>
    </row>
    <row r="40" spans="1:9" ht="15.75" customHeight="1" x14ac:dyDescent="0.25">
      <c r="A40" s="53"/>
      <c r="B40" s="55"/>
      <c r="C40" s="53"/>
      <c r="D40" s="55"/>
      <c r="E40" s="53"/>
      <c r="F40" s="58"/>
      <c r="G40" s="53"/>
      <c r="H40" s="58"/>
    </row>
    <row r="41" spans="1:9" ht="15.75" customHeight="1" thickBot="1" x14ac:dyDescent="0.3">
      <c r="A41" s="53"/>
      <c r="B41" s="55"/>
      <c r="C41" s="53"/>
      <c r="D41" s="55"/>
      <c r="E41" s="53"/>
      <c r="F41" s="14"/>
      <c r="G41" s="63" t="s">
        <v>42</v>
      </c>
      <c r="H41" s="27">
        <f>((G35+B35+B36)/A21)</f>
        <v>34.639813432835822</v>
      </c>
    </row>
    <row r="42" spans="1:9" ht="15.75" customHeight="1" x14ac:dyDescent="0.25">
      <c r="A42" s="53"/>
      <c r="B42" s="55"/>
      <c r="C42" s="53"/>
      <c r="D42" s="55"/>
      <c r="E42" s="57" t="s">
        <v>11</v>
      </c>
      <c r="F42" s="17">
        <f>A21-D43</f>
        <v>39985.599999999999</v>
      </c>
    </row>
    <row r="43" spans="1:9" ht="15.75" customHeight="1" x14ac:dyDescent="0.25">
      <c r="A43" s="64" t="s">
        <v>10</v>
      </c>
      <c r="B43" s="28">
        <f>D10-(B24+D31)</f>
        <v>10</v>
      </c>
      <c r="C43" s="61" t="s">
        <v>40</v>
      </c>
      <c r="D43" s="17">
        <f>B36/B43</f>
        <v>13614.400000000003</v>
      </c>
      <c r="E43" s="53"/>
      <c r="F43" s="55"/>
    </row>
    <row r="44" spans="1:9" ht="15.75" customHeight="1" x14ac:dyDescent="0.25">
      <c r="A44" s="64" t="s">
        <v>5</v>
      </c>
      <c r="B44" s="18">
        <f>B43/D10</f>
        <v>0.43478260869565216</v>
      </c>
      <c r="C44" s="57"/>
      <c r="D44" s="55"/>
      <c r="E44" s="56"/>
      <c r="F44" s="58"/>
      <c r="G44" s="3"/>
      <c r="H44" s="3"/>
    </row>
    <row r="45" spans="1:9" ht="15.75" customHeight="1" thickBot="1" x14ac:dyDescent="0.3">
      <c r="A45" s="54"/>
      <c r="B45" s="13"/>
      <c r="C45" s="57"/>
      <c r="D45" s="55"/>
      <c r="E45" s="53"/>
      <c r="F45" s="58"/>
      <c r="G45" s="3"/>
      <c r="H45" s="19"/>
    </row>
    <row r="46" spans="1:9" ht="15.75" customHeight="1" x14ac:dyDescent="0.25">
      <c r="C46" s="57"/>
      <c r="D46" s="55"/>
      <c r="E46" s="57" t="s">
        <v>4</v>
      </c>
      <c r="F46" s="20">
        <f>F38/B34</f>
        <v>0.746</v>
      </c>
      <c r="G46" s="3"/>
      <c r="H46" s="19"/>
    </row>
    <row r="47" spans="1:9" ht="15.75" customHeight="1" thickBot="1" x14ac:dyDescent="0.3">
      <c r="C47" s="62" t="s">
        <v>41</v>
      </c>
      <c r="D47" s="6">
        <f>B36/B44</f>
        <v>313131.20000000007</v>
      </c>
      <c r="E47" s="54"/>
      <c r="F47" s="13"/>
      <c r="G47" s="30"/>
      <c r="H47" s="34"/>
    </row>
    <row r="48" spans="1:9" ht="15.75" customHeight="1" thickBot="1" x14ac:dyDescent="0.3">
      <c r="A48" s="75" t="s">
        <v>2</v>
      </c>
      <c r="B48" s="75"/>
      <c r="C48" s="75"/>
      <c r="D48" s="75"/>
      <c r="E48" s="75"/>
      <c r="F48" s="75"/>
      <c r="G48" s="75"/>
      <c r="H48" s="75"/>
      <c r="I48" s="75"/>
    </row>
    <row r="49" spans="1:9" ht="15.75" customHeight="1" x14ac:dyDescent="0.25">
      <c r="A49" s="86"/>
      <c r="B49" s="87"/>
      <c r="C49" s="87"/>
      <c r="D49" s="88"/>
      <c r="G49" s="3"/>
      <c r="H49" s="3"/>
      <c r="I49" s="3"/>
    </row>
    <row r="50" spans="1:9" ht="15.75" customHeight="1" x14ac:dyDescent="0.25">
      <c r="A50" s="89" t="s">
        <v>12</v>
      </c>
      <c r="B50" s="90"/>
      <c r="C50" s="90"/>
      <c r="D50" s="91"/>
      <c r="E50" s="108" t="s">
        <v>66</v>
      </c>
      <c r="G50" s="110">
        <f>((G59-G60-G63)/25)</f>
        <v>22640</v>
      </c>
      <c r="H50" s="22"/>
      <c r="I50" s="3"/>
    </row>
    <row r="51" spans="1:9" ht="15.75" customHeight="1" thickBot="1" x14ac:dyDescent="0.3">
      <c r="A51" s="94"/>
      <c r="B51" s="95"/>
      <c r="C51" s="95"/>
      <c r="D51" s="96"/>
      <c r="G51" s="3"/>
      <c r="H51" s="31"/>
      <c r="I51" s="3"/>
    </row>
    <row r="52" spans="1:9" ht="15.75" customHeight="1" x14ac:dyDescent="0.25">
      <c r="A52" s="97" t="s">
        <v>13</v>
      </c>
      <c r="B52" s="98"/>
      <c r="C52" s="98"/>
      <c r="D52" s="23"/>
      <c r="E52" s="108" t="s">
        <v>55</v>
      </c>
      <c r="G52" s="30">
        <v>4</v>
      </c>
      <c r="H52" s="22"/>
      <c r="I52" s="3"/>
    </row>
    <row r="53" spans="1:9" ht="15.75" customHeight="1" x14ac:dyDescent="0.25">
      <c r="A53" s="92" t="s">
        <v>9</v>
      </c>
      <c r="B53" s="93"/>
      <c r="C53" s="93"/>
      <c r="D53" s="24">
        <f>(G57*G58)-(D10*A21)</f>
        <v>538400</v>
      </c>
      <c r="E53" s="109" t="s">
        <v>54</v>
      </c>
      <c r="G53" s="3">
        <v>2800</v>
      </c>
      <c r="H53" s="3"/>
      <c r="I53" s="3"/>
    </row>
    <row r="54" spans="1:9" ht="15.75" customHeight="1" x14ac:dyDescent="0.25">
      <c r="A54" s="99" t="s">
        <v>14</v>
      </c>
      <c r="B54" s="100"/>
      <c r="C54" s="100"/>
      <c r="D54" s="15"/>
      <c r="E54" s="109" t="s">
        <v>56</v>
      </c>
      <c r="G54" s="3">
        <v>7</v>
      </c>
      <c r="H54" s="3"/>
      <c r="I54" s="3"/>
    </row>
    <row r="55" spans="1:9" ht="15.75" customHeight="1" x14ac:dyDescent="0.25">
      <c r="A55" s="92" t="s">
        <v>20</v>
      </c>
      <c r="B55" s="93"/>
      <c r="C55" s="93"/>
      <c r="D55" s="24">
        <f>(0.06*800000)</f>
        <v>48000</v>
      </c>
      <c r="E55" s="109" t="s">
        <v>57</v>
      </c>
      <c r="G55" s="3">
        <v>33000</v>
      </c>
      <c r="H55" s="3"/>
      <c r="I55" s="8"/>
    </row>
    <row r="56" spans="1:9" ht="15.75" customHeight="1" thickBot="1" x14ac:dyDescent="0.3">
      <c r="A56" s="92" t="s">
        <v>21</v>
      </c>
      <c r="B56" s="93"/>
      <c r="C56" s="93"/>
      <c r="D56" s="24"/>
      <c r="E56" s="109" t="s">
        <v>58</v>
      </c>
      <c r="G56" s="3">
        <v>1.85</v>
      </c>
      <c r="H56" s="3"/>
      <c r="I56" s="34"/>
    </row>
    <row r="57" spans="1:9" ht="15.75" customHeight="1" thickBot="1" x14ac:dyDescent="0.3">
      <c r="A57" s="103" t="s">
        <v>15</v>
      </c>
      <c r="B57" s="104"/>
      <c r="C57" s="104"/>
      <c r="D57" s="25">
        <f>D53-D55-D56</f>
        <v>490400</v>
      </c>
      <c r="E57" s="108" t="s">
        <v>64</v>
      </c>
      <c r="G57" s="3">
        <v>18</v>
      </c>
      <c r="H57" s="4"/>
      <c r="I57" s="4"/>
    </row>
    <row r="58" spans="1:9" ht="15.75" customHeight="1" x14ac:dyDescent="0.25">
      <c r="A58" s="99" t="s">
        <v>16</v>
      </c>
      <c r="B58" s="100"/>
      <c r="C58" s="100"/>
      <c r="D58" s="15"/>
      <c r="E58" s="109" t="s">
        <v>59</v>
      </c>
      <c r="G58" s="3">
        <v>98400</v>
      </c>
      <c r="H58" s="3"/>
      <c r="I58" s="4"/>
    </row>
    <row r="59" spans="1:9" ht="15.75" customHeight="1" x14ac:dyDescent="0.25">
      <c r="A59" s="92" t="s">
        <v>7</v>
      </c>
      <c r="B59" s="93"/>
      <c r="C59" s="93"/>
      <c r="D59" s="24">
        <f>((G52+G54+G56)*G58)-((D31+B24)*A21)</f>
        <v>567640</v>
      </c>
      <c r="E59" s="109" t="s">
        <v>60</v>
      </c>
      <c r="G59" s="3">
        <v>652000</v>
      </c>
      <c r="H59" s="3"/>
      <c r="I59" s="3"/>
    </row>
    <row r="60" spans="1:9" ht="15.75" customHeight="1" x14ac:dyDescent="0.25">
      <c r="A60" s="92" t="s">
        <v>8</v>
      </c>
      <c r="B60" s="93"/>
      <c r="C60" s="93"/>
      <c r="D60" s="24"/>
      <c r="E60" s="109" t="s">
        <v>61</v>
      </c>
      <c r="G60" s="3">
        <v>37000</v>
      </c>
      <c r="H60" s="3"/>
      <c r="I60" s="3"/>
    </row>
    <row r="61" spans="1:9" s="21" customFormat="1" ht="15.75" customHeight="1" x14ac:dyDescent="0.25">
      <c r="A61" s="99" t="s">
        <v>17</v>
      </c>
      <c r="B61" s="100"/>
      <c r="C61" s="100"/>
      <c r="D61" s="15"/>
      <c r="E61" s="109" t="s">
        <v>62</v>
      </c>
      <c r="F61" s="2"/>
      <c r="G61" s="3">
        <v>2023</v>
      </c>
      <c r="H61" s="7"/>
      <c r="I61" s="7"/>
    </row>
    <row r="62" spans="1:9" ht="15.75" customHeight="1" x14ac:dyDescent="0.25">
      <c r="A62" s="92" t="s">
        <v>7</v>
      </c>
      <c r="B62" s="93"/>
      <c r="C62" s="93"/>
      <c r="D62" s="24"/>
      <c r="E62" s="108" t="s">
        <v>63</v>
      </c>
      <c r="G62" s="3">
        <v>25</v>
      </c>
      <c r="H62" s="4"/>
      <c r="I62" s="4"/>
    </row>
    <row r="63" spans="1:9" ht="15.75" customHeight="1" thickBot="1" x14ac:dyDescent="0.3">
      <c r="A63" s="92" t="s">
        <v>8</v>
      </c>
      <c r="B63" s="93"/>
      <c r="C63" s="93"/>
      <c r="D63" s="24">
        <f>G53+G55+G50-B36</f>
        <v>-77704.000000000029</v>
      </c>
      <c r="E63" s="109" t="s">
        <v>65</v>
      </c>
      <c r="G63" s="3">
        <v>49000</v>
      </c>
      <c r="H63" s="4"/>
      <c r="I63" s="4"/>
    </row>
    <row r="64" spans="1:9" ht="15.75" customHeight="1" thickBot="1" x14ac:dyDescent="0.3">
      <c r="A64" s="103" t="s">
        <v>18</v>
      </c>
      <c r="B64" s="104"/>
      <c r="C64" s="104"/>
      <c r="D64" s="25">
        <f>D59+D60-D62-D63</f>
        <v>645344</v>
      </c>
      <c r="E64" s="43"/>
      <c r="G64" s="3"/>
      <c r="H64" s="4"/>
      <c r="I64" s="8"/>
    </row>
    <row r="65" spans="1:9" ht="15.75" customHeight="1" thickBot="1" x14ac:dyDescent="0.3">
      <c r="A65" s="101" t="s">
        <v>19</v>
      </c>
      <c r="B65" s="102"/>
      <c r="C65" s="102"/>
      <c r="D65" s="25">
        <f>D57-D64</f>
        <v>-154944</v>
      </c>
      <c r="E65" s="43"/>
      <c r="G65" s="3"/>
      <c r="H65" s="3"/>
      <c r="I65" s="4"/>
    </row>
    <row r="66" spans="1:9" ht="15.75" customHeight="1" x14ac:dyDescent="0.25"/>
    <row r="67" spans="1:9" ht="15.75" customHeight="1" x14ac:dyDescent="0.25"/>
    <row r="68" spans="1:9" ht="15.75" customHeight="1" x14ac:dyDescent="0.25"/>
    <row r="69" spans="1:9" ht="15.75" customHeight="1" x14ac:dyDescent="0.25"/>
    <row r="70" spans="1:9" ht="15.75" customHeight="1" x14ac:dyDescent="0.25"/>
    <row r="71" spans="1:9" ht="15.75" customHeight="1" x14ac:dyDescent="0.25"/>
    <row r="72" spans="1:9" ht="15.75" customHeight="1" x14ac:dyDescent="0.25"/>
    <row r="73" spans="1:9" ht="15.75" customHeight="1" x14ac:dyDescent="0.25"/>
    <row r="74" spans="1:9" ht="15.75" customHeight="1" x14ac:dyDescent="0.25"/>
    <row r="75" spans="1:9" ht="15.75" customHeight="1" x14ac:dyDescent="0.25"/>
    <row r="76" spans="1:9" ht="15.75" customHeight="1" x14ac:dyDescent="0.25"/>
    <row r="77" spans="1:9" ht="15.75" customHeight="1" x14ac:dyDescent="0.25"/>
    <row r="78" spans="1:9" ht="15.75" customHeight="1" x14ac:dyDescent="0.25"/>
    <row r="79" spans="1:9" ht="15.75" customHeight="1" x14ac:dyDescent="0.25"/>
    <row r="80" spans="1:9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</sheetData>
  <mergeCells count="31">
    <mergeCell ref="A65:C65"/>
    <mergeCell ref="A57:C57"/>
    <mergeCell ref="A58:C58"/>
    <mergeCell ref="A59:C59"/>
    <mergeCell ref="A60:C60"/>
    <mergeCell ref="A61:C61"/>
    <mergeCell ref="A62:C62"/>
    <mergeCell ref="A63:C63"/>
    <mergeCell ref="A64:C64"/>
    <mergeCell ref="A49:D49"/>
    <mergeCell ref="A50:D50"/>
    <mergeCell ref="A55:C55"/>
    <mergeCell ref="A56:C56"/>
    <mergeCell ref="A51:D51"/>
    <mergeCell ref="A52:C52"/>
    <mergeCell ref="A53:C53"/>
    <mergeCell ref="A54:C54"/>
    <mergeCell ref="G5:I5"/>
    <mergeCell ref="A33:B33"/>
    <mergeCell ref="A48:I48"/>
    <mergeCell ref="A4:I4"/>
    <mergeCell ref="A5:D5"/>
    <mergeCell ref="B10:C10"/>
    <mergeCell ref="A11:H11"/>
    <mergeCell ref="A38:B38"/>
    <mergeCell ref="C38:D38"/>
    <mergeCell ref="E34:F34"/>
    <mergeCell ref="G34:H34"/>
    <mergeCell ref="A25:D25"/>
    <mergeCell ref="E25:H25"/>
    <mergeCell ref="E33:F33"/>
  </mergeCells>
  <pageMargins left="0" right="0" top="0.261811024" bottom="0.261811024" header="0" footer="0"/>
  <pageSetup scale="70"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BD29-CC81-114A-89D7-68FAD9CCA65F}">
  <dimension ref="A1"/>
  <sheetViews>
    <sheetView workbookViewId="0">
      <selection sqref="A1:XFD1048576"/>
    </sheetView>
  </sheetViews>
  <sheetFormatPr baseColWidth="10" defaultColWidth="10.875" defaultRowHeight="14.25" x14ac:dyDescent="0.2"/>
  <cols>
    <col min="1" max="16384" width="10.875" style="35"/>
  </cols>
  <sheetData>
    <row r="1" spans="1:1" ht="31.5" x14ac:dyDescent="0.5">
      <c r="A1" s="4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Lab</vt:lpstr>
      <vt:lpstr>Calcul perso</vt:lpstr>
      <vt:lpstr>Lab!Zone_d_impression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Huard</dc:creator>
  <cp:lastModifiedBy>Charles-Etienne Désormeaux</cp:lastModifiedBy>
  <cp:lastPrinted>2021-10-27T20:18:47Z</cp:lastPrinted>
  <dcterms:created xsi:type="dcterms:W3CDTF">2020-01-04T16:15:50Z</dcterms:created>
  <dcterms:modified xsi:type="dcterms:W3CDTF">2022-03-18T20:34:04Z</dcterms:modified>
</cp:coreProperties>
</file>