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defaultThemeVersion="166925"/>
  <mc:AlternateContent xmlns:mc="http://schemas.openxmlformats.org/markup-compatibility/2006">
    <mc:Choice Requires="x15">
      <x15ac:absPath xmlns:x15ac="http://schemas.microsoft.com/office/spreadsheetml/2010/11/ac" url="\\ENS02.labos.polymtl.ca\profiles\chdess\profiles\downloads\"/>
    </mc:Choice>
  </mc:AlternateContent>
  <xr:revisionPtr revIDLastSave="0" documentId="13_ncr:1_{2F26F0EF-95A6-4B36-BB6E-62CFE8E31D56}" xr6:coauthVersionLast="36" xr6:coauthVersionMax="47" xr10:uidLastSave="{00000000-0000-0000-0000-000000000000}"/>
  <bookViews>
    <workbookView xWindow="0" yWindow="465" windowWidth="25605" windowHeight="14985" xr2:uid="{28DF167E-955D-6E47-90A1-604D2398951C}"/>
  </bookViews>
  <sheets>
    <sheet name="TP5" sheetId="1" r:id="rId1"/>
    <sheet name="Calculs perso" sheetId="2" r:id="rId2"/>
    <sheet name="Feuil1" sheetId="3" r:id="rId3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7" i="1" l="1"/>
  <c r="D59" i="1"/>
  <c r="E59" i="1"/>
  <c r="F59" i="1"/>
  <c r="G59" i="1"/>
  <c r="H59" i="1"/>
  <c r="I59" i="1"/>
  <c r="C59" i="1"/>
  <c r="E58" i="1"/>
  <c r="F58" i="1"/>
  <c r="G58" i="1"/>
  <c r="H58" i="1"/>
  <c r="I58" i="1"/>
  <c r="D58" i="1"/>
  <c r="I57" i="1"/>
  <c r="E57" i="1"/>
  <c r="F57" i="1"/>
  <c r="G57" i="1"/>
  <c r="H57" i="1"/>
  <c r="D57" i="1"/>
  <c r="C57" i="1"/>
  <c r="E55" i="1"/>
  <c r="F55" i="1"/>
  <c r="G55" i="1"/>
  <c r="H55" i="1"/>
  <c r="I55" i="1"/>
  <c r="D55" i="1"/>
  <c r="I54" i="1"/>
  <c r="I53" i="1"/>
  <c r="I52" i="1"/>
  <c r="C50" i="1"/>
  <c r="C48" i="1"/>
  <c r="B14" i="3"/>
  <c r="I40" i="3"/>
  <c r="H40" i="3"/>
  <c r="G40" i="3"/>
  <c r="F40" i="3"/>
  <c r="E40" i="3"/>
  <c r="D40" i="3"/>
  <c r="D33" i="3"/>
  <c r="E33" i="3" s="1"/>
  <c r="F33" i="3" s="1"/>
  <c r="G33" i="3" s="1"/>
  <c r="H33" i="3" s="1"/>
  <c r="I33" i="3" s="1"/>
  <c r="I37" i="3" s="1"/>
  <c r="B33" i="3"/>
  <c r="C30" i="3"/>
  <c r="B34" i="3" s="1"/>
  <c r="I34" i="3" s="1"/>
  <c r="I38" i="3" s="1"/>
  <c r="C28" i="3"/>
  <c r="C39" i="3" s="1"/>
  <c r="C41" i="3" s="1"/>
  <c r="I24" i="3"/>
  <c r="H24" i="3"/>
  <c r="G24" i="3"/>
  <c r="F24" i="3"/>
  <c r="E24" i="3"/>
  <c r="D24" i="3"/>
  <c r="I23" i="3"/>
  <c r="H23" i="3"/>
  <c r="G23" i="3"/>
  <c r="E23" i="3"/>
  <c r="D23" i="3"/>
  <c r="I16" i="3"/>
  <c r="H16" i="3"/>
  <c r="G16" i="3"/>
  <c r="F16" i="3"/>
  <c r="E16" i="3"/>
  <c r="D16" i="3"/>
  <c r="F15" i="3"/>
  <c r="E15" i="3"/>
  <c r="B15" i="3"/>
  <c r="B13" i="3"/>
  <c r="D12" i="3"/>
  <c r="D10" i="3"/>
  <c r="F8" i="3"/>
  <c r="F10" i="3" s="1"/>
  <c r="E8" i="3"/>
  <c r="E12" i="3" s="1"/>
  <c r="B14" i="2"/>
  <c r="I40" i="2"/>
  <c r="H40" i="2"/>
  <c r="G40" i="2"/>
  <c r="F40" i="2"/>
  <c r="E40" i="2"/>
  <c r="D40" i="2"/>
  <c r="D33" i="2"/>
  <c r="E33" i="2" s="1"/>
  <c r="F33" i="2" s="1"/>
  <c r="G33" i="2" s="1"/>
  <c r="H33" i="2" s="1"/>
  <c r="I33" i="2" s="1"/>
  <c r="I37" i="2" s="1"/>
  <c r="B33" i="2"/>
  <c r="C30" i="2"/>
  <c r="B34" i="2" s="1"/>
  <c r="I34" i="2" s="1"/>
  <c r="I38" i="2" s="1"/>
  <c r="C28" i="2"/>
  <c r="C39" i="2" s="1"/>
  <c r="C41" i="2" s="1"/>
  <c r="I24" i="2"/>
  <c r="H24" i="2"/>
  <c r="G24" i="2"/>
  <c r="F24" i="2"/>
  <c r="E24" i="2"/>
  <c r="D24" i="2"/>
  <c r="I23" i="2"/>
  <c r="H23" i="2"/>
  <c r="G23" i="2"/>
  <c r="E23" i="2"/>
  <c r="D23" i="2"/>
  <c r="I16" i="2"/>
  <c r="H16" i="2"/>
  <c r="G16" i="2"/>
  <c r="F16" i="2"/>
  <c r="E16" i="2"/>
  <c r="D16" i="2"/>
  <c r="F15" i="2"/>
  <c r="E15" i="2"/>
  <c r="B15" i="2"/>
  <c r="B13" i="2"/>
  <c r="D12" i="2"/>
  <c r="D10" i="2"/>
  <c r="F8" i="2"/>
  <c r="F10" i="2" s="1"/>
  <c r="E8" i="2"/>
  <c r="E12" i="2" s="1"/>
  <c r="I37" i="1"/>
  <c r="I39" i="1"/>
  <c r="I41" i="1" s="1"/>
  <c r="I36" i="1"/>
  <c r="I38" i="1"/>
  <c r="E23" i="1"/>
  <c r="I40" i="1"/>
  <c r="D16" i="1"/>
  <c r="D14" i="1"/>
  <c r="D19" i="1"/>
  <c r="E41" i="1"/>
  <c r="F41" i="1"/>
  <c r="G41" i="1"/>
  <c r="H41" i="1"/>
  <c r="C41" i="1"/>
  <c r="E40" i="1"/>
  <c r="F40" i="1"/>
  <c r="G40" i="1"/>
  <c r="H40" i="1"/>
  <c r="D40" i="1"/>
  <c r="E39" i="1"/>
  <c r="F39" i="1"/>
  <c r="G39" i="1"/>
  <c r="H39" i="1"/>
  <c r="E26" i="1"/>
  <c r="F26" i="1"/>
  <c r="G26" i="1"/>
  <c r="H26" i="1"/>
  <c r="I26" i="1"/>
  <c r="E25" i="1"/>
  <c r="F25" i="1"/>
  <c r="G25" i="1"/>
  <c r="H25" i="1"/>
  <c r="I25" i="1"/>
  <c r="F24" i="1"/>
  <c r="E24" i="1"/>
  <c r="G24" i="1"/>
  <c r="H24" i="1"/>
  <c r="I24" i="1"/>
  <c r="F23" i="1"/>
  <c r="G23" i="1"/>
  <c r="H23" i="1"/>
  <c r="I23" i="1"/>
  <c r="D23" i="1"/>
  <c r="D24" i="1"/>
  <c r="C39" i="1"/>
  <c r="I34" i="1"/>
  <c r="B34" i="1"/>
  <c r="F33" i="1"/>
  <c r="G33" i="1" s="1"/>
  <c r="H33" i="1" s="1"/>
  <c r="I33" i="1" s="1"/>
  <c r="E33" i="1"/>
  <c r="D33" i="1"/>
  <c r="B33" i="1"/>
  <c r="B32" i="1"/>
  <c r="I32" i="1"/>
  <c r="C30" i="1"/>
  <c r="C28" i="1"/>
  <c r="E20" i="1"/>
  <c r="D20" i="1"/>
  <c r="E19" i="1"/>
  <c r="F19" i="1"/>
  <c r="G19" i="1"/>
  <c r="H19" i="1"/>
  <c r="I19" i="1"/>
  <c r="I20" i="1" s="1"/>
  <c r="F20" i="1"/>
  <c r="G20" i="1"/>
  <c r="H20" i="1"/>
  <c r="E16" i="1"/>
  <c r="F16" i="1"/>
  <c r="G16" i="1"/>
  <c r="H16" i="1"/>
  <c r="I16" i="1"/>
  <c r="F15" i="1"/>
  <c r="E15" i="1"/>
  <c r="E14" i="1"/>
  <c r="F14" i="1"/>
  <c r="G14" i="1"/>
  <c r="H14" i="1"/>
  <c r="I14" i="1"/>
  <c r="E13" i="1"/>
  <c r="F13" i="1"/>
  <c r="G13" i="1"/>
  <c r="H13" i="1"/>
  <c r="I13" i="1"/>
  <c r="D13" i="1"/>
  <c r="B15" i="1"/>
  <c r="E12" i="1"/>
  <c r="F12" i="1"/>
  <c r="G12" i="1"/>
  <c r="H12" i="1"/>
  <c r="I12" i="1"/>
  <c r="D12" i="1"/>
  <c r="B14" i="1"/>
  <c r="B13" i="1"/>
  <c r="E10" i="1"/>
  <c r="F10" i="1"/>
  <c r="G10" i="1"/>
  <c r="H10" i="1"/>
  <c r="I10" i="1"/>
  <c r="D10" i="1"/>
  <c r="G8" i="1"/>
  <c r="H8" i="1" s="1"/>
  <c r="I8" i="1" s="1"/>
  <c r="F8" i="1"/>
  <c r="E8" i="1"/>
  <c r="E19" i="3" l="1"/>
  <c r="F14" i="3"/>
  <c r="E14" i="3"/>
  <c r="D14" i="3"/>
  <c r="G13" i="3"/>
  <c r="G8" i="3"/>
  <c r="G14" i="3" s="1"/>
  <c r="E10" i="3"/>
  <c r="D13" i="3"/>
  <c r="F23" i="3"/>
  <c r="B32" i="3"/>
  <c r="I32" i="3" s="1"/>
  <c r="I36" i="3" s="1"/>
  <c r="F12" i="3"/>
  <c r="E13" i="3"/>
  <c r="F13" i="3"/>
  <c r="F14" i="2"/>
  <c r="E14" i="2"/>
  <c r="D14" i="2"/>
  <c r="G13" i="2"/>
  <c r="G8" i="2"/>
  <c r="E10" i="2"/>
  <c r="D13" i="2"/>
  <c r="F23" i="2"/>
  <c r="B32" i="2"/>
  <c r="I32" i="2" s="1"/>
  <c r="I36" i="2" s="1"/>
  <c r="F12" i="2"/>
  <c r="E13" i="2"/>
  <c r="F13" i="2"/>
  <c r="D26" i="1"/>
  <c r="D39" i="1" s="1"/>
  <c r="D41" i="1" s="1"/>
  <c r="B42" i="1" s="1"/>
  <c r="C76" i="1" s="1"/>
  <c r="D25" i="1"/>
  <c r="H5" i="1"/>
  <c r="G5" i="1"/>
  <c r="E20" i="3" l="1"/>
  <c r="E25" i="3" s="1"/>
  <c r="E26" i="3" s="1"/>
  <c r="E39" i="3" s="1"/>
  <c r="E41" i="3" s="1"/>
  <c r="F19" i="3"/>
  <c r="F20" i="3" s="1"/>
  <c r="D19" i="3"/>
  <c r="D20" i="3" s="1"/>
  <c r="G10" i="3"/>
  <c r="G20" i="3" s="1"/>
  <c r="H8" i="3"/>
  <c r="G12" i="3"/>
  <c r="G19" i="3" s="1"/>
  <c r="E19" i="2"/>
  <c r="F19" i="2"/>
  <c r="F20" i="2" s="1"/>
  <c r="D19" i="2"/>
  <c r="D20" i="2" s="1"/>
  <c r="E20" i="2"/>
  <c r="F25" i="2"/>
  <c r="G10" i="2"/>
  <c r="H8" i="2"/>
  <c r="G12" i="2"/>
  <c r="G14" i="2"/>
  <c r="B77" i="1"/>
  <c r="D77" i="1"/>
  <c r="B66" i="1"/>
  <c r="B71" i="1" s="1"/>
  <c r="I8" i="3" l="1"/>
  <c r="H12" i="3"/>
  <c r="H10" i="3"/>
  <c r="H14" i="3"/>
  <c r="H13" i="3"/>
  <c r="G25" i="3"/>
  <c r="G26" i="3" s="1"/>
  <c r="G39" i="3" s="1"/>
  <c r="G41" i="3" s="1"/>
  <c r="F25" i="3"/>
  <c r="F26" i="3" s="1"/>
  <c r="F39" i="3" s="1"/>
  <c r="F41" i="3" s="1"/>
  <c r="D26" i="3"/>
  <c r="D39" i="3" s="1"/>
  <c r="D41" i="3" s="1"/>
  <c r="D25" i="3"/>
  <c r="G19" i="2"/>
  <c r="G20" i="2" s="1"/>
  <c r="E26" i="2"/>
  <c r="E39" i="2" s="1"/>
  <c r="E41" i="2" s="1"/>
  <c r="E25" i="2"/>
  <c r="I8" i="2"/>
  <c r="H12" i="2"/>
  <c r="H19" i="2" s="1"/>
  <c r="H10" i="2"/>
  <c r="H20" i="2" s="1"/>
  <c r="H14" i="2"/>
  <c r="H13" i="2"/>
  <c r="D25" i="2"/>
  <c r="D26" i="2" s="1"/>
  <c r="D39" i="2" s="1"/>
  <c r="D41" i="2" s="1"/>
  <c r="F26" i="2"/>
  <c r="F39" i="2" s="1"/>
  <c r="F41" i="2" s="1"/>
  <c r="H19" i="3" l="1"/>
  <c r="H20" i="3"/>
  <c r="I12" i="3"/>
  <c r="I10" i="3"/>
  <c r="I13" i="3"/>
  <c r="I14" i="3"/>
  <c r="G25" i="2"/>
  <c r="G26" i="2" s="1"/>
  <c r="G39" i="2" s="1"/>
  <c r="G41" i="2" s="1"/>
  <c r="H25" i="2"/>
  <c r="H26" i="2" s="1"/>
  <c r="H39" i="2" s="1"/>
  <c r="H41" i="2" s="1"/>
  <c r="I12" i="2"/>
  <c r="I19" i="2" s="1"/>
  <c r="I10" i="2"/>
  <c r="I13" i="2"/>
  <c r="I14" i="2"/>
  <c r="I19" i="3" l="1"/>
  <c r="I20" i="3" s="1"/>
  <c r="I25" i="3" s="1"/>
  <c r="I26" i="3" s="1"/>
  <c r="I39" i="3" s="1"/>
  <c r="I41" i="3" s="1"/>
  <c r="H25" i="3"/>
  <c r="H26" i="3" s="1"/>
  <c r="H39" i="3" s="1"/>
  <c r="H41" i="3" s="1"/>
  <c r="I20" i="2"/>
  <c r="B42" i="3" l="1"/>
  <c r="I25" i="2"/>
  <c r="I26" i="2" s="1"/>
  <c r="I39" i="2" s="1"/>
  <c r="I41" i="2" s="1"/>
  <c r="B42" i="2" s="1"/>
</calcChain>
</file>

<file path=xl/sharedStrings.xml><?xml version="1.0" encoding="utf-8"?>
<sst xmlns="http://schemas.openxmlformats.org/spreadsheetml/2006/main" count="157" uniqueCount="59">
  <si>
    <t>Nom :</t>
  </si>
  <si>
    <t>Prénom :</t>
  </si>
  <si>
    <t>Matricule :</t>
  </si>
  <si>
    <t>Groupe :</t>
  </si>
  <si>
    <t>Méthodes d'analyse des projets APRÈS impôt</t>
  </si>
  <si>
    <t>Question 1</t>
  </si>
  <si>
    <t xml:space="preserve">Année </t>
  </si>
  <si>
    <t>DATA</t>
  </si>
  <si>
    <t>Produits des ventes</t>
  </si>
  <si>
    <t>Débours d'exploitation</t>
  </si>
  <si>
    <t>Coût totaux</t>
  </si>
  <si>
    <t>Flux monétaires nets d'exploitation</t>
  </si>
  <si>
    <t>Impôts et amortissements fiscaux</t>
  </si>
  <si>
    <t>Flux monétaires nets après impôts</t>
  </si>
  <si>
    <t>Investissements initiaux</t>
  </si>
  <si>
    <t>Valeurs résiduelles</t>
  </si>
  <si>
    <t>Ajustement fiscal sur disposition d'actif</t>
  </si>
  <si>
    <t>Flux monétaires</t>
  </si>
  <si>
    <t>Facteur d'actualisation</t>
  </si>
  <si>
    <t>Flux monétaires actualisés</t>
  </si>
  <si>
    <t>VAN après impôt</t>
  </si>
  <si>
    <t>fonction excel</t>
  </si>
  <si>
    <t>Question 2 a)</t>
  </si>
  <si>
    <t>a) le coût annuel équivalent après impôt (CAÉ)</t>
  </si>
  <si>
    <t>FMN actualisés totaux</t>
  </si>
  <si>
    <t>Facteur</t>
  </si>
  <si>
    <t>CAÉ</t>
  </si>
  <si>
    <t>Question 2 b)</t>
  </si>
  <si>
    <t>b) l'annuité équivalente après impôt (AÉ)</t>
  </si>
  <si>
    <t>AÉ</t>
  </si>
  <si>
    <t xml:space="preserve">Question 3 </t>
  </si>
  <si>
    <t>Analyse de sensibilité : coûts des frais généraux de fabrication</t>
  </si>
  <si>
    <t>Comptes</t>
  </si>
  <si>
    <t>Nom : Désormeaux</t>
  </si>
  <si>
    <t>Charles-Etienne</t>
  </si>
  <si>
    <t>Nom : Khanafer</t>
  </si>
  <si>
    <t>Diab</t>
  </si>
  <si>
    <t>Unités vendue</t>
  </si>
  <si>
    <t>Prix de vente unitaire</t>
  </si>
  <si>
    <t>Immeuble</t>
  </si>
  <si>
    <t>Équipement</t>
  </si>
  <si>
    <t>Terrain</t>
  </si>
  <si>
    <t>Matière première</t>
  </si>
  <si>
    <t>Main d'œuvre directe</t>
  </si>
  <si>
    <t>Autre frais</t>
  </si>
  <si>
    <t>Publicité</t>
  </si>
  <si>
    <t>Analyse de marché</t>
  </si>
  <si>
    <t>Coût du plan d'affaire</t>
  </si>
  <si>
    <t>Taux d'imposition</t>
  </si>
  <si>
    <t>DPA immeuble</t>
  </si>
  <si>
    <t>DPA équipement</t>
  </si>
  <si>
    <t>Impôts à payer</t>
  </si>
  <si>
    <t>Frais généraux de fabrication unitaire</t>
  </si>
  <si>
    <t>VAN</t>
  </si>
  <si>
    <t>Différence en %</t>
  </si>
  <si>
    <t>-</t>
  </si>
  <si>
    <t>Avec un changement de plus ou moins 10% au coût des frais généraux de fabrication, on remarque que le VAN est très sensible à sa variation.</t>
  </si>
  <si>
    <t>Investissements</t>
  </si>
  <si>
    <t>Coûts totaux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</si>
</sst>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4" formatCode="_ * #,##0.00_)\ &quot;$&quot;_ ;_ * \(#,##0.00\)\ &quot;$&quot;_ ;_ * &quot;-&quot;??_)\ &quot;$&quot;_ ;_ @_ "/>
    <numFmt numFmtId="164" formatCode="_ * #,##0.00_)_ ;_ * \(#,##0.00\)_ ;_ * &quot;-&quot;??_)_ ;_ @_ "/>
    <numFmt numFmtId="165" formatCode="#,##0&quot; u&quot;"/>
    <numFmt numFmtId="166" formatCode="#,##0\ &quot;$&quot;_-;[Red]#,##0\ &quot;$&quot;\-"/>
    <numFmt numFmtId="167" formatCode="_ * #,##0_)\ &quot;$&quot;_ ;_ * \(#,##0\)\ &quot;$&quot;_ ;_ * &quot;-&quot;??_)\ &quot;$&quot;_ ;_ @_ "/>
    <numFmt numFmtId="168" formatCode="#,##0\ &quot;$&quot;_-"/>
    <numFmt numFmtId="169" formatCode="0.0000"/>
    <numFmt numFmtId="170" formatCode="_(* #,##0.00000_);_(* \(#,##0.00000\);_(* &quot;-&quot;??_);_(@_)"/>
    <numFmt numFmtId="171" formatCode="0.000%"/>
    <numFmt numFmtId="172" formatCode="h&quot; h &quot;mm;@"/>
    <numFmt numFmtId="173" formatCode="[$-F800]dddd\,\ mmmm\ dd\,\ yyyy"/>
  </numFmts>
  <fonts count="10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name val="Times Roman"/>
    </font>
    <font>
      <sz val="10"/>
      <name val="Times Roman"/>
    </font>
    <font>
      <b/>
      <sz val="10"/>
      <name val="Times Roman"/>
    </font>
    <font>
      <b/>
      <sz val="10"/>
      <color rgb="FF000000"/>
      <name val="Times Roman"/>
    </font>
    <font>
      <sz val="10"/>
      <color rgb="FF000000"/>
      <name val="Times Roman"/>
    </font>
    <font>
      <i/>
      <sz val="10"/>
      <name val="Times Roman"/>
    </font>
    <font>
      <sz val="12"/>
      <color theme="1"/>
      <name val="Times Roman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B1C8FD"/>
        <bgColor indexed="64"/>
      </patternFill>
    </fill>
    <fill>
      <patternFill patternType="solid">
        <fgColor rgb="FFF7FD7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3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/>
    <xf numFmtId="0" fontId="4" fillId="3" borderId="1" xfId="0" applyFont="1" applyFill="1" applyBorder="1"/>
    <xf numFmtId="0" fontId="4" fillId="3" borderId="2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3" fillId="0" borderId="4" xfId="0" applyFont="1" applyBorder="1"/>
    <xf numFmtId="0" fontId="4" fillId="0" borderId="6" xfId="0" applyFont="1" applyBorder="1"/>
    <xf numFmtId="0" fontId="3" fillId="0" borderId="7" xfId="0" applyFont="1" applyBorder="1" applyAlignment="1">
      <alignment horizontal="center"/>
    </xf>
    <xf numFmtId="167" fontId="4" fillId="0" borderId="7" xfId="0" applyNumberFormat="1" applyFont="1" applyBorder="1"/>
    <xf numFmtId="0" fontId="4" fillId="3" borderId="4" xfId="0" applyFont="1" applyFill="1" applyBorder="1"/>
    <xf numFmtId="167" fontId="3" fillId="3" borderId="5" xfId="0" applyNumberFormat="1" applyFont="1" applyFill="1" applyBorder="1"/>
    <xf numFmtId="167" fontId="3" fillId="0" borderId="5" xfId="0" applyNumberFormat="1" applyFont="1" applyBorder="1"/>
    <xf numFmtId="0" fontId="4" fillId="0" borderId="7" xfId="0" applyFont="1" applyBorder="1" applyAlignment="1">
      <alignment horizontal="center"/>
    </xf>
    <xf numFmtId="0" fontId="5" fillId="0" borderId="8" xfId="0" applyFont="1" applyBorder="1"/>
    <xf numFmtId="0" fontId="3" fillId="0" borderId="9" xfId="0" applyFont="1" applyBorder="1"/>
    <xf numFmtId="167" fontId="5" fillId="0" borderId="9" xfId="0" applyNumberFormat="1" applyFont="1" applyBorder="1"/>
    <xf numFmtId="0" fontId="4" fillId="3" borderId="11" xfId="0" applyFont="1" applyFill="1" applyBorder="1"/>
    <xf numFmtId="0" fontId="4" fillId="3" borderId="12" xfId="0" applyFont="1" applyFill="1" applyBorder="1"/>
    <xf numFmtId="0" fontId="4" fillId="3" borderId="13" xfId="0" applyFont="1" applyFill="1" applyBorder="1"/>
    <xf numFmtId="0" fontId="6" fillId="0" borderId="4" xfId="0" applyFont="1" applyBorder="1"/>
    <xf numFmtId="9" fontId="3" fillId="0" borderId="0" xfId="0" applyNumberFormat="1" applyFont="1" applyAlignment="1">
      <alignment horizontal="center"/>
    </xf>
    <xf numFmtId="0" fontId="6" fillId="0" borderId="8" xfId="0" applyFont="1" applyBorder="1"/>
    <xf numFmtId="0" fontId="5" fillId="0" borderId="6" xfId="0" applyFont="1" applyBorder="1"/>
    <xf numFmtId="0" fontId="3" fillId="0" borderId="7" xfId="0" applyFont="1" applyBorder="1"/>
    <xf numFmtId="167" fontId="5" fillId="0" borderId="7" xfId="0" applyNumberFormat="1" applyFont="1" applyBorder="1"/>
    <xf numFmtId="0" fontId="3" fillId="0" borderId="4" xfId="0" applyFont="1" applyBorder="1" applyAlignment="1">
      <alignment horizontal="left"/>
    </xf>
    <xf numFmtId="0" fontId="3" fillId="0" borderId="8" xfId="0" applyFont="1" applyBorder="1" applyAlignment="1">
      <alignment horizontal="left"/>
    </xf>
    <xf numFmtId="0" fontId="3" fillId="0" borderId="9" xfId="0" applyFont="1" applyBorder="1" applyAlignment="1">
      <alignment horizontal="center"/>
    </xf>
    <xf numFmtId="167" fontId="3" fillId="0" borderId="9" xfId="0" applyNumberFormat="1" applyFont="1" applyBorder="1"/>
    <xf numFmtId="167" fontId="3" fillId="0" borderId="10" xfId="0" applyNumberFormat="1" applyFont="1" applyBorder="1"/>
    <xf numFmtId="167" fontId="3" fillId="0" borderId="9" xfId="2" applyNumberFormat="1" applyFont="1" applyFill="1" applyBorder="1" applyAlignment="1">
      <alignment horizontal="right"/>
    </xf>
    <xf numFmtId="0" fontId="3" fillId="3" borderId="5" xfId="0" applyFont="1" applyFill="1" applyBorder="1"/>
    <xf numFmtId="0" fontId="4" fillId="0" borderId="11" xfId="0" applyFont="1" applyBorder="1"/>
    <xf numFmtId="0" fontId="4" fillId="0" borderId="4" xfId="0" applyFont="1" applyBorder="1"/>
    <xf numFmtId="0" fontId="4" fillId="0" borderId="14" xfId="0" applyFont="1" applyBorder="1"/>
    <xf numFmtId="167" fontId="3" fillId="0" borderId="15" xfId="0" applyNumberFormat="1" applyFont="1" applyBorder="1" applyAlignment="1">
      <alignment horizontal="center"/>
    </xf>
    <xf numFmtId="167" fontId="3" fillId="0" borderId="15" xfId="0" applyNumberFormat="1" applyFont="1" applyBorder="1"/>
    <xf numFmtId="167" fontId="4" fillId="0" borderId="4" xfId="2" applyNumberFormat="1" applyFont="1" applyBorder="1" applyAlignment="1"/>
    <xf numFmtId="167" fontId="4" fillId="0" borderId="0" xfId="0" applyNumberFormat="1" applyFont="1" applyAlignment="1">
      <alignment horizontal="center"/>
    </xf>
    <xf numFmtId="167" fontId="4" fillId="0" borderId="0" xfId="0" applyNumberFormat="1" applyFont="1"/>
    <xf numFmtId="0" fontId="4" fillId="0" borderId="23" xfId="0" applyFont="1" applyBorder="1" applyAlignment="1">
      <alignment horizontal="left"/>
    </xf>
    <xf numFmtId="167" fontId="4" fillId="0" borderId="0" xfId="2" applyNumberFormat="1" applyFont="1" applyFill="1" applyBorder="1" applyAlignment="1">
      <alignment horizontal="center"/>
    </xf>
    <xf numFmtId="169" fontId="3" fillId="0" borderId="0" xfId="0" applyNumberFormat="1" applyFont="1" applyAlignment="1">
      <alignment horizontal="center"/>
    </xf>
    <xf numFmtId="171" fontId="3" fillId="0" borderId="0" xfId="0" applyNumberFormat="1" applyFont="1" applyAlignment="1">
      <alignment horizontal="center"/>
    </xf>
    <xf numFmtId="0" fontId="4" fillId="3" borderId="17" xfId="0" applyFont="1" applyFill="1" applyBorder="1"/>
    <xf numFmtId="0" fontId="4" fillId="3" borderId="18" xfId="0" applyFont="1" applyFill="1" applyBorder="1"/>
    <xf numFmtId="0" fontId="4" fillId="3" borderId="19" xfId="0" applyFont="1" applyFill="1" applyBorder="1"/>
    <xf numFmtId="0" fontId="3" fillId="4" borderId="4" xfId="0" applyFont="1" applyFill="1" applyBorder="1" applyAlignment="1">
      <alignment horizontal="right"/>
    </xf>
    <xf numFmtId="0" fontId="3" fillId="0" borderId="5" xfId="0" applyFont="1" applyBorder="1"/>
    <xf numFmtId="10" fontId="3" fillId="0" borderId="0" xfId="3" applyNumberFormat="1" applyFont="1" applyAlignment="1">
      <alignment horizontal="center"/>
    </xf>
    <xf numFmtId="167" fontId="3" fillId="0" borderId="0" xfId="0" applyNumberFormat="1" applyFont="1" applyBorder="1"/>
    <xf numFmtId="165" fontId="3" fillId="0" borderId="0" xfId="0" applyNumberFormat="1" applyFont="1" applyBorder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167" fontId="3" fillId="3" borderId="0" xfId="0" applyNumberFormat="1" applyFont="1" applyFill="1" applyBorder="1"/>
    <xf numFmtId="0" fontId="3" fillId="0" borderId="0" xfId="0" applyFont="1" applyBorder="1" applyAlignment="1">
      <alignment horizontal="center"/>
    </xf>
    <xf numFmtId="0" fontId="3" fillId="0" borderId="0" xfId="0" applyFont="1" applyBorder="1"/>
    <xf numFmtId="168" fontId="3" fillId="3" borderId="0" xfId="0" applyNumberFormat="1" applyFont="1" applyFill="1" applyBorder="1" applyAlignment="1">
      <alignment horizontal="center"/>
    </xf>
    <xf numFmtId="0" fontId="3" fillId="3" borderId="0" xfId="0" applyFont="1" applyFill="1" applyBorder="1"/>
    <xf numFmtId="167" fontId="3" fillId="0" borderId="0" xfId="0" applyNumberFormat="1" applyFont="1" applyBorder="1" applyAlignment="1">
      <alignment horizontal="center"/>
    </xf>
    <xf numFmtId="167" fontId="3" fillId="5" borderId="0" xfId="0" applyNumberFormat="1" applyFont="1" applyFill="1" applyBorder="1"/>
    <xf numFmtId="0" fontId="3" fillId="0" borderId="7" xfId="0" applyFont="1" applyFill="1" applyBorder="1" applyAlignment="1">
      <alignment horizontal="center"/>
    </xf>
    <xf numFmtId="0" fontId="3" fillId="5" borderId="0" xfId="0" applyFont="1" applyFill="1" applyBorder="1" applyAlignment="1">
      <alignment horizontal="center"/>
    </xf>
    <xf numFmtId="0" fontId="3" fillId="5" borderId="9" xfId="0" applyFont="1" applyFill="1" applyBorder="1" applyAlignment="1">
      <alignment horizontal="center"/>
    </xf>
    <xf numFmtId="168" fontId="3" fillId="5" borderId="0" xfId="0" applyNumberFormat="1" applyFont="1" applyFill="1" applyBorder="1" applyAlignment="1">
      <alignment horizontal="center"/>
    </xf>
    <xf numFmtId="9" fontId="3" fillId="5" borderId="15" xfId="0" applyNumberFormat="1" applyFont="1" applyFill="1" applyBorder="1" applyAlignment="1">
      <alignment horizontal="center"/>
    </xf>
    <xf numFmtId="167" fontId="3" fillId="0" borderId="8" xfId="2" applyNumberFormat="1" applyFont="1" applyBorder="1"/>
    <xf numFmtId="0" fontId="3" fillId="0" borderId="4" xfId="0" applyFont="1" applyFill="1" applyBorder="1" applyAlignment="1">
      <alignment horizontal="right"/>
    </xf>
    <xf numFmtId="0" fontId="3" fillId="0" borderId="5" xfId="0" applyFont="1" applyFill="1" applyBorder="1"/>
    <xf numFmtId="0" fontId="4" fillId="0" borderId="4" xfId="0" applyFont="1" applyFill="1" applyBorder="1" applyAlignment="1">
      <alignment horizontal="right"/>
    </xf>
    <xf numFmtId="10" fontId="4" fillId="0" borderId="0" xfId="3" applyNumberFormat="1" applyFont="1" applyFill="1" applyBorder="1" applyAlignment="1">
      <alignment horizontal="center"/>
    </xf>
    <xf numFmtId="10" fontId="3" fillId="0" borderId="0" xfId="3" applyNumberFormat="1" applyFont="1" applyFill="1" applyBorder="1" applyAlignment="1">
      <alignment horizontal="center"/>
    </xf>
    <xf numFmtId="10" fontId="3" fillId="0" borderId="5" xfId="3" applyNumberFormat="1" applyFont="1" applyFill="1" applyBorder="1" applyAlignment="1">
      <alignment horizontal="center"/>
    </xf>
    <xf numFmtId="0" fontId="4" fillId="0" borderId="5" xfId="0" applyFont="1" applyFill="1" applyBorder="1"/>
    <xf numFmtId="0" fontId="3" fillId="0" borderId="4" xfId="0" applyFont="1" applyFill="1" applyBorder="1"/>
    <xf numFmtId="0" fontId="3" fillId="0" borderId="14" xfId="0" applyFont="1" applyFill="1" applyBorder="1"/>
    <xf numFmtId="0" fontId="3" fillId="0" borderId="15" xfId="0" applyFont="1" applyFill="1" applyBorder="1"/>
    <xf numFmtId="0" fontId="3" fillId="0" borderId="15" xfId="0" applyFont="1" applyFill="1" applyBorder="1" applyAlignment="1">
      <alignment horizontal="center"/>
    </xf>
    <xf numFmtId="0" fontId="4" fillId="0" borderId="16" xfId="0" applyFont="1" applyFill="1" applyBorder="1"/>
    <xf numFmtId="167" fontId="4" fillId="0" borderId="0" xfId="0" applyNumberFormat="1" applyFont="1" applyFill="1" applyBorder="1"/>
    <xf numFmtId="167" fontId="3" fillId="0" borderId="0" xfId="0" applyNumberFormat="1" applyFont="1" applyFill="1" applyBorder="1"/>
    <xf numFmtId="0" fontId="6" fillId="5" borderId="0" xfId="0" applyFont="1" applyFill="1" applyBorder="1" applyAlignment="1">
      <alignment horizontal="left"/>
    </xf>
    <xf numFmtId="0" fontId="3" fillId="5" borderId="9" xfId="0" applyFont="1" applyFill="1" applyBorder="1"/>
    <xf numFmtId="0" fontId="3" fillId="3" borderId="12" xfId="0" applyFont="1" applyFill="1" applyBorder="1"/>
    <xf numFmtId="167" fontId="3" fillId="5" borderId="15" xfId="0" applyNumberFormat="1" applyFont="1" applyFill="1" applyBorder="1"/>
    <xf numFmtId="167" fontId="3" fillId="5" borderId="9" xfId="0" applyNumberFormat="1" applyFont="1" applyFill="1" applyBorder="1"/>
    <xf numFmtId="0" fontId="8" fillId="0" borderId="0" xfId="0" applyFont="1"/>
    <xf numFmtId="0" fontId="8" fillId="0" borderId="24" xfId="0" applyFont="1" applyBorder="1" applyAlignment="1"/>
    <xf numFmtId="0" fontId="8" fillId="0" borderId="25" xfId="0" applyFont="1" applyBorder="1" applyAlignment="1"/>
    <xf numFmtId="0" fontId="8" fillId="0" borderId="7" xfId="0" applyFont="1" applyBorder="1" applyAlignment="1"/>
    <xf numFmtId="0" fontId="3" fillId="6" borderId="17" xfId="0" applyFont="1" applyFill="1" applyBorder="1"/>
    <xf numFmtId="0" fontId="7" fillId="6" borderId="14" xfId="0" applyFont="1" applyFill="1" applyBorder="1"/>
    <xf numFmtId="9" fontId="3" fillId="4" borderId="0" xfId="0" applyNumberFormat="1" applyFont="1" applyFill="1" applyBorder="1" applyAlignment="1">
      <alignment horizontal="center"/>
    </xf>
    <xf numFmtId="0" fontId="4" fillId="0" borderId="0" xfId="0" applyFont="1" applyFill="1" applyBorder="1"/>
    <xf numFmtId="0" fontId="4" fillId="0" borderId="0" xfId="0" applyFont="1" applyFill="1" applyBorder="1" applyAlignment="1">
      <alignment horizontal="center"/>
    </xf>
    <xf numFmtId="0" fontId="3" fillId="0" borderId="0" xfId="0" applyFont="1" applyFill="1" applyBorder="1"/>
    <xf numFmtId="0" fontId="3" fillId="0" borderId="0" xfId="0" applyFont="1" applyFill="1" applyBorder="1" applyAlignment="1">
      <alignment horizontal="center"/>
    </xf>
    <xf numFmtId="0" fontId="4" fillId="0" borderId="17" xfId="0" applyNumberFormat="1" applyFont="1" applyFill="1" applyBorder="1"/>
    <xf numFmtId="0" fontId="3" fillId="0" borderId="18" xfId="0" applyNumberFormat="1" applyFont="1" applyFill="1" applyBorder="1" applyAlignment="1">
      <alignment horizontal="center"/>
    </xf>
    <xf numFmtId="0" fontId="4" fillId="0" borderId="18" xfId="2" applyNumberFormat="1" applyFont="1" applyFill="1" applyBorder="1" applyAlignment="1">
      <alignment horizontal="center"/>
    </xf>
    <xf numFmtId="0" fontId="4" fillId="0" borderId="19" xfId="2" applyNumberFormat="1" applyFont="1" applyFill="1" applyBorder="1" applyAlignment="1">
      <alignment horizontal="center"/>
    </xf>
    <xf numFmtId="0" fontId="4" fillId="0" borderId="4" xfId="0" applyNumberFormat="1" applyFont="1" applyFill="1" applyBorder="1"/>
    <xf numFmtId="0" fontId="3" fillId="0" borderId="0" xfId="0" applyNumberFormat="1" applyFont="1" applyFill="1" applyBorder="1" applyAlignment="1">
      <alignment horizontal="center"/>
    </xf>
    <xf numFmtId="0" fontId="3" fillId="0" borderId="5" xfId="0" applyNumberFormat="1" applyFont="1" applyFill="1" applyBorder="1" applyAlignment="1">
      <alignment horizontal="center"/>
    </xf>
    <xf numFmtId="0" fontId="4" fillId="0" borderId="0" xfId="0" applyNumberFormat="1" applyFont="1" applyFill="1" applyBorder="1" applyAlignment="1">
      <alignment horizontal="center"/>
    </xf>
    <xf numFmtId="0" fontId="4" fillId="0" borderId="5" xfId="0" applyNumberFormat="1" applyFont="1" applyFill="1" applyBorder="1" applyAlignment="1">
      <alignment horizontal="center"/>
    </xf>
    <xf numFmtId="0" fontId="3" fillId="0" borderId="0" xfId="0" applyNumberFormat="1" applyFont="1" applyFill="1" applyBorder="1"/>
    <xf numFmtId="0" fontId="3" fillId="0" borderId="5" xfId="0" applyNumberFormat="1" applyFont="1" applyFill="1" applyBorder="1"/>
    <xf numFmtId="0" fontId="4" fillId="0" borderId="14" xfId="0" applyNumberFormat="1" applyFont="1" applyFill="1" applyBorder="1"/>
    <xf numFmtId="0" fontId="3" fillId="0" borderId="15" xfId="2" applyNumberFormat="1" applyFont="1" applyFill="1" applyBorder="1"/>
    <xf numFmtId="0" fontId="3" fillId="0" borderId="15" xfId="0" applyNumberFormat="1" applyFont="1" applyFill="1" applyBorder="1"/>
    <xf numFmtId="0" fontId="3" fillId="0" borderId="16" xfId="0" applyNumberFormat="1" applyFont="1" applyFill="1" applyBorder="1"/>
    <xf numFmtId="0" fontId="2" fillId="0" borderId="0" xfId="0" applyFont="1" applyFill="1" applyAlignment="1">
      <alignment horizontal="center"/>
    </xf>
    <xf numFmtId="172" fontId="9" fillId="0" borderId="0" xfId="0" applyNumberFormat="1" applyFont="1" applyFill="1" applyAlignment="1">
      <alignment horizontal="center"/>
    </xf>
    <xf numFmtId="0" fontId="4" fillId="3" borderId="18" xfId="0" applyFont="1" applyFill="1" applyBorder="1" applyAlignment="1">
      <alignment horizontal="center"/>
    </xf>
    <xf numFmtId="0" fontId="4" fillId="3" borderId="17" xfId="0" applyFont="1" applyFill="1" applyBorder="1" applyAlignment="1">
      <alignment horizontal="center"/>
    </xf>
    <xf numFmtId="0" fontId="4" fillId="3" borderId="18" xfId="0" applyFont="1" applyFill="1" applyBorder="1" applyAlignment="1">
      <alignment horizontal="center"/>
    </xf>
    <xf numFmtId="0" fontId="4" fillId="3" borderId="19" xfId="0" applyFont="1" applyFill="1" applyBorder="1" applyAlignment="1">
      <alignment horizontal="center"/>
    </xf>
    <xf numFmtId="0" fontId="4" fillId="0" borderId="15" xfId="1" applyNumberFormat="1" applyFont="1" applyFill="1" applyBorder="1" applyAlignment="1">
      <alignment horizontal="right"/>
    </xf>
    <xf numFmtId="167" fontId="3" fillId="6" borderId="20" xfId="0" applyNumberFormat="1" applyFont="1" applyFill="1" applyBorder="1" applyAlignment="1">
      <alignment horizontal="center" vertical="center"/>
    </xf>
    <xf numFmtId="167" fontId="3" fillId="6" borderId="16" xfId="0" applyNumberFormat="1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167" fontId="3" fillId="6" borderId="18" xfId="2" applyNumberFormat="1" applyFont="1" applyFill="1" applyBorder="1" applyAlignment="1">
      <alignment horizontal="center" vertical="center"/>
    </xf>
    <xf numFmtId="167" fontId="3" fillId="6" borderId="19" xfId="2" applyNumberFormat="1" applyFont="1" applyFill="1" applyBorder="1" applyAlignment="1">
      <alignment horizontal="center" vertical="center"/>
    </xf>
    <xf numFmtId="167" fontId="3" fillId="6" borderId="15" xfId="2" applyNumberFormat="1" applyFont="1" applyFill="1" applyBorder="1" applyAlignment="1">
      <alignment horizontal="center"/>
    </xf>
    <xf numFmtId="167" fontId="3" fillId="6" borderId="16" xfId="2" applyNumberFormat="1" applyFont="1" applyFill="1" applyBorder="1" applyAlignment="1">
      <alignment horizontal="center"/>
    </xf>
    <xf numFmtId="167" fontId="3" fillId="5" borderId="20" xfId="2" applyNumberFormat="1" applyFont="1" applyFill="1" applyBorder="1" applyAlignment="1">
      <alignment horizontal="center"/>
    </xf>
    <xf numFmtId="167" fontId="3" fillId="5" borderId="16" xfId="2" applyNumberFormat="1" applyFont="1" applyFill="1" applyBorder="1" applyAlignment="1">
      <alignment horizontal="center"/>
    </xf>
    <xf numFmtId="170" fontId="4" fillId="5" borderId="21" xfId="1" applyNumberFormat="1" applyFont="1" applyFill="1" applyBorder="1" applyAlignment="1">
      <alignment horizontal="center"/>
    </xf>
    <xf numFmtId="170" fontId="4" fillId="5" borderId="22" xfId="1" applyNumberFormat="1" applyFont="1" applyFill="1" applyBorder="1" applyAlignment="1">
      <alignment horizontal="center"/>
    </xf>
    <xf numFmtId="167" fontId="3" fillId="6" borderId="21" xfId="0" applyNumberFormat="1" applyFont="1" applyFill="1" applyBorder="1" applyAlignment="1">
      <alignment horizontal="center" vertical="center"/>
    </xf>
    <xf numFmtId="167" fontId="3" fillId="6" borderId="22" xfId="0" applyNumberFormat="1" applyFont="1" applyFill="1" applyBorder="1" applyAlignment="1">
      <alignment horizontal="center" vertical="center"/>
    </xf>
    <xf numFmtId="173" fontId="9" fillId="0" borderId="0" xfId="0" applyNumberFormat="1" applyFont="1" applyFill="1" applyBorder="1" applyAlignment="1">
      <alignment horizontal="center"/>
    </xf>
    <xf numFmtId="173" fontId="9" fillId="0" borderId="0" xfId="0" applyNumberFormat="1" applyFont="1" applyBorder="1" applyAlignment="1">
      <alignment horizontal="center"/>
    </xf>
    <xf numFmtId="10" fontId="3" fillId="5" borderId="0" xfId="0" applyNumberFormat="1" applyFont="1" applyFill="1" applyBorder="1"/>
    <xf numFmtId="167" fontId="3" fillId="5" borderId="0" xfId="0" applyNumberFormat="1" applyFont="1" applyFill="1" applyBorder="1" applyAlignment="1">
      <alignment horizontal="center"/>
    </xf>
    <xf numFmtId="0" fontId="3" fillId="5" borderId="0" xfId="0" applyNumberFormat="1" applyFont="1" applyFill="1" applyBorder="1"/>
    <xf numFmtId="2" fontId="3" fillId="5" borderId="0" xfId="0" applyNumberFormat="1" applyFont="1" applyFill="1" applyBorder="1"/>
    <xf numFmtId="0" fontId="4" fillId="0" borderId="0" xfId="0" applyNumberFormat="1" applyFont="1" applyBorder="1"/>
    <xf numFmtId="0" fontId="4" fillId="0" borderId="5" xfId="0" applyNumberFormat="1" applyFont="1" applyBorder="1"/>
    <xf numFmtId="167" fontId="3" fillId="0" borderId="18" xfId="0" applyNumberFormat="1" applyFont="1" applyFill="1" applyBorder="1" applyAlignment="1">
      <alignment horizontal="center"/>
    </xf>
    <xf numFmtId="0" fontId="3" fillId="0" borderId="4" xfId="0" applyFont="1" applyFill="1" applyBorder="1" applyAlignment="1">
      <alignment horizontal="left"/>
    </xf>
    <xf numFmtId="167" fontId="0" fillId="0" borderId="0" xfId="0" applyNumberFormat="1"/>
    <xf numFmtId="165" fontId="0" fillId="0" borderId="0" xfId="0" applyNumberFormat="1"/>
    <xf numFmtId="2" fontId="0" fillId="0" borderId="0" xfId="0" applyNumberFormat="1"/>
    <xf numFmtId="9" fontId="3" fillId="0" borderId="0" xfId="3" applyFont="1" applyFill="1" applyBorder="1"/>
    <xf numFmtId="9" fontId="3" fillId="5" borderId="0" xfId="3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 wrapText="1"/>
    </xf>
    <xf numFmtId="0" fontId="3" fillId="0" borderId="0" xfId="0" applyFont="1" applyFill="1" applyBorder="1" applyAlignment="1">
      <alignment horizontal="center" wrapText="1"/>
    </xf>
    <xf numFmtId="0" fontId="3" fillId="0" borderId="5" xfId="0" applyFont="1" applyFill="1" applyBorder="1" applyAlignment="1">
      <alignment horizontal="center" wrapText="1"/>
    </xf>
    <xf numFmtId="167" fontId="4" fillId="0" borderId="4" xfId="2" applyNumberFormat="1" applyFont="1" applyBorder="1"/>
  </cellXfs>
  <cellStyles count="4">
    <cellStyle name="Milliers" xfId="1" builtinId="3"/>
    <cellStyle name="Monétaire" xfId="2" builtinId="4"/>
    <cellStyle name="Normal" xfId="0" builtinId="0"/>
    <cellStyle name="Pourcentag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ADEB1-DA7E-494C-ADC4-D08447DE2EAC}">
  <dimension ref="A1:I92"/>
  <sheetViews>
    <sheetView tabSelected="1" view="pageLayout" topLeftCell="A49" zoomScaleNormal="92" workbookViewId="0">
      <selection activeCell="B68" sqref="B68"/>
    </sheetView>
  </sheetViews>
  <sheetFormatPr baseColWidth="10" defaultColWidth="10.875" defaultRowHeight="15.75"/>
  <cols>
    <col min="1" max="1" width="28.375" style="88" customWidth="1"/>
    <col min="2" max="16384" width="10.875" style="88"/>
  </cols>
  <sheetData>
    <row r="1" spans="1:9">
      <c r="A1" s="89" t="s">
        <v>33</v>
      </c>
      <c r="B1" s="90"/>
      <c r="C1" s="89" t="s">
        <v>1</v>
      </c>
      <c r="D1" s="91" t="s">
        <v>34</v>
      </c>
      <c r="E1" s="90"/>
      <c r="F1" s="89" t="s">
        <v>2</v>
      </c>
      <c r="G1" s="90">
        <v>1956442</v>
      </c>
      <c r="H1" s="89" t="s">
        <v>3</v>
      </c>
      <c r="I1" s="90">
        <v>7</v>
      </c>
    </row>
    <row r="2" spans="1:9">
      <c r="A2" s="89" t="s">
        <v>35</v>
      </c>
      <c r="B2" s="90"/>
      <c r="C2" s="89" t="s">
        <v>1</v>
      </c>
      <c r="D2" s="91" t="s">
        <v>36</v>
      </c>
      <c r="E2" s="90"/>
      <c r="F2" s="89" t="s">
        <v>2</v>
      </c>
      <c r="G2" s="90">
        <v>1952548</v>
      </c>
      <c r="H2" s="89" t="s">
        <v>3</v>
      </c>
      <c r="I2" s="90">
        <v>7</v>
      </c>
    </row>
    <row r="3" spans="1:9">
      <c r="A3" s="89" t="s">
        <v>0</v>
      </c>
      <c r="B3" s="90"/>
      <c r="C3" s="89" t="s">
        <v>1</v>
      </c>
      <c r="D3" s="91"/>
      <c r="E3" s="90"/>
      <c r="F3" s="89" t="s">
        <v>2</v>
      </c>
      <c r="G3" s="90"/>
      <c r="H3" s="89" t="s">
        <v>3</v>
      </c>
      <c r="I3" s="90"/>
    </row>
    <row r="4" spans="1:9" ht="18.75">
      <c r="A4" s="123" t="s">
        <v>4</v>
      </c>
      <c r="B4" s="123"/>
      <c r="C4" s="123"/>
      <c r="D4" s="123"/>
      <c r="E4" s="123"/>
      <c r="F4" s="123"/>
      <c r="G4" s="123"/>
      <c r="H4" s="123"/>
      <c r="I4" s="123"/>
    </row>
    <row r="5" spans="1:9" ht="18.75">
      <c r="A5" s="114"/>
      <c r="B5" s="114"/>
      <c r="C5" s="114"/>
      <c r="D5" s="114"/>
      <c r="E5" s="114"/>
      <c r="F5" s="114"/>
      <c r="G5" s="115">
        <f ca="1">NOW()</f>
        <v>44670.730697222221</v>
      </c>
      <c r="H5" s="134">
        <f ca="1">NOW()</f>
        <v>44670.730697222221</v>
      </c>
      <c r="I5" s="135"/>
    </row>
    <row r="6" spans="1:9" ht="16.5" thickBot="1">
      <c r="A6" s="3" t="s">
        <v>5</v>
      </c>
      <c r="B6" s="1"/>
      <c r="C6" s="2"/>
      <c r="D6" s="1"/>
      <c r="E6" s="1"/>
      <c r="F6" s="1"/>
    </row>
    <row r="7" spans="1:9">
      <c r="A7" s="4" t="s">
        <v>6</v>
      </c>
      <c r="B7" s="5" t="s">
        <v>7</v>
      </c>
      <c r="C7" s="5">
        <v>2022</v>
      </c>
      <c r="D7" s="5">
        <v>2023</v>
      </c>
      <c r="E7" s="5">
        <v>2024</v>
      </c>
      <c r="F7" s="5">
        <v>2025</v>
      </c>
      <c r="G7" s="5">
        <v>2026</v>
      </c>
      <c r="H7" s="5">
        <v>2027</v>
      </c>
      <c r="I7" s="6">
        <v>2028</v>
      </c>
    </row>
    <row r="8" spans="1:9">
      <c r="A8" s="7" t="s">
        <v>37</v>
      </c>
      <c r="B8" s="62"/>
      <c r="C8" s="52"/>
      <c r="D8" s="53">
        <v>400</v>
      </c>
      <c r="E8" s="53">
        <f>D8*1.07</f>
        <v>428</v>
      </c>
      <c r="F8" s="53">
        <f>E8*1.07</f>
        <v>457.96000000000004</v>
      </c>
      <c r="G8" s="53">
        <f t="shared" ref="G8:I8" si="0">F8*1.07</f>
        <v>490.01720000000006</v>
      </c>
      <c r="H8" s="53">
        <f t="shared" si="0"/>
        <v>524.3184040000001</v>
      </c>
      <c r="I8" s="53">
        <f t="shared" si="0"/>
        <v>561.02069228000016</v>
      </c>
    </row>
    <row r="9" spans="1:9">
      <c r="A9" s="7" t="s">
        <v>38</v>
      </c>
      <c r="B9" s="62"/>
      <c r="C9" s="52"/>
      <c r="D9" s="52">
        <v>6080</v>
      </c>
      <c r="E9" s="52">
        <v>6080</v>
      </c>
      <c r="F9" s="52">
        <v>6080</v>
      </c>
      <c r="G9" s="52">
        <v>6080</v>
      </c>
      <c r="H9" s="52">
        <v>6080</v>
      </c>
      <c r="I9" s="52">
        <v>6080</v>
      </c>
    </row>
    <row r="10" spans="1:9">
      <c r="A10" s="8" t="s">
        <v>8</v>
      </c>
      <c r="B10" s="63"/>
      <c r="C10" s="9"/>
      <c r="D10" s="10">
        <f>D8*D9</f>
        <v>2432000</v>
      </c>
      <c r="E10" s="10">
        <f t="shared" ref="E10:I10" si="1">E8*E9</f>
        <v>2602240</v>
      </c>
      <c r="F10" s="10">
        <f t="shared" si="1"/>
        <v>2784396.8000000003</v>
      </c>
      <c r="G10" s="10">
        <f t="shared" si="1"/>
        <v>2979304.5760000004</v>
      </c>
      <c r="H10" s="10">
        <f t="shared" si="1"/>
        <v>3187855.8963200008</v>
      </c>
      <c r="I10" s="10">
        <f t="shared" si="1"/>
        <v>3411005.8090624008</v>
      </c>
    </row>
    <row r="11" spans="1:9">
      <c r="A11" s="11" t="s">
        <v>9</v>
      </c>
      <c r="B11" s="55"/>
      <c r="C11" s="55"/>
      <c r="D11" s="56"/>
      <c r="E11" s="56"/>
      <c r="F11" s="56"/>
      <c r="G11" s="56"/>
      <c r="H11" s="56"/>
      <c r="I11" s="12"/>
    </row>
    <row r="12" spans="1:9">
      <c r="A12" s="7" t="s">
        <v>42</v>
      </c>
      <c r="B12" s="62">
        <v>740</v>
      </c>
      <c r="C12" s="54"/>
      <c r="D12" s="52">
        <f>D8*$B$12</f>
        <v>296000</v>
      </c>
      <c r="E12" s="52">
        <f t="shared" ref="E12:I12" si="2">E8*$B$12</f>
        <v>316720</v>
      </c>
      <c r="F12" s="52">
        <f t="shared" si="2"/>
        <v>338890.4</v>
      </c>
      <c r="G12" s="52">
        <f t="shared" si="2"/>
        <v>362612.72800000006</v>
      </c>
      <c r="H12" s="52">
        <f t="shared" si="2"/>
        <v>387995.61896000005</v>
      </c>
      <c r="I12" s="52">
        <f t="shared" si="2"/>
        <v>415155.31228720013</v>
      </c>
    </row>
    <row r="13" spans="1:9">
      <c r="A13" s="7" t="s">
        <v>43</v>
      </c>
      <c r="B13" s="62">
        <f>3.4*B12</f>
        <v>2516</v>
      </c>
      <c r="C13" s="54"/>
      <c r="D13" s="52">
        <f>$B$13*D8</f>
        <v>1006400</v>
      </c>
      <c r="E13" s="52">
        <f t="shared" ref="E13:I13" si="3">$B$13*E8</f>
        <v>1076848</v>
      </c>
      <c r="F13" s="52">
        <f t="shared" si="3"/>
        <v>1152227.3600000001</v>
      </c>
      <c r="G13" s="52">
        <f t="shared" si="3"/>
        <v>1232883.2752000003</v>
      </c>
      <c r="H13" s="52">
        <f t="shared" si="3"/>
        <v>1319185.1044640003</v>
      </c>
      <c r="I13" s="52">
        <f t="shared" si="3"/>
        <v>1411528.0617764804</v>
      </c>
    </row>
    <row r="14" spans="1:9">
      <c r="A14" s="7" t="s">
        <v>52</v>
      </c>
      <c r="B14" s="62">
        <f>0.41*B13</f>
        <v>1031.56</v>
      </c>
      <c r="C14" s="54"/>
      <c r="D14" s="52">
        <f>$B$14*D8</f>
        <v>412624</v>
      </c>
      <c r="E14" s="52">
        <f t="shared" ref="E14:I14" si="4">$B$14*E8</f>
        <v>441507.68</v>
      </c>
      <c r="F14" s="52">
        <f t="shared" si="4"/>
        <v>472413.21760000003</v>
      </c>
      <c r="G14" s="52">
        <f t="shared" si="4"/>
        <v>505482.14283200004</v>
      </c>
      <c r="H14" s="52">
        <f t="shared" si="4"/>
        <v>540865.89283024007</v>
      </c>
      <c r="I14" s="52">
        <f t="shared" si="4"/>
        <v>578726.50532835699</v>
      </c>
    </row>
    <row r="15" spans="1:9">
      <c r="A15" s="7" t="s">
        <v>45</v>
      </c>
      <c r="B15" s="62">
        <f>7400</f>
        <v>7400</v>
      </c>
      <c r="C15" s="54"/>
      <c r="D15" s="52"/>
      <c r="E15" s="52">
        <f>B15</f>
        <v>7400</v>
      </c>
      <c r="F15" s="52">
        <f>B15</f>
        <v>7400</v>
      </c>
      <c r="G15" s="52"/>
      <c r="H15" s="52"/>
      <c r="I15" s="13"/>
    </row>
    <row r="16" spans="1:9">
      <c r="A16" s="7" t="s">
        <v>44</v>
      </c>
      <c r="B16" s="62">
        <v>337500</v>
      </c>
      <c r="C16" s="54"/>
      <c r="D16" s="52">
        <f>$B$16</f>
        <v>337500</v>
      </c>
      <c r="E16" s="52">
        <f t="shared" ref="E16:I16" si="5">$B$16</f>
        <v>337500</v>
      </c>
      <c r="F16" s="52">
        <f t="shared" si="5"/>
        <v>337500</v>
      </c>
      <c r="G16" s="52">
        <f t="shared" si="5"/>
        <v>337500</v>
      </c>
      <c r="H16" s="52">
        <f t="shared" si="5"/>
        <v>337500</v>
      </c>
      <c r="I16" s="52">
        <f t="shared" si="5"/>
        <v>337500</v>
      </c>
    </row>
    <row r="17" spans="1:9">
      <c r="A17" s="7" t="s">
        <v>46</v>
      </c>
      <c r="B17" s="62"/>
      <c r="C17" s="57"/>
      <c r="D17" s="52">
        <v>3800</v>
      </c>
      <c r="E17" s="52"/>
      <c r="F17" s="52"/>
      <c r="G17" s="52"/>
      <c r="H17" s="52"/>
      <c r="I17" s="13"/>
    </row>
    <row r="18" spans="1:9">
      <c r="A18" s="7" t="s">
        <v>47</v>
      </c>
      <c r="B18" s="62"/>
      <c r="C18" s="57"/>
      <c r="D18" s="52">
        <v>11500</v>
      </c>
      <c r="E18" s="52"/>
      <c r="F18" s="58"/>
      <c r="G18" s="52"/>
      <c r="H18" s="52"/>
      <c r="I18" s="13"/>
    </row>
    <row r="19" spans="1:9">
      <c r="A19" s="8" t="s">
        <v>10</v>
      </c>
      <c r="B19" s="14"/>
      <c r="C19" s="14"/>
      <c r="D19" s="10">
        <f xml:space="preserve"> SUM(D12:D18)</f>
        <v>2067824</v>
      </c>
      <c r="E19" s="10">
        <f xml:space="preserve"> SUM(E12:E18)</f>
        <v>2179975.6799999997</v>
      </c>
      <c r="F19" s="10">
        <f t="shared" ref="E19:I19" si="6" xml:space="preserve"> SUM(F12:F18)</f>
        <v>2308430.9776000003</v>
      </c>
      <c r="G19" s="10">
        <f t="shared" si="6"/>
        <v>2438478.1460320004</v>
      </c>
      <c r="H19" s="10">
        <f t="shared" si="6"/>
        <v>2585546.6162542403</v>
      </c>
      <c r="I19" s="10">
        <f t="shared" si="6"/>
        <v>2742909.8793920372</v>
      </c>
    </row>
    <row r="20" spans="1:9">
      <c r="A20" s="15" t="s">
        <v>11</v>
      </c>
      <c r="B20" s="16"/>
      <c r="C20" s="16"/>
      <c r="D20" s="17">
        <f>D10-D19</f>
        <v>364176</v>
      </c>
      <c r="E20" s="17">
        <f>E10-E19</f>
        <v>422264.3200000003</v>
      </c>
      <c r="F20" s="17">
        <f t="shared" ref="E20:I20" si="7">F10-F19</f>
        <v>475965.82239999995</v>
      </c>
      <c r="G20" s="17">
        <f t="shared" si="7"/>
        <v>540826.42996799992</v>
      </c>
      <c r="H20" s="17">
        <f t="shared" si="7"/>
        <v>602309.28006576048</v>
      </c>
      <c r="I20" s="17">
        <f t="shared" si="7"/>
        <v>668095.92967036366</v>
      </c>
    </row>
    <row r="21" spans="1:9">
      <c r="A21" s="18" t="s">
        <v>12</v>
      </c>
      <c r="B21" s="19"/>
      <c r="C21" s="19"/>
      <c r="D21" s="19"/>
      <c r="E21" s="19"/>
      <c r="F21" s="19"/>
      <c r="G21" s="19"/>
      <c r="H21" s="19"/>
      <c r="I21" s="20"/>
    </row>
    <row r="22" spans="1:9">
      <c r="A22" s="21" t="s">
        <v>48</v>
      </c>
      <c r="B22" s="136">
        <v>0.22</v>
      </c>
      <c r="C22" s="52"/>
      <c r="D22" s="52"/>
      <c r="E22" s="52"/>
      <c r="F22" s="52"/>
      <c r="G22" s="52"/>
      <c r="H22" s="52"/>
      <c r="I22" s="13"/>
    </row>
    <row r="23" spans="1:9">
      <c r="A23" s="21" t="s">
        <v>49</v>
      </c>
      <c r="B23" s="136">
        <v>0.1</v>
      </c>
      <c r="C23" s="52"/>
      <c r="D23" s="52">
        <f>$C$28*$B$23*0.5</f>
        <v>32486</v>
      </c>
      <c r="E23" s="52">
        <f>$B$23*$C$28*(1-($B$23*0.5))*((1-$B$23)^(E7-$C$7-2))</f>
        <v>61723.399999999994</v>
      </c>
      <c r="F23" s="52">
        <f t="shared" ref="F23:I23" si="8">$B$23*$C$28*(1-($B$23*0.5))*((1-$B$23)^(F7-$C$7-2))</f>
        <v>55551.06</v>
      </c>
      <c r="G23" s="52">
        <f t="shared" si="8"/>
        <v>49995.953999999998</v>
      </c>
      <c r="H23" s="52">
        <f t="shared" si="8"/>
        <v>44996.3586</v>
      </c>
      <c r="I23" s="52">
        <f t="shared" si="8"/>
        <v>40496.722740000005</v>
      </c>
    </row>
    <row r="24" spans="1:9">
      <c r="A24" s="21" t="s">
        <v>50</v>
      </c>
      <c r="B24" s="136">
        <v>0.2</v>
      </c>
      <c r="C24" s="52"/>
      <c r="D24" s="52">
        <f>$C$29*$B$24*0.5</f>
        <v>30380</v>
      </c>
      <c r="E24" s="52">
        <f>$B$24*$C$29*(1-($B$24*0.5))*((1-$B$24)^(E7-$C$7-2))</f>
        <v>54684</v>
      </c>
      <c r="F24" s="52">
        <f>$B$24*$C$29*(1-($B$24*0.5))*((1-$B$24)^(F7-$C$7-2))</f>
        <v>43747.200000000004</v>
      </c>
      <c r="G24" s="52">
        <f t="shared" ref="F24:I24" si="9">$B$24*$C$29*(1-($B$24*0.5))*((1-$B$24)^(G7-$C$7-2))</f>
        <v>34997.760000000009</v>
      </c>
      <c r="H24" s="52">
        <f t="shared" si="9"/>
        <v>27998.208000000006</v>
      </c>
      <c r="I24" s="52">
        <f t="shared" si="9"/>
        <v>22398.566400000011</v>
      </c>
    </row>
    <row r="25" spans="1:9">
      <c r="A25" s="23" t="s">
        <v>51</v>
      </c>
      <c r="B25" s="62"/>
      <c r="C25" s="52"/>
      <c r="D25" s="52">
        <f>((D23+D24+D20)*$B$22)</f>
        <v>93949.24</v>
      </c>
      <c r="E25" s="52">
        <f t="shared" ref="E25:I25" si="10">((E23+E24+E20)*$B$22)</f>
        <v>118507.77840000007</v>
      </c>
      <c r="F25" s="52">
        <f t="shared" si="10"/>
        <v>126558.098128</v>
      </c>
      <c r="G25" s="52">
        <f t="shared" si="10"/>
        <v>137680.43167296</v>
      </c>
      <c r="H25" s="52">
        <f t="shared" si="10"/>
        <v>148566.8462664673</v>
      </c>
      <c r="I25" s="52">
        <f t="shared" si="10"/>
        <v>160818.06813828001</v>
      </c>
    </row>
    <row r="26" spans="1:9">
      <c r="A26" s="24" t="s">
        <v>13</v>
      </c>
      <c r="B26" s="25"/>
      <c r="C26" s="25"/>
      <c r="D26" s="26">
        <f>D20-D25</f>
        <v>270226.76</v>
      </c>
      <c r="E26" s="26">
        <f t="shared" ref="E26:I26" si="11">E20-E25</f>
        <v>303756.54160000023</v>
      </c>
      <c r="F26" s="26">
        <f t="shared" si="11"/>
        <v>349407.72427199996</v>
      </c>
      <c r="G26" s="26">
        <f t="shared" si="11"/>
        <v>403145.99829503993</v>
      </c>
      <c r="H26" s="26">
        <f t="shared" si="11"/>
        <v>453742.43379929318</v>
      </c>
      <c r="I26" s="26">
        <f t="shared" si="11"/>
        <v>507277.86153208365</v>
      </c>
    </row>
    <row r="27" spans="1:9">
      <c r="A27" s="11" t="s">
        <v>14</v>
      </c>
      <c r="B27" s="55"/>
      <c r="C27" s="59"/>
      <c r="D27" s="56"/>
      <c r="E27" s="56"/>
      <c r="F27" s="56"/>
      <c r="G27" s="56"/>
      <c r="H27" s="56"/>
      <c r="I27" s="12"/>
    </row>
    <row r="28" spans="1:9">
      <c r="A28" s="27" t="s">
        <v>39</v>
      </c>
      <c r="B28" s="64">
        <v>878000</v>
      </c>
      <c r="C28" s="52">
        <f>B28*0.74</f>
        <v>649720</v>
      </c>
      <c r="D28" s="52"/>
      <c r="E28" s="52"/>
      <c r="F28" s="52"/>
      <c r="G28" s="52"/>
      <c r="H28" s="52"/>
      <c r="I28" s="13"/>
    </row>
    <row r="29" spans="1:9">
      <c r="A29" s="27" t="s">
        <v>40</v>
      </c>
      <c r="B29" s="64"/>
      <c r="C29" s="52">
        <v>303800</v>
      </c>
      <c r="D29" s="52"/>
      <c r="E29" s="52"/>
      <c r="F29" s="52"/>
      <c r="G29" s="52"/>
      <c r="H29" s="52"/>
      <c r="I29" s="13"/>
    </row>
    <row r="30" spans="1:9">
      <c r="A30" s="28" t="s">
        <v>41</v>
      </c>
      <c r="B30" s="65"/>
      <c r="C30" s="30">
        <f>B28-C28</f>
        <v>228280</v>
      </c>
      <c r="D30" s="30"/>
      <c r="E30" s="30"/>
      <c r="F30" s="30"/>
      <c r="G30" s="30"/>
      <c r="H30" s="30"/>
      <c r="I30" s="31"/>
    </row>
    <row r="31" spans="1:9">
      <c r="A31" s="11" t="s">
        <v>15</v>
      </c>
      <c r="B31" s="55"/>
      <c r="C31" s="55"/>
      <c r="D31" s="56"/>
      <c r="E31" s="56"/>
      <c r="F31" s="56"/>
      <c r="G31" s="56"/>
      <c r="H31" s="56"/>
      <c r="I31" s="12"/>
    </row>
    <row r="32" spans="1:9">
      <c r="A32" s="27" t="s">
        <v>39</v>
      </c>
      <c r="B32" s="62">
        <f>0.55*C28</f>
        <v>357346</v>
      </c>
      <c r="C32" s="57"/>
      <c r="D32" s="52"/>
      <c r="E32" s="52"/>
      <c r="F32" s="52"/>
      <c r="G32" s="52"/>
      <c r="H32" s="58"/>
      <c r="I32" s="13">
        <f>B32</f>
        <v>357346</v>
      </c>
    </row>
    <row r="33" spans="1:9">
      <c r="A33" s="27" t="s">
        <v>40</v>
      </c>
      <c r="B33" s="62">
        <f>($C$29-82000)/21</f>
        <v>10561.904761904761</v>
      </c>
      <c r="C33" s="57"/>
      <c r="D33" s="52">
        <f>C29-B33</f>
        <v>293238.09523809527</v>
      </c>
      <c r="E33" s="52">
        <f>D33-$B$33</f>
        <v>282676.19047619053</v>
      </c>
      <c r="F33" s="52">
        <f t="shared" ref="F33:I33" si="12">E33-$B$33</f>
        <v>272114.2857142858</v>
      </c>
      <c r="G33" s="52">
        <f t="shared" si="12"/>
        <v>261552.38095238103</v>
      </c>
      <c r="H33" s="52">
        <f t="shared" si="12"/>
        <v>250990.47619047627</v>
      </c>
      <c r="I33" s="52">
        <f t="shared" si="12"/>
        <v>240428.57142857151</v>
      </c>
    </row>
    <row r="34" spans="1:9">
      <c r="A34" s="28" t="s">
        <v>41</v>
      </c>
      <c r="B34" s="137">
        <f>1.15*C30</f>
        <v>262522</v>
      </c>
      <c r="C34" s="29"/>
      <c r="D34" s="30"/>
      <c r="E34" s="30"/>
      <c r="F34" s="30"/>
      <c r="G34" s="30"/>
      <c r="H34" s="32"/>
      <c r="I34" s="31">
        <f>B34</f>
        <v>262522</v>
      </c>
    </row>
    <row r="35" spans="1:9">
      <c r="A35" s="11" t="s">
        <v>16</v>
      </c>
      <c r="B35" s="85"/>
      <c r="C35" s="55"/>
      <c r="D35" s="60"/>
      <c r="E35" s="60"/>
      <c r="F35" s="60"/>
      <c r="G35" s="60"/>
      <c r="H35" s="60"/>
      <c r="I35" s="33"/>
    </row>
    <row r="36" spans="1:9">
      <c r="A36" s="27" t="s">
        <v>39</v>
      </c>
      <c r="B36" s="83"/>
      <c r="C36" s="58"/>
      <c r="D36" s="58"/>
      <c r="E36" s="58"/>
      <c r="F36" s="58"/>
      <c r="G36" s="58"/>
      <c r="H36" s="58"/>
      <c r="I36" s="13">
        <f>((C28*(1-0.1/2)*((1-0.1)^5)) - I32)*((0.22*0.1)/(0.047+0.1))</f>
        <v>1066.2523980952521</v>
      </c>
    </row>
    <row r="37" spans="1:9">
      <c r="A37" s="27" t="s">
        <v>40</v>
      </c>
      <c r="B37" s="83"/>
      <c r="C37" s="58"/>
      <c r="D37" s="58"/>
      <c r="E37" s="58"/>
      <c r="F37" s="58"/>
      <c r="G37" s="58"/>
      <c r="H37" s="58"/>
      <c r="I37" s="13">
        <f>((C29*(1-0.2/2)*((1-0.2)^5)) - I33)*(0.22)</f>
        <v>-33183.547282285719</v>
      </c>
    </row>
    <row r="38" spans="1:9">
      <c r="A38" s="28" t="s">
        <v>41</v>
      </c>
      <c r="B38" s="84"/>
      <c r="C38" s="29"/>
      <c r="D38" s="16"/>
      <c r="E38" s="16"/>
      <c r="F38" s="16"/>
      <c r="G38" s="16"/>
      <c r="H38" s="16"/>
      <c r="I38" s="31">
        <f>(I34-C30)*0.5*B22</f>
        <v>3766.62</v>
      </c>
    </row>
    <row r="39" spans="1:9">
      <c r="A39" s="34" t="s">
        <v>17</v>
      </c>
      <c r="B39" s="66"/>
      <c r="C39" s="61">
        <f>-SUM(C28:C30)</f>
        <v>-1181800</v>
      </c>
      <c r="D39" s="61">
        <f>D26</f>
        <v>270226.76</v>
      </c>
      <c r="E39" s="61">
        <f t="shared" ref="E39:I39" si="13">E26</f>
        <v>303756.54160000023</v>
      </c>
      <c r="F39" s="61">
        <f t="shared" si="13"/>
        <v>349407.72427199996</v>
      </c>
      <c r="G39" s="61">
        <f t="shared" si="13"/>
        <v>403145.99829503993</v>
      </c>
      <c r="H39" s="61">
        <f t="shared" si="13"/>
        <v>453742.43379929318</v>
      </c>
      <c r="I39" s="61">
        <f>I26+I36+I37+I38</f>
        <v>478927.18664789322</v>
      </c>
    </row>
    <row r="40" spans="1:9">
      <c r="A40" s="35" t="s">
        <v>18</v>
      </c>
      <c r="B40" s="136">
        <v>4.7E-2</v>
      </c>
      <c r="C40" s="138">
        <v>1</v>
      </c>
      <c r="D40" s="139">
        <f>PV($B$40,D7-$C$7,,-1)</f>
        <v>0.95510983763132762</v>
      </c>
      <c r="E40" s="139">
        <f t="shared" ref="E40:I40" si="14">PV($B$40,E7-$C$7,,-1)</f>
        <v>0.91223480194014117</v>
      </c>
      <c r="F40" s="139">
        <f t="shared" si="14"/>
        <v>0.87128443356269458</v>
      </c>
      <c r="G40" s="139">
        <f t="shared" si="14"/>
        <v>0.8321723338707685</v>
      </c>
      <c r="H40" s="139">
        <f t="shared" si="14"/>
        <v>0.79481598268459275</v>
      </c>
      <c r="I40" s="139">
        <f>PV($B$40,I7-$C$7,,-1)</f>
        <v>0.7591365641686656</v>
      </c>
    </row>
    <row r="41" spans="1:9" ht="16.5" thickBot="1">
      <c r="A41" s="36" t="s">
        <v>19</v>
      </c>
      <c r="B41" s="67"/>
      <c r="C41" s="37">
        <f>C39*C40</f>
        <v>-1181800</v>
      </c>
      <c r="D41" s="37">
        <f t="shared" ref="D41:I41" si="15">D39*D40</f>
        <v>258096.23686723976</v>
      </c>
      <c r="E41" s="37">
        <f t="shared" si="15"/>
        <v>277097.28856449848</v>
      </c>
      <c r="F41" s="37">
        <f t="shared" si="15"/>
        <v>304433.51112475968</v>
      </c>
      <c r="G41" s="37">
        <f t="shared" si="15"/>
        <v>335486.94629184424</v>
      </c>
      <c r="H41" s="37">
        <f t="shared" si="15"/>
        <v>360641.73840588401</v>
      </c>
      <c r="I41" s="37">
        <f t="shared" si="15"/>
        <v>363571.13895884686</v>
      </c>
    </row>
    <row r="42" spans="1:9">
      <c r="A42" s="92" t="s">
        <v>20</v>
      </c>
      <c r="B42" s="124">
        <f>SUM(C41:I41)</f>
        <v>717526.86021307297</v>
      </c>
      <c r="C42" s="125"/>
      <c r="D42" s="1"/>
      <c r="E42" s="1"/>
      <c r="F42" s="1"/>
      <c r="G42" s="1"/>
      <c r="H42" s="1"/>
      <c r="I42" s="1"/>
    </row>
    <row r="43" spans="1:9" ht="16.5" thickBot="1">
      <c r="A43" s="93" t="s">
        <v>21</v>
      </c>
      <c r="B43" s="126">
        <v>0</v>
      </c>
      <c r="C43" s="127"/>
      <c r="D43" s="1"/>
      <c r="E43" s="1"/>
      <c r="F43" s="1"/>
      <c r="G43" s="1"/>
      <c r="H43" s="1"/>
      <c r="I43" s="1"/>
    </row>
    <row r="44" spans="1:9">
      <c r="A44" s="1"/>
      <c r="B44" s="1"/>
      <c r="C44" s="2"/>
      <c r="D44" s="1"/>
      <c r="E44" s="1"/>
      <c r="F44" s="1"/>
      <c r="G44" s="1"/>
      <c r="H44" s="1"/>
      <c r="I44" s="1"/>
    </row>
    <row r="45" spans="1:9" ht="16.5" thickBot="1">
      <c r="A45" s="3" t="s">
        <v>22</v>
      </c>
      <c r="B45" s="1"/>
      <c r="C45" s="1"/>
      <c r="D45" s="2"/>
      <c r="E45" s="1"/>
      <c r="F45" s="1"/>
      <c r="G45" s="1"/>
      <c r="H45" s="1"/>
      <c r="I45" s="1"/>
    </row>
    <row r="46" spans="1:9">
      <c r="A46" s="117" t="s">
        <v>23</v>
      </c>
      <c r="B46" s="118"/>
      <c r="C46" s="118"/>
      <c r="D46" s="118"/>
      <c r="E46" s="118"/>
      <c r="F46" s="118"/>
      <c r="G46" s="118"/>
      <c r="H46" s="118"/>
      <c r="I46" s="119"/>
    </row>
    <row r="47" spans="1:9">
      <c r="A47" s="39" t="s">
        <v>57</v>
      </c>
      <c r="B47" s="62"/>
      <c r="C47" s="140">
        <v>2022</v>
      </c>
      <c r="D47" s="140">
        <v>2023</v>
      </c>
      <c r="E47" s="140">
        <v>2024</v>
      </c>
      <c r="F47" s="140">
        <v>2025</v>
      </c>
      <c r="G47" s="140">
        <v>2026</v>
      </c>
      <c r="H47" s="140">
        <v>2027</v>
      </c>
      <c r="I47" s="141">
        <v>2028</v>
      </c>
    </row>
    <row r="48" spans="1:9">
      <c r="A48" s="27" t="s">
        <v>39</v>
      </c>
      <c r="B48" s="62"/>
      <c r="C48" s="52">
        <f>C28</f>
        <v>649720</v>
      </c>
      <c r="D48" s="52"/>
      <c r="E48" s="52"/>
      <c r="F48" s="52"/>
      <c r="G48" s="52"/>
      <c r="H48" s="52"/>
      <c r="I48" s="13"/>
    </row>
    <row r="49" spans="1:9">
      <c r="A49" s="27" t="s">
        <v>40</v>
      </c>
      <c r="B49" s="62"/>
      <c r="C49" s="52">
        <v>303800</v>
      </c>
      <c r="D49" s="52"/>
      <c r="E49" s="52"/>
      <c r="F49" s="52"/>
      <c r="G49" s="52"/>
      <c r="H49" s="52"/>
      <c r="I49" s="13"/>
    </row>
    <row r="50" spans="1:9">
      <c r="A50" s="28" t="s">
        <v>41</v>
      </c>
      <c r="B50" s="62"/>
      <c r="C50" s="30">
        <f>C30</f>
        <v>228280</v>
      </c>
      <c r="D50" s="52"/>
      <c r="E50" s="52"/>
      <c r="F50" s="52"/>
      <c r="G50" s="52"/>
      <c r="H50" s="52"/>
      <c r="I50" s="13"/>
    </row>
    <row r="51" spans="1:9">
      <c r="A51" s="39" t="s">
        <v>15</v>
      </c>
      <c r="B51" s="62"/>
      <c r="C51" s="52"/>
      <c r="D51" s="52"/>
      <c r="E51" s="52"/>
      <c r="F51" s="52"/>
      <c r="G51" s="52"/>
      <c r="H51" s="52"/>
    </row>
    <row r="52" spans="1:9">
      <c r="A52" s="27" t="s">
        <v>39</v>
      </c>
      <c r="B52" s="62"/>
      <c r="C52" s="52"/>
      <c r="D52" s="52"/>
      <c r="E52" s="52"/>
      <c r="F52" s="52"/>
      <c r="G52" s="52"/>
      <c r="H52" s="52"/>
      <c r="I52" s="13">
        <f>I32</f>
        <v>357346</v>
      </c>
    </row>
    <row r="53" spans="1:9">
      <c r="A53" s="27" t="s">
        <v>40</v>
      </c>
      <c r="B53" s="62"/>
      <c r="C53" s="52"/>
      <c r="D53" s="52"/>
      <c r="E53" s="52"/>
      <c r="F53" s="52"/>
      <c r="G53" s="52"/>
      <c r="H53" s="52"/>
      <c r="I53" s="13">
        <f>I33</f>
        <v>240428.57142857151</v>
      </c>
    </row>
    <row r="54" spans="1:9">
      <c r="A54" s="28" t="s">
        <v>41</v>
      </c>
      <c r="B54" s="62"/>
      <c r="C54" s="52"/>
      <c r="D54" s="52"/>
      <c r="E54" s="52"/>
      <c r="F54" s="52"/>
      <c r="G54" s="52"/>
      <c r="H54" s="52"/>
      <c r="I54" s="13">
        <f>I34</f>
        <v>262522</v>
      </c>
    </row>
    <row r="55" spans="1:9">
      <c r="A55" s="152" t="s">
        <v>58</v>
      </c>
      <c r="B55" s="62"/>
      <c r="C55" s="52"/>
      <c r="D55" s="52">
        <f>D19</f>
        <v>2067824</v>
      </c>
      <c r="E55" s="52">
        <f t="shared" ref="E55:I55" si="16">E19</f>
        <v>2179975.6799999997</v>
      </c>
      <c r="F55" s="52">
        <f t="shared" si="16"/>
        <v>2308430.9776000003</v>
      </c>
      <c r="G55" s="52">
        <f t="shared" si="16"/>
        <v>2438478.1460320004</v>
      </c>
      <c r="H55" s="52">
        <f t="shared" si="16"/>
        <v>2585546.6162542403</v>
      </c>
      <c r="I55" s="52">
        <f t="shared" si="16"/>
        <v>2742909.8793920372</v>
      </c>
    </row>
    <row r="56" spans="1:9">
      <c r="A56" s="68"/>
      <c r="B56" s="87"/>
      <c r="C56" s="30"/>
      <c r="D56" s="30"/>
      <c r="E56" s="30"/>
      <c r="F56" s="30"/>
      <c r="G56" s="30"/>
      <c r="H56" s="30"/>
      <c r="I56" s="31"/>
    </row>
    <row r="57" spans="1:9">
      <c r="A57" s="35" t="s">
        <v>17</v>
      </c>
      <c r="B57" s="62"/>
      <c r="C57" s="52">
        <f>SUM(C48:C50)</f>
        <v>1181800</v>
      </c>
      <c r="D57" s="52">
        <f>D55</f>
        <v>2067824</v>
      </c>
      <c r="E57" s="52">
        <f t="shared" ref="E57:H57" si="17">E55</f>
        <v>2179975.6799999997</v>
      </c>
      <c r="F57" s="52">
        <f t="shared" si="17"/>
        <v>2308430.9776000003</v>
      </c>
      <c r="G57" s="52">
        <f t="shared" si="17"/>
        <v>2438478.1460320004</v>
      </c>
      <c r="H57" s="52">
        <f t="shared" si="17"/>
        <v>2585546.6162542403</v>
      </c>
      <c r="I57" s="13">
        <f>SUM(I52:I55)</f>
        <v>3603206.4508206085</v>
      </c>
    </row>
    <row r="58" spans="1:9">
      <c r="A58" s="35" t="s">
        <v>18</v>
      </c>
      <c r="B58" s="136">
        <v>4.7E-2</v>
      </c>
      <c r="C58" s="138">
        <v>1</v>
      </c>
      <c r="D58" s="139">
        <f>PV($B$40,D7-$C$7,,-1)</f>
        <v>0.95510983763132762</v>
      </c>
      <c r="E58" s="139">
        <f t="shared" ref="E58:I58" si="18">PV($B$40,E7-$C$7,,-1)</f>
        <v>0.91223480194014117</v>
      </c>
      <c r="F58" s="139">
        <f t="shared" si="18"/>
        <v>0.87128443356269458</v>
      </c>
      <c r="G58" s="139">
        <f t="shared" si="18"/>
        <v>0.8321723338707685</v>
      </c>
      <c r="H58" s="139">
        <f t="shared" si="18"/>
        <v>0.79481598268459275</v>
      </c>
      <c r="I58" s="139">
        <f t="shared" si="18"/>
        <v>0.7591365641686656</v>
      </c>
    </row>
    <row r="59" spans="1:9" ht="16.5" thickBot="1">
      <c r="A59" s="36" t="s">
        <v>19</v>
      </c>
      <c r="B59" s="86"/>
      <c r="C59" s="38">
        <f>C57*C58</f>
        <v>1181800</v>
      </c>
      <c r="D59" s="38">
        <f t="shared" ref="D59:I59" si="19">D57*D58</f>
        <v>1974999.0448901623</v>
      </c>
      <c r="E59" s="38">
        <f t="shared" si="19"/>
        <v>1988649.6826791244</v>
      </c>
      <c r="F59" s="38">
        <f t="shared" si="19"/>
        <v>2011299.9767367935</v>
      </c>
      <c r="G59" s="38">
        <f t="shared" si="19"/>
        <v>2029234.0498763144</v>
      </c>
      <c r="H59" s="38">
        <f t="shared" si="19"/>
        <v>2055033.7745749375</v>
      </c>
      <c r="I59" s="38">
        <f t="shared" si="19"/>
        <v>2735325.7650663289</v>
      </c>
    </row>
    <row r="60" spans="1:9" ht="16.5" thickBot="1">
      <c r="A60" s="35" t="s">
        <v>24</v>
      </c>
      <c r="B60" s="128">
        <v>0</v>
      </c>
      <c r="C60" s="129"/>
      <c r="D60" s="40"/>
      <c r="E60" s="40"/>
      <c r="F60" s="40"/>
      <c r="G60" s="40"/>
      <c r="H60" s="40"/>
      <c r="I60" s="41"/>
    </row>
    <row r="61" spans="1:9" ht="16.5" thickBot="1">
      <c r="A61" s="36" t="s">
        <v>25</v>
      </c>
      <c r="B61" s="130">
        <v>0</v>
      </c>
      <c r="C61" s="131"/>
      <c r="D61" s="40"/>
      <c r="E61" s="40"/>
      <c r="F61" s="40"/>
      <c r="G61" s="40"/>
      <c r="H61" s="40"/>
      <c r="I61" s="41"/>
    </row>
    <row r="62" spans="1:9" ht="16.5" thickBot="1">
      <c r="A62" s="42" t="s">
        <v>26</v>
      </c>
      <c r="B62" s="132"/>
      <c r="C62" s="133"/>
      <c r="D62" s="1"/>
      <c r="E62" s="1"/>
      <c r="F62" s="1"/>
      <c r="G62" s="1"/>
      <c r="H62" s="1"/>
      <c r="I62" s="1"/>
    </row>
    <row r="63" spans="1:9">
      <c r="A63" s="1"/>
      <c r="B63" s="1"/>
      <c r="C63" s="1"/>
      <c r="D63" s="2"/>
      <c r="E63" s="1"/>
      <c r="F63" s="1"/>
      <c r="G63" s="1"/>
      <c r="H63" s="1"/>
      <c r="I63" s="1"/>
    </row>
    <row r="64" spans="1:9" ht="16.5" thickBot="1">
      <c r="A64" s="3" t="s">
        <v>27</v>
      </c>
      <c r="B64" s="1"/>
      <c r="C64" s="2"/>
      <c r="D64" s="1"/>
      <c r="E64" s="1"/>
      <c r="F64" s="1"/>
      <c r="G64" s="1"/>
      <c r="H64" s="1"/>
      <c r="I64" s="1"/>
    </row>
    <row r="65" spans="1:9" ht="16.5" thickBot="1">
      <c r="A65" s="117" t="s">
        <v>28</v>
      </c>
      <c r="B65" s="118"/>
      <c r="C65" s="118"/>
      <c r="D65" s="118"/>
      <c r="E65" s="118"/>
      <c r="F65" s="118"/>
      <c r="G65" s="118"/>
      <c r="H65" s="119"/>
      <c r="I65" s="3"/>
    </row>
    <row r="66" spans="1:9">
      <c r="A66" s="99" t="s">
        <v>20</v>
      </c>
      <c r="B66" s="142">
        <f>B42</f>
        <v>717526.86021307297</v>
      </c>
      <c r="C66" s="100"/>
      <c r="D66" s="101"/>
      <c r="E66" s="101"/>
      <c r="F66" s="101"/>
      <c r="G66" s="101"/>
      <c r="H66" s="102"/>
      <c r="I66" s="43"/>
    </row>
    <row r="67" spans="1:9">
      <c r="A67" s="103" t="s">
        <v>25</v>
      </c>
      <c r="B67" s="104">
        <f>PMT(B40,6,,-1)</f>
        <v>0.14813131927965956</v>
      </c>
      <c r="C67" s="104"/>
      <c r="D67" s="104"/>
      <c r="E67" s="104"/>
      <c r="F67" s="104"/>
      <c r="G67" s="104"/>
      <c r="H67" s="105"/>
      <c r="I67" s="44"/>
    </row>
    <row r="68" spans="1:9">
      <c r="A68" s="103"/>
      <c r="B68" s="104"/>
      <c r="C68" s="106"/>
      <c r="D68" s="106"/>
      <c r="E68" s="106"/>
      <c r="F68" s="106"/>
      <c r="G68" s="106"/>
      <c r="H68" s="107"/>
      <c r="I68" s="40"/>
    </row>
    <row r="69" spans="1:9">
      <c r="A69" s="103"/>
      <c r="B69" s="104"/>
      <c r="C69" s="106"/>
      <c r="D69" s="108"/>
      <c r="E69" s="108"/>
      <c r="F69" s="108"/>
      <c r="G69" s="108"/>
      <c r="H69" s="109"/>
      <c r="I69" s="1"/>
    </row>
    <row r="70" spans="1:9" ht="16.5" thickBot="1">
      <c r="A70" s="110"/>
      <c r="B70" s="120"/>
      <c r="C70" s="120"/>
      <c r="D70" s="111"/>
      <c r="E70" s="112"/>
      <c r="F70" s="112"/>
      <c r="G70" s="112"/>
      <c r="H70" s="113"/>
      <c r="I70" s="1"/>
    </row>
    <row r="71" spans="1:9" ht="16.5" thickBot="1">
      <c r="A71" s="36" t="s">
        <v>29</v>
      </c>
      <c r="B71" s="121">
        <f>B66*B67</f>
        <v>106288.20042195436</v>
      </c>
      <c r="C71" s="122"/>
      <c r="D71" s="1"/>
      <c r="E71" s="1"/>
      <c r="F71" s="1"/>
      <c r="G71" s="1"/>
      <c r="H71" s="1"/>
      <c r="I71" s="1"/>
    </row>
    <row r="72" spans="1:9">
      <c r="A72" s="1"/>
      <c r="B72" s="1"/>
      <c r="C72" s="1"/>
      <c r="D72" s="2"/>
      <c r="E72" s="1"/>
      <c r="F72" s="1"/>
      <c r="G72" s="1"/>
      <c r="H72" s="1"/>
      <c r="I72" s="1"/>
    </row>
    <row r="73" spans="1:9" ht="16.5" thickBot="1">
      <c r="A73" s="3" t="s">
        <v>30</v>
      </c>
      <c r="B73" s="22"/>
      <c r="C73" s="45"/>
      <c r="D73" s="1"/>
      <c r="E73" s="1"/>
      <c r="F73" s="1"/>
      <c r="G73" s="1"/>
      <c r="H73" s="1"/>
      <c r="I73" s="3"/>
    </row>
    <row r="74" spans="1:9">
      <c r="A74" s="46" t="s">
        <v>31</v>
      </c>
      <c r="B74" s="47"/>
      <c r="C74" s="116"/>
      <c r="D74" s="47"/>
      <c r="E74" s="48"/>
      <c r="F74" s="1"/>
      <c r="G74" s="1"/>
      <c r="H74" s="1"/>
      <c r="I74" s="1"/>
    </row>
    <row r="75" spans="1:9">
      <c r="A75" s="49" t="s">
        <v>32</v>
      </c>
      <c r="B75" s="94">
        <v>-0.1</v>
      </c>
      <c r="C75" s="94">
        <v>0</v>
      </c>
      <c r="D75" s="94">
        <v>0.1</v>
      </c>
      <c r="E75" s="50"/>
      <c r="F75" s="1"/>
      <c r="G75" s="1"/>
      <c r="H75" s="1"/>
      <c r="I75" s="1"/>
    </row>
    <row r="76" spans="1:9">
      <c r="A76" s="7" t="s">
        <v>53</v>
      </c>
      <c r="B76" s="82">
        <v>912397</v>
      </c>
      <c r="C76" s="62">
        <f>B42</f>
        <v>717526.86021307297</v>
      </c>
      <c r="D76" s="82">
        <v>522657</v>
      </c>
      <c r="E76" s="70"/>
      <c r="F76" s="1"/>
      <c r="G76" s="1"/>
      <c r="H76" s="1"/>
      <c r="I76" s="1"/>
    </row>
    <row r="77" spans="1:9">
      <c r="A77" s="7" t="s">
        <v>54</v>
      </c>
      <c r="B77" s="147">
        <f>B76/C76</f>
        <v>1.2715858465968222</v>
      </c>
      <c r="C77" s="148" t="s">
        <v>55</v>
      </c>
      <c r="D77" s="147">
        <f>D76/C76</f>
        <v>0.72841454303856246</v>
      </c>
      <c r="E77" s="70"/>
      <c r="F77" s="1"/>
      <c r="G77" s="1"/>
      <c r="H77" s="1"/>
      <c r="I77" s="1"/>
    </row>
    <row r="78" spans="1:9">
      <c r="A78" s="7"/>
      <c r="B78" s="82"/>
      <c r="C78" s="62"/>
      <c r="D78" s="82"/>
      <c r="E78" s="70"/>
      <c r="F78" s="1"/>
      <c r="G78" s="1"/>
      <c r="H78" s="1"/>
      <c r="I78" s="1"/>
    </row>
    <row r="79" spans="1:9">
      <c r="A79" s="143"/>
      <c r="B79" s="82"/>
      <c r="C79" s="82"/>
      <c r="D79" s="82"/>
      <c r="E79" s="70"/>
      <c r="F79" s="1"/>
      <c r="G79" s="1"/>
      <c r="H79" s="1"/>
      <c r="I79" s="1"/>
    </row>
    <row r="80" spans="1:9">
      <c r="A80" s="149" t="s">
        <v>56</v>
      </c>
      <c r="B80" s="150"/>
      <c r="C80" s="150"/>
      <c r="D80" s="150"/>
      <c r="E80" s="151"/>
      <c r="F80" s="1"/>
      <c r="G80" s="1"/>
      <c r="H80" s="1"/>
      <c r="I80" s="1"/>
    </row>
    <row r="81" spans="1:9">
      <c r="A81" s="149"/>
      <c r="B81" s="150"/>
      <c r="C81" s="150"/>
      <c r="D81" s="150"/>
      <c r="E81" s="151"/>
      <c r="F81" s="1"/>
      <c r="G81" s="1"/>
      <c r="H81" s="1"/>
      <c r="I81" s="1"/>
    </row>
    <row r="82" spans="1:9">
      <c r="A82" s="149"/>
      <c r="B82" s="150"/>
      <c r="C82" s="150"/>
      <c r="D82" s="150"/>
      <c r="E82" s="151"/>
      <c r="F82" s="1"/>
      <c r="G82" s="1"/>
      <c r="H82" s="1"/>
      <c r="I82" s="1"/>
    </row>
    <row r="83" spans="1:9">
      <c r="A83" s="71"/>
      <c r="B83" s="81"/>
      <c r="C83" s="81"/>
      <c r="D83" s="81"/>
      <c r="E83" s="70"/>
      <c r="F83" s="1"/>
      <c r="G83" s="1"/>
      <c r="H83" s="1"/>
      <c r="I83" s="1"/>
    </row>
    <row r="84" spans="1:9">
      <c r="A84" s="71"/>
      <c r="B84" s="81"/>
      <c r="C84" s="81"/>
      <c r="D84" s="81"/>
      <c r="E84" s="70"/>
      <c r="F84" s="1"/>
      <c r="G84" s="1"/>
      <c r="H84" s="1"/>
      <c r="I84" s="1"/>
    </row>
    <row r="85" spans="1:9">
      <c r="A85" s="69"/>
      <c r="B85" s="72"/>
      <c r="C85" s="72"/>
      <c r="D85" s="72"/>
      <c r="E85" s="70"/>
      <c r="F85" s="51"/>
      <c r="G85" s="51"/>
      <c r="H85" s="51"/>
      <c r="I85" s="1"/>
    </row>
    <row r="86" spans="1:9">
      <c r="A86" s="69"/>
      <c r="B86" s="73"/>
      <c r="C86" s="73"/>
      <c r="D86" s="73"/>
      <c r="E86" s="74"/>
      <c r="F86" s="1"/>
      <c r="G86" s="1"/>
      <c r="H86" s="1"/>
      <c r="I86" s="1"/>
    </row>
    <row r="87" spans="1:9">
      <c r="A87" s="69"/>
      <c r="B87" s="95"/>
      <c r="C87" s="96"/>
      <c r="D87" s="95"/>
      <c r="E87" s="75"/>
      <c r="F87" s="1"/>
      <c r="G87" s="1"/>
      <c r="H87" s="1"/>
      <c r="I87" s="1"/>
    </row>
    <row r="88" spans="1:9">
      <c r="A88" s="76"/>
      <c r="B88" s="97"/>
      <c r="C88" s="98"/>
      <c r="D88" s="97"/>
      <c r="E88" s="75"/>
      <c r="F88" s="1"/>
      <c r="G88" s="1"/>
      <c r="H88" s="1"/>
      <c r="I88" s="1"/>
    </row>
    <row r="89" spans="1:9">
      <c r="A89" s="76"/>
      <c r="B89" s="97"/>
      <c r="C89" s="98"/>
      <c r="D89" s="97"/>
      <c r="E89" s="75"/>
      <c r="F89" s="1"/>
      <c r="G89" s="1"/>
      <c r="H89" s="1"/>
      <c r="I89" s="1"/>
    </row>
    <row r="90" spans="1:9">
      <c r="A90" s="76"/>
      <c r="B90" s="97"/>
      <c r="C90" s="98"/>
      <c r="D90" s="97"/>
      <c r="E90" s="75"/>
      <c r="F90" s="1"/>
      <c r="G90" s="1"/>
      <c r="H90" s="1"/>
      <c r="I90" s="1"/>
    </row>
    <row r="91" spans="1:9">
      <c r="A91" s="76"/>
      <c r="B91" s="97"/>
      <c r="C91" s="98"/>
      <c r="D91" s="97"/>
      <c r="E91" s="75"/>
      <c r="F91" s="1"/>
      <c r="G91" s="1"/>
      <c r="H91" s="1"/>
      <c r="I91" s="1"/>
    </row>
    <row r="92" spans="1:9" ht="16.5" thickBot="1">
      <c r="A92" s="77"/>
      <c r="B92" s="78"/>
      <c r="C92" s="79"/>
      <c r="D92" s="78"/>
      <c r="E92" s="80"/>
      <c r="F92" s="1"/>
      <c r="G92" s="1"/>
      <c r="H92" s="1"/>
      <c r="I92" s="1"/>
    </row>
  </sheetData>
  <mergeCells count="12">
    <mergeCell ref="A80:E82"/>
    <mergeCell ref="A65:H65"/>
    <mergeCell ref="B70:C70"/>
    <mergeCell ref="B71:C71"/>
    <mergeCell ref="A4:I4"/>
    <mergeCell ref="B42:C42"/>
    <mergeCell ref="B43:C43"/>
    <mergeCell ref="A46:I46"/>
    <mergeCell ref="B60:C60"/>
    <mergeCell ref="B61:C61"/>
    <mergeCell ref="B62:C62"/>
    <mergeCell ref="H5:I5"/>
  </mergeCells>
  <pageMargins left="0.7" right="0.7" top="0.75" bottom="0.75" header="0.3" footer="0.3"/>
  <pageSetup scale="7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383C3-D692-0245-85BE-FA2E60025793}">
  <dimension ref="A4:J42"/>
  <sheetViews>
    <sheetView topLeftCell="A10" workbookViewId="0">
      <selection activeCell="B15" sqref="B15"/>
    </sheetView>
  </sheetViews>
  <sheetFormatPr baseColWidth="10" defaultColWidth="11" defaultRowHeight="15.75"/>
  <cols>
    <col min="5" max="7" width="12" bestFit="1" customWidth="1"/>
  </cols>
  <sheetData>
    <row r="4" spans="1:10">
      <c r="C4" s="144"/>
      <c r="D4" s="144"/>
      <c r="E4" s="145"/>
      <c r="F4" s="145"/>
      <c r="G4" s="145"/>
      <c r="H4" s="145"/>
      <c r="I4" s="145"/>
      <c r="J4" s="145"/>
    </row>
    <row r="5" spans="1:10">
      <c r="C5" s="144"/>
      <c r="D5" s="144"/>
      <c r="E5" s="144"/>
      <c r="F5" s="144"/>
      <c r="G5" s="144"/>
      <c r="H5" s="144"/>
      <c r="I5" s="144"/>
      <c r="J5" s="144"/>
    </row>
    <row r="6" spans="1:10" ht="16.5" thickBot="1">
      <c r="E6" s="144"/>
      <c r="F6" s="144"/>
      <c r="G6" s="144"/>
      <c r="H6" s="144"/>
      <c r="I6" s="144"/>
      <c r="J6" s="144"/>
    </row>
    <row r="7" spans="1:10">
      <c r="A7" s="4" t="s">
        <v>6</v>
      </c>
      <c r="B7" s="5" t="s">
        <v>7</v>
      </c>
      <c r="C7" s="5">
        <v>2022</v>
      </c>
      <c r="D7" s="5">
        <v>2023</v>
      </c>
      <c r="E7" s="5">
        <v>2024</v>
      </c>
      <c r="F7" s="5">
        <v>2025</v>
      </c>
      <c r="G7" s="5">
        <v>2026</v>
      </c>
      <c r="H7" s="5">
        <v>2027</v>
      </c>
      <c r="I7" s="6">
        <v>2028</v>
      </c>
      <c r="J7" s="144"/>
    </row>
    <row r="8" spans="1:10">
      <c r="A8" s="7" t="s">
        <v>37</v>
      </c>
      <c r="B8" s="62"/>
      <c r="C8" s="52"/>
      <c r="D8" s="53">
        <v>400</v>
      </c>
      <c r="E8" s="53">
        <f>D8*1.07</f>
        <v>428</v>
      </c>
      <c r="F8" s="53">
        <f>E8*1.07</f>
        <v>457.96000000000004</v>
      </c>
      <c r="G8" s="53">
        <f t="shared" ref="G8:I8" si="0">F8*1.07</f>
        <v>490.01720000000006</v>
      </c>
      <c r="H8" s="53">
        <f t="shared" si="0"/>
        <v>524.3184040000001</v>
      </c>
      <c r="I8" s="53">
        <f t="shared" si="0"/>
        <v>561.02069228000016</v>
      </c>
      <c r="J8" s="144"/>
    </row>
    <row r="9" spans="1:10">
      <c r="A9" s="7" t="s">
        <v>38</v>
      </c>
      <c r="B9" s="62"/>
      <c r="C9" s="52"/>
      <c r="D9" s="52">
        <v>6080</v>
      </c>
      <c r="E9" s="52">
        <v>6080</v>
      </c>
      <c r="F9" s="52">
        <v>6080</v>
      </c>
      <c r="G9" s="52">
        <v>6080</v>
      </c>
      <c r="H9" s="52">
        <v>6080</v>
      </c>
      <c r="I9" s="52">
        <v>6080</v>
      </c>
      <c r="J9" s="144"/>
    </row>
    <row r="10" spans="1:10">
      <c r="A10" s="8" t="s">
        <v>8</v>
      </c>
      <c r="B10" s="63"/>
      <c r="C10" s="9"/>
      <c r="D10" s="10">
        <f>D8*D9</f>
        <v>2432000</v>
      </c>
      <c r="E10" s="10">
        <f t="shared" ref="E10:I10" si="1">E8*E9</f>
        <v>2602240</v>
      </c>
      <c r="F10" s="10">
        <f t="shared" si="1"/>
        <v>2784396.8000000003</v>
      </c>
      <c r="G10" s="10">
        <f t="shared" si="1"/>
        <v>2979304.5760000004</v>
      </c>
      <c r="H10" s="10">
        <f t="shared" si="1"/>
        <v>3187855.8963200008</v>
      </c>
      <c r="I10" s="10">
        <f t="shared" si="1"/>
        <v>3411005.8090624008</v>
      </c>
      <c r="J10" s="144"/>
    </row>
    <row r="11" spans="1:10">
      <c r="A11" s="11" t="s">
        <v>9</v>
      </c>
      <c r="B11" s="55"/>
      <c r="C11" s="55"/>
      <c r="D11" s="56"/>
      <c r="E11" s="56"/>
      <c r="F11" s="56"/>
      <c r="G11" s="56"/>
      <c r="H11" s="56"/>
      <c r="I11" s="12"/>
      <c r="J11" s="144"/>
    </row>
    <row r="12" spans="1:10">
      <c r="A12" s="7" t="s">
        <v>42</v>
      </c>
      <c r="B12" s="62">
        <v>740</v>
      </c>
      <c r="C12" s="54"/>
      <c r="D12" s="52">
        <f>D8*$B$12</f>
        <v>296000</v>
      </c>
      <c r="E12" s="52">
        <f t="shared" ref="E12:I12" si="2">E8*$B$12</f>
        <v>316720</v>
      </c>
      <c r="F12" s="52">
        <f t="shared" si="2"/>
        <v>338890.4</v>
      </c>
      <c r="G12" s="52">
        <f t="shared" si="2"/>
        <v>362612.72800000006</v>
      </c>
      <c r="H12" s="52">
        <f t="shared" si="2"/>
        <v>387995.61896000005</v>
      </c>
      <c r="I12" s="52">
        <f t="shared" si="2"/>
        <v>415155.31228720013</v>
      </c>
      <c r="J12" s="144"/>
    </row>
    <row r="13" spans="1:10">
      <c r="A13" s="7" t="s">
        <v>43</v>
      </c>
      <c r="B13" s="62">
        <f>3.4*B12</f>
        <v>2516</v>
      </c>
      <c r="C13" s="54"/>
      <c r="D13" s="52">
        <f>$B$13*D8</f>
        <v>1006400</v>
      </c>
      <c r="E13" s="52">
        <f t="shared" ref="E13:I13" si="3">$B$13*E8</f>
        <v>1076848</v>
      </c>
      <c r="F13" s="52">
        <f t="shared" si="3"/>
        <v>1152227.3600000001</v>
      </c>
      <c r="G13" s="52">
        <f t="shared" si="3"/>
        <v>1232883.2752000003</v>
      </c>
      <c r="H13" s="52">
        <f t="shared" si="3"/>
        <v>1319185.1044640003</v>
      </c>
      <c r="I13" s="52">
        <f t="shared" si="3"/>
        <v>1411528.0617764804</v>
      </c>
      <c r="J13" s="144"/>
    </row>
    <row r="14" spans="1:10">
      <c r="A14" s="7" t="s">
        <v>52</v>
      </c>
      <c r="B14" s="62">
        <f>0.41*B13*0.9</f>
        <v>928.404</v>
      </c>
      <c r="C14" s="54"/>
      <c r="D14" s="52">
        <f>$B$14*D8</f>
        <v>371361.6</v>
      </c>
      <c r="E14" s="52">
        <f t="shared" ref="E14:I14" si="4">$B$14*E8</f>
        <v>397356.91200000001</v>
      </c>
      <c r="F14" s="52">
        <f t="shared" si="4"/>
        <v>425171.89584000001</v>
      </c>
      <c r="G14" s="52">
        <f t="shared" si="4"/>
        <v>454933.92854880006</v>
      </c>
      <c r="H14" s="52">
        <f t="shared" si="4"/>
        <v>486779.30354721611</v>
      </c>
      <c r="I14" s="52">
        <f t="shared" si="4"/>
        <v>520853.85479552124</v>
      </c>
      <c r="J14" s="144"/>
    </row>
    <row r="15" spans="1:10">
      <c r="A15" s="7" t="s">
        <v>45</v>
      </c>
      <c r="B15" s="62">
        <f>7400</f>
        <v>7400</v>
      </c>
      <c r="C15" s="54"/>
      <c r="D15" s="52"/>
      <c r="E15" s="52">
        <f>B15</f>
        <v>7400</v>
      </c>
      <c r="F15" s="52">
        <f>B15</f>
        <v>7400</v>
      </c>
      <c r="G15" s="52"/>
      <c r="H15" s="52"/>
      <c r="I15" s="13"/>
      <c r="J15" s="144"/>
    </row>
    <row r="16" spans="1:10">
      <c r="A16" s="7" t="s">
        <v>44</v>
      </c>
      <c r="B16" s="62">
        <v>337500</v>
      </c>
      <c r="C16" s="54"/>
      <c r="D16" s="52">
        <f>$B$16</f>
        <v>337500</v>
      </c>
      <c r="E16" s="52">
        <f t="shared" ref="E16:I16" si="5">$B$16</f>
        <v>337500</v>
      </c>
      <c r="F16" s="52">
        <f t="shared" si="5"/>
        <v>337500</v>
      </c>
      <c r="G16" s="52">
        <f t="shared" si="5"/>
        <v>337500</v>
      </c>
      <c r="H16" s="52">
        <f t="shared" si="5"/>
        <v>337500</v>
      </c>
      <c r="I16" s="52">
        <f t="shared" si="5"/>
        <v>337500</v>
      </c>
      <c r="J16" s="144"/>
    </row>
    <row r="17" spans="1:10">
      <c r="A17" s="7" t="s">
        <v>46</v>
      </c>
      <c r="B17" s="62"/>
      <c r="C17" s="57"/>
      <c r="D17" s="52">
        <v>3800</v>
      </c>
      <c r="E17" s="52"/>
      <c r="F17" s="52"/>
      <c r="G17" s="52"/>
      <c r="H17" s="52"/>
      <c r="I17" s="13"/>
    </row>
    <row r="18" spans="1:10">
      <c r="A18" s="7" t="s">
        <v>47</v>
      </c>
      <c r="B18" s="62"/>
      <c r="C18" s="57"/>
      <c r="D18" s="52">
        <v>11500</v>
      </c>
      <c r="E18" s="52"/>
      <c r="F18" s="58"/>
      <c r="G18" s="52"/>
      <c r="H18" s="52"/>
      <c r="I18" s="13"/>
      <c r="J18" s="144"/>
    </row>
    <row r="19" spans="1:10">
      <c r="A19" s="8" t="s">
        <v>10</v>
      </c>
      <c r="B19" s="14"/>
      <c r="C19" s="14"/>
      <c r="D19" s="10">
        <f xml:space="preserve"> SUM(D12:D18)</f>
        <v>2026561.6</v>
      </c>
      <c r="E19" s="10">
        <f xml:space="preserve"> SUM(E12:E18)</f>
        <v>2135824.912</v>
      </c>
      <c r="F19" s="10">
        <f t="shared" ref="F19:I19" si="6" xml:space="preserve"> SUM(F12:F18)</f>
        <v>2261189.6558400001</v>
      </c>
      <c r="G19" s="10">
        <f t="shared" si="6"/>
        <v>2387929.9317488004</v>
      </c>
      <c r="H19" s="10">
        <f t="shared" si="6"/>
        <v>2531460.0269712163</v>
      </c>
      <c r="I19" s="10">
        <f t="shared" si="6"/>
        <v>2685037.2288592015</v>
      </c>
      <c r="J19" s="144"/>
    </row>
    <row r="20" spans="1:10">
      <c r="A20" s="15" t="s">
        <v>11</v>
      </c>
      <c r="B20" s="16"/>
      <c r="C20" s="16"/>
      <c r="D20" s="17">
        <f>D10-D19</f>
        <v>405438.39999999991</v>
      </c>
      <c r="E20" s="17">
        <f>E10-E19</f>
        <v>466415.08799999999</v>
      </c>
      <c r="F20" s="17">
        <f t="shared" ref="F20:I20" si="7">F10-F19</f>
        <v>523207.14416000014</v>
      </c>
      <c r="G20" s="17">
        <f t="shared" si="7"/>
        <v>591374.6442511999</v>
      </c>
      <c r="H20" s="17">
        <f t="shared" si="7"/>
        <v>656395.86934878444</v>
      </c>
      <c r="I20" s="17">
        <f t="shared" si="7"/>
        <v>725968.58020319929</v>
      </c>
      <c r="J20" s="144"/>
    </row>
    <row r="21" spans="1:10">
      <c r="A21" s="18" t="s">
        <v>12</v>
      </c>
      <c r="B21" s="19"/>
      <c r="C21" s="19"/>
      <c r="D21" s="19"/>
      <c r="E21" s="19"/>
      <c r="F21" s="19"/>
      <c r="G21" s="19"/>
      <c r="H21" s="19"/>
      <c r="I21" s="20"/>
      <c r="J21" s="144"/>
    </row>
    <row r="22" spans="1:10">
      <c r="A22" s="21" t="s">
        <v>48</v>
      </c>
      <c r="B22" s="136">
        <v>0.22</v>
      </c>
      <c r="C22" s="52"/>
      <c r="D22" s="52"/>
      <c r="E22" s="52"/>
      <c r="F22" s="52"/>
      <c r="G22" s="52"/>
      <c r="H22" s="52"/>
      <c r="I22" s="13"/>
      <c r="J22" s="144"/>
    </row>
    <row r="23" spans="1:10">
      <c r="A23" s="21" t="s">
        <v>49</v>
      </c>
      <c r="B23" s="136">
        <v>0.1</v>
      </c>
      <c r="C23" s="52"/>
      <c r="D23" s="52">
        <f>$C$28*$B$23*0.5</f>
        <v>32486</v>
      </c>
      <c r="E23" s="52">
        <f>$B$23*$C$28*(1-($B$23*0.5))*((1-$B$23)^(E7-$C$7-2))</f>
        <v>61723.399999999994</v>
      </c>
      <c r="F23" s="52">
        <f t="shared" ref="F23:I23" si="8">$B$23*$C$28*(1-($B$23*0.5))*((1-$B$23)^(F7-$C$7-2))</f>
        <v>55551.06</v>
      </c>
      <c r="G23" s="52">
        <f t="shared" si="8"/>
        <v>49995.953999999998</v>
      </c>
      <c r="H23" s="52">
        <f t="shared" si="8"/>
        <v>44996.3586</v>
      </c>
      <c r="I23" s="52">
        <f t="shared" si="8"/>
        <v>40496.722740000005</v>
      </c>
      <c r="J23" s="144"/>
    </row>
    <row r="24" spans="1:10">
      <c r="A24" s="21" t="s">
        <v>50</v>
      </c>
      <c r="B24" s="136">
        <v>0.2</v>
      </c>
      <c r="C24" s="52"/>
      <c r="D24" s="52">
        <f>$C$29*$B$24*0.5</f>
        <v>30380</v>
      </c>
      <c r="E24" s="52">
        <f>$B$24*$C$29*(1-($B$24*0.5))*((1-$B$24)^(E7-$C$7-2))</f>
        <v>54684</v>
      </c>
      <c r="F24" s="52">
        <f>$B$24*$C$29*(1-($B$24*0.5))*((1-$B$24)^(F7-$C$7-2))</f>
        <v>43747.200000000004</v>
      </c>
      <c r="G24" s="52">
        <f t="shared" ref="G24:I24" si="9">$B$24*$C$29*(1-($B$24*0.5))*((1-$B$24)^(G7-$C$7-2))</f>
        <v>34997.760000000009</v>
      </c>
      <c r="H24" s="52">
        <f t="shared" si="9"/>
        <v>27998.208000000006</v>
      </c>
      <c r="I24" s="52">
        <f t="shared" si="9"/>
        <v>22398.566400000011</v>
      </c>
      <c r="J24" s="144"/>
    </row>
    <row r="25" spans="1:10">
      <c r="A25" s="23" t="s">
        <v>51</v>
      </c>
      <c r="B25" s="62"/>
      <c r="C25" s="52"/>
      <c r="D25" s="52">
        <f>((D23+D24+D20)*$B$22)</f>
        <v>103026.96799999998</v>
      </c>
      <c r="E25" s="52">
        <f t="shared" ref="E25:I25" si="10">((E23+E24+E20)*$B$22)</f>
        <v>128220.94736000001</v>
      </c>
      <c r="F25" s="52">
        <f t="shared" si="10"/>
        <v>136951.18891520004</v>
      </c>
      <c r="G25" s="52">
        <f t="shared" si="10"/>
        <v>148801.03881526398</v>
      </c>
      <c r="H25" s="52">
        <f t="shared" si="10"/>
        <v>160465.89590873258</v>
      </c>
      <c r="I25" s="52">
        <f t="shared" si="10"/>
        <v>173550.05125550384</v>
      </c>
      <c r="J25" s="144"/>
    </row>
    <row r="26" spans="1:10">
      <c r="A26" s="24" t="s">
        <v>13</v>
      </c>
      <c r="B26" s="25"/>
      <c r="C26" s="25"/>
      <c r="D26" s="26">
        <f>D20-D25</f>
        <v>302411.43199999991</v>
      </c>
      <c r="E26" s="26">
        <f t="shared" ref="E26:I26" si="11">E20-E25</f>
        <v>338194.14064</v>
      </c>
      <c r="F26" s="26">
        <f t="shared" si="11"/>
        <v>386255.95524480008</v>
      </c>
      <c r="G26" s="26">
        <f t="shared" si="11"/>
        <v>442573.6054359359</v>
      </c>
      <c r="H26" s="26">
        <f t="shared" si="11"/>
        <v>495929.97344005189</v>
      </c>
      <c r="I26" s="26">
        <f t="shared" si="11"/>
        <v>552418.52894769539</v>
      </c>
      <c r="J26" s="144"/>
    </row>
    <row r="27" spans="1:10">
      <c r="A27" s="11" t="s">
        <v>14</v>
      </c>
      <c r="B27" s="55"/>
      <c r="C27" s="59"/>
      <c r="D27" s="56"/>
      <c r="E27" s="56"/>
      <c r="F27" s="56"/>
      <c r="G27" s="56"/>
      <c r="H27" s="56"/>
      <c r="I27" s="12"/>
      <c r="J27" s="144"/>
    </row>
    <row r="28" spans="1:10">
      <c r="A28" s="27" t="s">
        <v>39</v>
      </c>
      <c r="B28" s="64">
        <v>878000</v>
      </c>
      <c r="C28" s="52">
        <f>B28*0.74</f>
        <v>649720</v>
      </c>
      <c r="D28" s="52"/>
      <c r="E28" s="52"/>
      <c r="F28" s="52"/>
      <c r="G28" s="52"/>
      <c r="H28" s="52"/>
      <c r="I28" s="13"/>
      <c r="J28" s="144"/>
    </row>
    <row r="29" spans="1:10">
      <c r="A29" s="27" t="s">
        <v>40</v>
      </c>
      <c r="B29" s="64"/>
      <c r="C29" s="52">
        <v>303800</v>
      </c>
      <c r="D29" s="52"/>
      <c r="E29" s="52"/>
      <c r="F29" s="52"/>
      <c r="G29" s="52"/>
      <c r="H29" s="52"/>
      <c r="I29" s="13"/>
      <c r="J29" s="144"/>
    </row>
    <row r="30" spans="1:10">
      <c r="A30" s="28" t="s">
        <v>41</v>
      </c>
      <c r="B30" s="65"/>
      <c r="C30" s="30">
        <f>B28-C28</f>
        <v>228280</v>
      </c>
      <c r="D30" s="30"/>
      <c r="E30" s="30"/>
      <c r="F30" s="30"/>
      <c r="G30" s="30"/>
      <c r="H30" s="30"/>
      <c r="I30" s="31"/>
      <c r="J30" s="144"/>
    </row>
    <row r="31" spans="1:10">
      <c r="A31" s="11" t="s">
        <v>15</v>
      </c>
      <c r="B31" s="55"/>
      <c r="C31" s="55"/>
      <c r="D31" s="56"/>
      <c r="E31" s="56"/>
      <c r="F31" s="56"/>
      <c r="G31" s="56"/>
      <c r="H31" s="56"/>
      <c r="I31" s="12"/>
    </row>
    <row r="32" spans="1:10">
      <c r="A32" s="27" t="s">
        <v>39</v>
      </c>
      <c r="B32" s="62">
        <f>0.55*C28</f>
        <v>357346</v>
      </c>
      <c r="C32" s="57"/>
      <c r="D32" s="52"/>
      <c r="E32" s="52"/>
      <c r="F32" s="52"/>
      <c r="G32" s="52"/>
      <c r="H32" s="58"/>
      <c r="I32" s="13">
        <f>B32</f>
        <v>357346</v>
      </c>
      <c r="J32" s="144"/>
    </row>
    <row r="33" spans="1:10">
      <c r="A33" s="27" t="s">
        <v>40</v>
      </c>
      <c r="B33" s="62">
        <f>($C$29-82000)/21</f>
        <v>10561.904761904761</v>
      </c>
      <c r="C33" s="57"/>
      <c r="D33" s="52">
        <f>C29-B33</f>
        <v>293238.09523809527</v>
      </c>
      <c r="E33" s="52">
        <f>D33-$B$33</f>
        <v>282676.19047619053</v>
      </c>
      <c r="F33" s="52">
        <f t="shared" ref="F33:I33" si="12">E33-$B$33</f>
        <v>272114.2857142858</v>
      </c>
      <c r="G33" s="52">
        <f t="shared" si="12"/>
        <v>261552.38095238103</v>
      </c>
      <c r="H33" s="52">
        <f t="shared" si="12"/>
        <v>250990.47619047627</v>
      </c>
      <c r="I33" s="52">
        <f t="shared" si="12"/>
        <v>240428.57142857151</v>
      </c>
      <c r="J33" s="144"/>
    </row>
    <row r="34" spans="1:10">
      <c r="A34" s="28" t="s">
        <v>41</v>
      </c>
      <c r="B34" s="137">
        <f>1.15*C30</f>
        <v>262522</v>
      </c>
      <c r="C34" s="29"/>
      <c r="D34" s="30"/>
      <c r="E34" s="30"/>
      <c r="F34" s="30"/>
      <c r="G34" s="30"/>
      <c r="H34" s="32"/>
      <c r="I34" s="31">
        <f>B34</f>
        <v>262522</v>
      </c>
      <c r="J34" s="144"/>
    </row>
    <row r="35" spans="1:10">
      <c r="A35" s="11" t="s">
        <v>16</v>
      </c>
      <c r="B35" s="85"/>
      <c r="C35" s="55"/>
      <c r="D35" s="60"/>
      <c r="E35" s="60"/>
      <c r="F35" s="60"/>
      <c r="G35" s="60"/>
      <c r="H35" s="60"/>
      <c r="I35" s="33"/>
      <c r="J35" s="144"/>
    </row>
    <row r="36" spans="1:10">
      <c r="A36" s="27" t="s">
        <v>39</v>
      </c>
      <c r="B36" s="83"/>
      <c r="C36" s="58"/>
      <c r="D36" s="58"/>
      <c r="E36" s="58"/>
      <c r="F36" s="58"/>
      <c r="G36" s="58"/>
      <c r="H36" s="58"/>
      <c r="I36" s="13">
        <f>((C28*(1-0.1/2)*((1-0.1)^5)) - I32)*((0.22*0.1)/(0.047+0.1))</f>
        <v>1066.2523980952521</v>
      </c>
      <c r="J36" s="146"/>
    </row>
    <row r="37" spans="1:10">
      <c r="A37" s="27" t="s">
        <v>40</v>
      </c>
      <c r="B37" s="83"/>
      <c r="C37" s="58"/>
      <c r="D37" s="58"/>
      <c r="E37" s="58"/>
      <c r="F37" s="58"/>
      <c r="G37" s="58"/>
      <c r="H37" s="58"/>
      <c r="I37" s="13">
        <f>((C29*(1-0.2/2)*((1-0.2)^5)) - I33)*(0.22)</f>
        <v>-33183.547282285719</v>
      </c>
      <c r="J37" s="144"/>
    </row>
    <row r="38" spans="1:10">
      <c r="A38" s="28" t="s">
        <v>41</v>
      </c>
      <c r="B38" s="84"/>
      <c r="C38" s="29"/>
      <c r="D38" s="16"/>
      <c r="E38" s="16"/>
      <c r="F38" s="16"/>
      <c r="G38" s="16"/>
      <c r="H38" s="16"/>
      <c r="I38" s="31">
        <f>(I34-C30)*0.5*B22</f>
        <v>3766.62</v>
      </c>
    </row>
    <row r="39" spans="1:10">
      <c r="A39" s="34" t="s">
        <v>17</v>
      </c>
      <c r="B39" s="66"/>
      <c r="C39" s="61">
        <f>-SUM(C28:C30)</f>
        <v>-1181800</v>
      </c>
      <c r="D39" s="61">
        <f>D26</f>
        <v>302411.43199999991</v>
      </c>
      <c r="E39" s="61">
        <f t="shared" ref="E39:I39" si="13">E26</f>
        <v>338194.14064</v>
      </c>
      <c r="F39" s="61">
        <f t="shared" si="13"/>
        <v>386255.95524480008</v>
      </c>
      <c r="G39" s="61">
        <f t="shared" si="13"/>
        <v>442573.6054359359</v>
      </c>
      <c r="H39" s="61">
        <f t="shared" si="13"/>
        <v>495929.97344005189</v>
      </c>
      <c r="I39" s="61">
        <f>I26+I36+I37+I38</f>
        <v>524067.8540635049</v>
      </c>
    </row>
    <row r="40" spans="1:10">
      <c r="A40" s="35" t="s">
        <v>18</v>
      </c>
      <c r="B40" s="136">
        <v>4.7E-2</v>
      </c>
      <c r="C40" s="138">
        <v>1</v>
      </c>
      <c r="D40" s="139">
        <f>PV($B$40,D7-$C$7,,-1)</f>
        <v>0.95510983763132762</v>
      </c>
      <c r="E40" s="139">
        <f t="shared" ref="E40:I40" si="14">PV($B$40,E7-$C$7,,-1)</f>
        <v>0.91223480194014117</v>
      </c>
      <c r="F40" s="139">
        <f t="shared" si="14"/>
        <v>0.87128443356269458</v>
      </c>
      <c r="G40" s="139">
        <f t="shared" si="14"/>
        <v>0.8321723338707685</v>
      </c>
      <c r="H40" s="139">
        <f t="shared" si="14"/>
        <v>0.79481598268459275</v>
      </c>
      <c r="I40" s="139">
        <f>PV($B$40,I7-$C$7,,-1)</f>
        <v>0.7591365641686656</v>
      </c>
    </row>
    <row r="41" spans="1:10" ht="16.5" thickBot="1">
      <c r="A41" s="36" t="s">
        <v>19</v>
      </c>
      <c r="B41" s="67"/>
      <c r="C41" s="37">
        <f>C39*C40</f>
        <v>-1181800</v>
      </c>
      <c r="D41" s="37">
        <f t="shared" ref="D41:I41" si="15">D39*D40</f>
        <v>288836.13371537719</v>
      </c>
      <c r="E41" s="37">
        <f t="shared" si="15"/>
        <v>308512.46490404662</v>
      </c>
      <c r="F41" s="37">
        <f t="shared" si="15"/>
        <v>336538.80117568315</v>
      </c>
      <c r="G41" s="37">
        <f t="shared" si="15"/>
        <v>368297.51014522341</v>
      </c>
      <c r="H41" s="37">
        <f t="shared" si="15"/>
        <v>394173.06918249885</v>
      </c>
      <c r="I41" s="37">
        <f t="shared" si="15"/>
        <v>397839.07012501475</v>
      </c>
    </row>
    <row r="42" spans="1:10">
      <c r="A42" s="92" t="s">
        <v>20</v>
      </c>
      <c r="B42" s="124">
        <f>SUM(C41:I41)</f>
        <v>912397.04924784391</v>
      </c>
      <c r="C42" s="125"/>
      <c r="D42" s="1"/>
      <c r="E42" s="1"/>
      <c r="F42" s="1"/>
      <c r="G42" s="1"/>
      <c r="H42" s="1"/>
      <c r="I42" s="1"/>
    </row>
  </sheetData>
  <mergeCells count="1">
    <mergeCell ref="B42:C4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5F131-CDC9-4A2A-B8AA-59966BDEEEB0}">
  <dimension ref="A6:I42"/>
  <sheetViews>
    <sheetView topLeftCell="A16" workbookViewId="0">
      <selection activeCell="B15" sqref="B15"/>
    </sheetView>
  </sheetViews>
  <sheetFormatPr baseColWidth="10" defaultRowHeight="15.75"/>
  <sheetData>
    <row r="6" spans="1:9" ht="16.5" thickBot="1"/>
    <row r="7" spans="1:9">
      <c r="A7" s="4" t="s">
        <v>6</v>
      </c>
      <c r="B7" s="5" t="s">
        <v>7</v>
      </c>
      <c r="C7" s="5">
        <v>2022</v>
      </c>
      <c r="D7" s="5">
        <v>2023</v>
      </c>
      <c r="E7" s="5">
        <v>2024</v>
      </c>
      <c r="F7" s="5">
        <v>2025</v>
      </c>
      <c r="G7" s="5">
        <v>2026</v>
      </c>
      <c r="H7" s="5">
        <v>2027</v>
      </c>
      <c r="I7" s="6">
        <v>2028</v>
      </c>
    </row>
    <row r="8" spans="1:9">
      <c r="A8" s="7" t="s">
        <v>37</v>
      </c>
      <c r="B8" s="62"/>
      <c r="C8" s="52"/>
      <c r="D8" s="53">
        <v>400</v>
      </c>
      <c r="E8" s="53">
        <f>D8*1.07</f>
        <v>428</v>
      </c>
      <c r="F8" s="53">
        <f>E8*1.07</f>
        <v>457.96000000000004</v>
      </c>
      <c r="G8" s="53">
        <f t="shared" ref="G8:I8" si="0">F8*1.07</f>
        <v>490.01720000000006</v>
      </c>
      <c r="H8" s="53">
        <f t="shared" si="0"/>
        <v>524.3184040000001</v>
      </c>
      <c r="I8" s="53">
        <f t="shared" si="0"/>
        <v>561.02069228000016</v>
      </c>
    </row>
    <row r="9" spans="1:9">
      <c r="A9" s="7" t="s">
        <v>38</v>
      </c>
      <c r="B9" s="62"/>
      <c r="C9" s="52"/>
      <c r="D9" s="52">
        <v>6080</v>
      </c>
      <c r="E9" s="52">
        <v>6080</v>
      </c>
      <c r="F9" s="52">
        <v>6080</v>
      </c>
      <c r="G9" s="52">
        <v>6080</v>
      </c>
      <c r="H9" s="52">
        <v>6080</v>
      </c>
      <c r="I9" s="52">
        <v>6080</v>
      </c>
    </row>
    <row r="10" spans="1:9">
      <c r="A10" s="8" t="s">
        <v>8</v>
      </c>
      <c r="B10" s="63"/>
      <c r="C10" s="9"/>
      <c r="D10" s="10">
        <f>D8*D9</f>
        <v>2432000</v>
      </c>
      <c r="E10" s="10">
        <f t="shared" ref="E10:I10" si="1">E8*E9</f>
        <v>2602240</v>
      </c>
      <c r="F10" s="10">
        <f t="shared" si="1"/>
        <v>2784396.8000000003</v>
      </c>
      <c r="G10" s="10">
        <f t="shared" si="1"/>
        <v>2979304.5760000004</v>
      </c>
      <c r="H10" s="10">
        <f t="shared" si="1"/>
        <v>3187855.8963200008</v>
      </c>
      <c r="I10" s="10">
        <f t="shared" si="1"/>
        <v>3411005.8090624008</v>
      </c>
    </row>
    <row r="11" spans="1:9">
      <c r="A11" s="11" t="s">
        <v>9</v>
      </c>
      <c r="B11" s="55"/>
      <c r="C11" s="55"/>
      <c r="D11" s="56"/>
      <c r="E11" s="56"/>
      <c r="F11" s="56"/>
      <c r="G11" s="56"/>
      <c r="H11" s="56"/>
      <c r="I11" s="12"/>
    </row>
    <row r="12" spans="1:9">
      <c r="A12" s="7" t="s">
        <v>42</v>
      </c>
      <c r="B12" s="62">
        <v>740</v>
      </c>
      <c r="C12" s="54"/>
      <c r="D12" s="52">
        <f>D8*$B$12</f>
        <v>296000</v>
      </c>
      <c r="E12" s="52">
        <f t="shared" ref="E12:I12" si="2">E8*$B$12</f>
        <v>316720</v>
      </c>
      <c r="F12" s="52">
        <f t="shared" si="2"/>
        <v>338890.4</v>
      </c>
      <c r="G12" s="52">
        <f t="shared" si="2"/>
        <v>362612.72800000006</v>
      </c>
      <c r="H12" s="52">
        <f t="shared" si="2"/>
        <v>387995.61896000005</v>
      </c>
      <c r="I12" s="52">
        <f t="shared" si="2"/>
        <v>415155.31228720013</v>
      </c>
    </row>
    <row r="13" spans="1:9">
      <c r="A13" s="7" t="s">
        <v>43</v>
      </c>
      <c r="B13" s="62">
        <f>3.4*B12</f>
        <v>2516</v>
      </c>
      <c r="C13" s="54"/>
      <c r="D13" s="52">
        <f>$B$13*D8</f>
        <v>1006400</v>
      </c>
      <c r="E13" s="52">
        <f t="shared" ref="E13:I13" si="3">$B$13*E8</f>
        <v>1076848</v>
      </c>
      <c r="F13" s="52">
        <f t="shared" si="3"/>
        <v>1152227.3600000001</v>
      </c>
      <c r="G13" s="52">
        <f t="shared" si="3"/>
        <v>1232883.2752000003</v>
      </c>
      <c r="H13" s="52">
        <f t="shared" si="3"/>
        <v>1319185.1044640003</v>
      </c>
      <c r="I13" s="52">
        <f t="shared" si="3"/>
        <v>1411528.0617764804</v>
      </c>
    </row>
    <row r="14" spans="1:9">
      <c r="A14" s="7" t="s">
        <v>52</v>
      </c>
      <c r="B14" s="62">
        <f>0.41*B13*1.1</f>
        <v>1134.7160000000001</v>
      </c>
      <c r="C14" s="54"/>
      <c r="D14" s="52">
        <f>$B$14*D8</f>
        <v>453886.4</v>
      </c>
      <c r="E14" s="52">
        <f t="shared" ref="E14:I14" si="4">$B$14*E8</f>
        <v>485658.44800000003</v>
      </c>
      <c r="F14" s="52">
        <f t="shared" si="4"/>
        <v>519654.53936000011</v>
      </c>
      <c r="G14" s="52">
        <f t="shared" si="4"/>
        <v>556030.35711520014</v>
      </c>
      <c r="H14" s="52">
        <f t="shared" si="4"/>
        <v>594952.48211326415</v>
      </c>
      <c r="I14" s="52">
        <f t="shared" si="4"/>
        <v>636599.15586119273</v>
      </c>
    </row>
    <row r="15" spans="1:9">
      <c r="A15" s="7" t="s">
        <v>45</v>
      </c>
      <c r="B15" s="62">
        <f>7400</f>
        <v>7400</v>
      </c>
      <c r="C15" s="54"/>
      <c r="D15" s="52"/>
      <c r="E15" s="52">
        <f>B15</f>
        <v>7400</v>
      </c>
      <c r="F15" s="52">
        <f>B15</f>
        <v>7400</v>
      </c>
      <c r="G15" s="52"/>
      <c r="H15" s="52"/>
      <c r="I15" s="13"/>
    </row>
    <row r="16" spans="1:9">
      <c r="A16" s="7" t="s">
        <v>44</v>
      </c>
      <c r="B16" s="62">
        <v>337500</v>
      </c>
      <c r="C16" s="54"/>
      <c r="D16" s="52">
        <f>$B$16</f>
        <v>337500</v>
      </c>
      <c r="E16" s="52">
        <f t="shared" ref="E16:I16" si="5">$B$16</f>
        <v>337500</v>
      </c>
      <c r="F16" s="52">
        <f t="shared" si="5"/>
        <v>337500</v>
      </c>
      <c r="G16" s="52">
        <f t="shared" si="5"/>
        <v>337500</v>
      </c>
      <c r="H16" s="52">
        <f t="shared" si="5"/>
        <v>337500</v>
      </c>
      <c r="I16" s="52">
        <f t="shared" si="5"/>
        <v>337500</v>
      </c>
    </row>
    <row r="17" spans="1:9">
      <c r="A17" s="7" t="s">
        <v>46</v>
      </c>
      <c r="B17" s="62"/>
      <c r="C17" s="57"/>
      <c r="D17" s="52">
        <v>3800</v>
      </c>
      <c r="E17" s="52"/>
      <c r="F17" s="52"/>
      <c r="G17" s="52"/>
      <c r="H17" s="52"/>
      <c r="I17" s="13"/>
    </row>
    <row r="18" spans="1:9">
      <c r="A18" s="7" t="s">
        <v>47</v>
      </c>
      <c r="B18" s="62"/>
      <c r="C18" s="57"/>
      <c r="D18" s="52">
        <v>11500</v>
      </c>
      <c r="E18" s="52"/>
      <c r="F18" s="58"/>
      <c r="G18" s="52"/>
      <c r="H18" s="52"/>
      <c r="I18" s="13"/>
    </row>
    <row r="19" spans="1:9">
      <c r="A19" s="8" t="s">
        <v>10</v>
      </c>
      <c r="B19" s="14"/>
      <c r="C19" s="14"/>
      <c r="D19" s="10">
        <f xml:space="preserve"> SUM(D12:D18)</f>
        <v>2109086.4</v>
      </c>
      <c r="E19" s="10">
        <f xml:space="preserve"> SUM(E12:E18)</f>
        <v>2224126.4479999999</v>
      </c>
      <c r="F19" s="10">
        <f t="shared" ref="F19:I19" si="6" xml:space="preserve"> SUM(F12:F18)</f>
        <v>2355672.2993600005</v>
      </c>
      <c r="G19" s="10">
        <f t="shared" si="6"/>
        <v>2489026.3603152004</v>
      </c>
      <c r="H19" s="10">
        <f t="shared" si="6"/>
        <v>2639633.2055372647</v>
      </c>
      <c r="I19" s="10">
        <f t="shared" si="6"/>
        <v>2800782.5299248733</v>
      </c>
    </row>
    <row r="20" spans="1:9">
      <c r="A20" s="15" t="s">
        <v>11</v>
      </c>
      <c r="B20" s="16"/>
      <c r="C20" s="16"/>
      <c r="D20" s="17">
        <f>D10-D19</f>
        <v>322913.60000000009</v>
      </c>
      <c r="E20" s="17">
        <f>E10-E19</f>
        <v>378113.55200000014</v>
      </c>
      <c r="F20" s="17">
        <f t="shared" ref="F20:I20" si="7">F10-F19</f>
        <v>428724.50063999975</v>
      </c>
      <c r="G20" s="17">
        <f t="shared" si="7"/>
        <v>490278.21568479994</v>
      </c>
      <c r="H20" s="17">
        <f t="shared" si="7"/>
        <v>548222.69078273606</v>
      </c>
      <c r="I20" s="17">
        <f t="shared" si="7"/>
        <v>610223.27913752757</v>
      </c>
    </row>
    <row r="21" spans="1:9">
      <c r="A21" s="18" t="s">
        <v>12</v>
      </c>
      <c r="B21" s="19"/>
      <c r="C21" s="19"/>
      <c r="D21" s="19"/>
      <c r="E21" s="19"/>
      <c r="F21" s="19"/>
      <c r="G21" s="19"/>
      <c r="H21" s="19"/>
      <c r="I21" s="20"/>
    </row>
    <row r="22" spans="1:9">
      <c r="A22" s="21" t="s">
        <v>48</v>
      </c>
      <c r="B22" s="136">
        <v>0.22</v>
      </c>
      <c r="C22" s="52"/>
      <c r="D22" s="52"/>
      <c r="E22" s="52"/>
      <c r="F22" s="52"/>
      <c r="G22" s="52"/>
      <c r="H22" s="52"/>
      <c r="I22" s="13"/>
    </row>
    <row r="23" spans="1:9">
      <c r="A23" s="21" t="s">
        <v>49</v>
      </c>
      <c r="B23" s="136">
        <v>0.1</v>
      </c>
      <c r="C23" s="52"/>
      <c r="D23" s="52">
        <f>$C$28*$B$23*0.5</f>
        <v>32486</v>
      </c>
      <c r="E23" s="52">
        <f>$B$23*$C$28*(1-($B$23*0.5))*((1-$B$23)^(E7-$C$7-2))</f>
        <v>61723.399999999994</v>
      </c>
      <c r="F23" s="52">
        <f t="shared" ref="F23:I23" si="8">$B$23*$C$28*(1-($B$23*0.5))*((1-$B$23)^(F7-$C$7-2))</f>
        <v>55551.06</v>
      </c>
      <c r="G23" s="52">
        <f t="shared" si="8"/>
        <v>49995.953999999998</v>
      </c>
      <c r="H23" s="52">
        <f t="shared" si="8"/>
        <v>44996.3586</v>
      </c>
      <c r="I23" s="52">
        <f t="shared" si="8"/>
        <v>40496.722740000005</v>
      </c>
    </row>
    <row r="24" spans="1:9">
      <c r="A24" s="21" t="s">
        <v>50</v>
      </c>
      <c r="B24" s="136">
        <v>0.2</v>
      </c>
      <c r="C24" s="52"/>
      <c r="D24" s="52">
        <f>$C$29*$B$24*0.5</f>
        <v>30380</v>
      </c>
      <c r="E24" s="52">
        <f>$B$24*$C$29*(1-($B$24*0.5))*((1-$B$24)^(E7-$C$7-2))</f>
        <v>54684</v>
      </c>
      <c r="F24" s="52">
        <f>$B$24*$C$29*(1-($B$24*0.5))*((1-$B$24)^(F7-$C$7-2))</f>
        <v>43747.200000000004</v>
      </c>
      <c r="G24" s="52">
        <f t="shared" ref="G24:I24" si="9">$B$24*$C$29*(1-($B$24*0.5))*((1-$B$24)^(G7-$C$7-2))</f>
        <v>34997.760000000009</v>
      </c>
      <c r="H24" s="52">
        <f t="shared" si="9"/>
        <v>27998.208000000006</v>
      </c>
      <c r="I24" s="52">
        <f t="shared" si="9"/>
        <v>22398.566400000011</v>
      </c>
    </row>
    <row r="25" spans="1:9">
      <c r="A25" s="23" t="s">
        <v>51</v>
      </c>
      <c r="B25" s="62"/>
      <c r="C25" s="52"/>
      <c r="D25" s="52">
        <f>((D23+D24+D20)*$B$22)</f>
        <v>84871.512000000017</v>
      </c>
      <c r="E25" s="52">
        <f t="shared" ref="E25:I25" si="10">((E23+E24+E20)*$B$22)</f>
        <v>108794.60944000004</v>
      </c>
      <c r="F25" s="52">
        <f t="shared" si="10"/>
        <v>116165.00734079994</v>
      </c>
      <c r="G25" s="52">
        <f t="shared" si="10"/>
        <v>126559.824530656</v>
      </c>
      <c r="H25" s="52">
        <f t="shared" si="10"/>
        <v>136667.79662420193</v>
      </c>
      <c r="I25" s="52">
        <f t="shared" si="10"/>
        <v>148086.08502105606</v>
      </c>
    </row>
    <row r="26" spans="1:9">
      <c r="A26" s="24" t="s">
        <v>13</v>
      </c>
      <c r="B26" s="25"/>
      <c r="C26" s="25"/>
      <c r="D26" s="26">
        <f>D20-D25</f>
        <v>238042.08800000008</v>
      </c>
      <c r="E26" s="26">
        <f t="shared" ref="E26:I26" si="11">E20-E25</f>
        <v>269318.94256000011</v>
      </c>
      <c r="F26" s="26">
        <f t="shared" si="11"/>
        <v>312559.49329919979</v>
      </c>
      <c r="G26" s="26">
        <f t="shared" si="11"/>
        <v>363718.39115414396</v>
      </c>
      <c r="H26" s="26">
        <f t="shared" si="11"/>
        <v>411554.89415853412</v>
      </c>
      <c r="I26" s="26">
        <f t="shared" si="11"/>
        <v>462137.19411647151</v>
      </c>
    </row>
    <row r="27" spans="1:9">
      <c r="A27" s="11" t="s">
        <v>14</v>
      </c>
      <c r="B27" s="55"/>
      <c r="C27" s="59"/>
      <c r="D27" s="56"/>
      <c r="E27" s="56"/>
      <c r="F27" s="56"/>
      <c r="G27" s="56"/>
      <c r="H27" s="56"/>
      <c r="I27" s="12"/>
    </row>
    <row r="28" spans="1:9">
      <c r="A28" s="27" t="s">
        <v>39</v>
      </c>
      <c r="B28" s="64">
        <v>878000</v>
      </c>
      <c r="C28" s="52">
        <f>B28*0.74</f>
        <v>649720</v>
      </c>
      <c r="D28" s="52"/>
      <c r="E28" s="52"/>
      <c r="F28" s="52"/>
      <c r="G28" s="52"/>
      <c r="H28" s="52"/>
      <c r="I28" s="13"/>
    </row>
    <row r="29" spans="1:9">
      <c r="A29" s="27" t="s">
        <v>40</v>
      </c>
      <c r="B29" s="64"/>
      <c r="C29" s="52">
        <v>303800</v>
      </c>
      <c r="D29" s="52"/>
      <c r="E29" s="52"/>
      <c r="F29" s="52"/>
      <c r="G29" s="52"/>
      <c r="H29" s="52"/>
      <c r="I29" s="13"/>
    </row>
    <row r="30" spans="1:9">
      <c r="A30" s="28" t="s">
        <v>41</v>
      </c>
      <c r="B30" s="65"/>
      <c r="C30" s="30">
        <f>B28-C28</f>
        <v>228280</v>
      </c>
      <c r="D30" s="30"/>
      <c r="E30" s="30"/>
      <c r="F30" s="30"/>
      <c r="G30" s="30"/>
      <c r="H30" s="30"/>
      <c r="I30" s="31"/>
    </row>
    <row r="31" spans="1:9">
      <c r="A31" s="11" t="s">
        <v>15</v>
      </c>
      <c r="B31" s="55"/>
      <c r="C31" s="55"/>
      <c r="D31" s="56"/>
      <c r="E31" s="56"/>
      <c r="F31" s="56"/>
      <c r="G31" s="56"/>
      <c r="H31" s="56"/>
      <c r="I31" s="12"/>
    </row>
    <row r="32" spans="1:9">
      <c r="A32" s="27" t="s">
        <v>39</v>
      </c>
      <c r="B32" s="62">
        <f>0.55*C28</f>
        <v>357346</v>
      </c>
      <c r="C32" s="57"/>
      <c r="D32" s="52"/>
      <c r="E32" s="52"/>
      <c r="F32" s="52"/>
      <c r="G32" s="52"/>
      <c r="H32" s="58"/>
      <c r="I32" s="13">
        <f>B32</f>
        <v>357346</v>
      </c>
    </row>
    <row r="33" spans="1:9">
      <c r="A33" s="27" t="s">
        <v>40</v>
      </c>
      <c r="B33" s="62">
        <f>($C$29-82000)/21</f>
        <v>10561.904761904761</v>
      </c>
      <c r="C33" s="57"/>
      <c r="D33" s="52">
        <f>C29-B33</f>
        <v>293238.09523809527</v>
      </c>
      <c r="E33" s="52">
        <f>D33-$B$33</f>
        <v>282676.19047619053</v>
      </c>
      <c r="F33" s="52">
        <f t="shared" ref="F33:I33" si="12">E33-$B$33</f>
        <v>272114.2857142858</v>
      </c>
      <c r="G33" s="52">
        <f t="shared" si="12"/>
        <v>261552.38095238103</v>
      </c>
      <c r="H33" s="52">
        <f t="shared" si="12"/>
        <v>250990.47619047627</v>
      </c>
      <c r="I33" s="52">
        <f t="shared" si="12"/>
        <v>240428.57142857151</v>
      </c>
    </row>
    <row r="34" spans="1:9">
      <c r="A34" s="28" t="s">
        <v>41</v>
      </c>
      <c r="B34" s="137">
        <f>1.15*C30</f>
        <v>262522</v>
      </c>
      <c r="C34" s="29"/>
      <c r="D34" s="30"/>
      <c r="E34" s="30"/>
      <c r="F34" s="30"/>
      <c r="G34" s="30"/>
      <c r="H34" s="32"/>
      <c r="I34" s="31">
        <f>B34</f>
        <v>262522</v>
      </c>
    </row>
    <row r="35" spans="1:9">
      <c r="A35" s="11" t="s">
        <v>16</v>
      </c>
      <c r="B35" s="85"/>
      <c r="C35" s="55"/>
      <c r="D35" s="60"/>
      <c r="E35" s="60"/>
      <c r="F35" s="60"/>
      <c r="G35" s="60"/>
      <c r="H35" s="60"/>
      <c r="I35" s="33"/>
    </row>
    <row r="36" spans="1:9">
      <c r="A36" s="27" t="s">
        <v>39</v>
      </c>
      <c r="B36" s="83"/>
      <c r="C36" s="58"/>
      <c r="D36" s="58"/>
      <c r="E36" s="58"/>
      <c r="F36" s="58"/>
      <c r="G36" s="58"/>
      <c r="H36" s="58"/>
      <c r="I36" s="13">
        <f>((C28*(1-0.1/2)*((1-0.1)^5)) - I32)*((0.22*0.1)/(0.047+0.1))</f>
        <v>1066.2523980952521</v>
      </c>
    </row>
    <row r="37" spans="1:9">
      <c r="A37" s="27" t="s">
        <v>40</v>
      </c>
      <c r="B37" s="83"/>
      <c r="C37" s="58"/>
      <c r="D37" s="58"/>
      <c r="E37" s="58"/>
      <c r="F37" s="58"/>
      <c r="G37" s="58"/>
      <c r="H37" s="58"/>
      <c r="I37" s="13">
        <f>((C29*(1-0.2/2)*((1-0.2)^5)) - I33)*(0.22)</f>
        <v>-33183.547282285719</v>
      </c>
    </row>
    <row r="38" spans="1:9">
      <c r="A38" s="28" t="s">
        <v>41</v>
      </c>
      <c r="B38" s="84"/>
      <c r="C38" s="29"/>
      <c r="D38" s="16"/>
      <c r="E38" s="16"/>
      <c r="F38" s="16"/>
      <c r="G38" s="16"/>
      <c r="H38" s="16"/>
      <c r="I38" s="31">
        <f>(I34-C30)*0.5*B22</f>
        <v>3766.62</v>
      </c>
    </row>
    <row r="39" spans="1:9">
      <c r="A39" s="34" t="s">
        <v>17</v>
      </c>
      <c r="B39" s="66"/>
      <c r="C39" s="61">
        <f>-SUM(C28:C30)</f>
        <v>-1181800</v>
      </c>
      <c r="D39" s="61">
        <f>D26</f>
        <v>238042.08800000008</v>
      </c>
      <c r="E39" s="61">
        <f t="shared" ref="E39:I39" si="13">E26</f>
        <v>269318.94256000011</v>
      </c>
      <c r="F39" s="61">
        <f t="shared" si="13"/>
        <v>312559.49329919979</v>
      </c>
      <c r="G39" s="61">
        <f t="shared" si="13"/>
        <v>363718.39115414396</v>
      </c>
      <c r="H39" s="61">
        <f t="shared" si="13"/>
        <v>411554.89415853412</v>
      </c>
      <c r="I39" s="61">
        <f>I26+I36+I37+I38</f>
        <v>433786.51923228108</v>
      </c>
    </row>
    <row r="40" spans="1:9">
      <c r="A40" s="35" t="s">
        <v>18</v>
      </c>
      <c r="B40" s="136">
        <v>4.7E-2</v>
      </c>
      <c r="C40" s="138">
        <v>1</v>
      </c>
      <c r="D40" s="139">
        <f>PV($B$40,D7-$C$7,,-1)</f>
        <v>0.95510983763132762</v>
      </c>
      <c r="E40" s="139">
        <f t="shared" ref="E40:I40" si="14">PV($B$40,E7-$C$7,,-1)</f>
        <v>0.91223480194014117</v>
      </c>
      <c r="F40" s="139">
        <f t="shared" si="14"/>
        <v>0.87128443356269458</v>
      </c>
      <c r="G40" s="139">
        <f t="shared" si="14"/>
        <v>0.8321723338707685</v>
      </c>
      <c r="H40" s="139">
        <f t="shared" si="14"/>
        <v>0.79481598268459275</v>
      </c>
      <c r="I40" s="139">
        <f>PV($B$40,I7-$C$7,,-1)</f>
        <v>0.7591365641686656</v>
      </c>
    </row>
    <row r="41" spans="1:9" ht="16.5" thickBot="1">
      <c r="A41" s="36" t="s">
        <v>19</v>
      </c>
      <c r="B41" s="67"/>
      <c r="C41" s="37">
        <f>C39*C40</f>
        <v>-1181800</v>
      </c>
      <c r="D41" s="37">
        <f t="shared" ref="D41:I41" si="15">D39*D40</f>
        <v>227356.34001910227</v>
      </c>
      <c r="E41" s="37">
        <f t="shared" si="15"/>
        <v>245682.11222494996</v>
      </c>
      <c r="F41" s="37">
        <f t="shared" si="15"/>
        <v>272328.22107383615</v>
      </c>
      <c r="G41" s="37">
        <f t="shared" si="15"/>
        <v>302676.38243846508</v>
      </c>
      <c r="H41" s="37">
        <f t="shared" si="15"/>
        <v>327110.40762926888</v>
      </c>
      <c r="I41" s="37">
        <f t="shared" si="15"/>
        <v>329303.20779267862</v>
      </c>
    </row>
    <row r="42" spans="1:9">
      <c r="A42" s="92" t="s">
        <v>20</v>
      </c>
      <c r="B42" s="124">
        <f>SUM(C41:I41)</f>
        <v>522656.67117830092</v>
      </c>
      <c r="C42" s="125"/>
      <c r="D42" s="1"/>
      <c r="E42" s="1"/>
      <c r="F42" s="1"/>
      <c r="G42" s="1"/>
      <c r="H42" s="1"/>
      <c r="I42" s="1"/>
    </row>
  </sheetData>
  <mergeCells count="1">
    <mergeCell ref="B42:C4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TP5</vt:lpstr>
      <vt:lpstr>Calculs perso</vt:lpstr>
      <vt:lpstr>Feuil1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joliann morissette</dc:creator>
  <cp:keywords/>
  <dc:description/>
  <cp:lastModifiedBy>Charles-Etienne Désormeaux</cp:lastModifiedBy>
  <cp:revision/>
  <cp:lastPrinted>2022-04-19T21:31:24Z</cp:lastPrinted>
  <dcterms:created xsi:type="dcterms:W3CDTF">2022-03-16T18:12:40Z</dcterms:created>
  <dcterms:modified xsi:type="dcterms:W3CDTF">2022-04-19T21:32:20Z</dcterms:modified>
  <cp:category/>
  <cp:contentStatus/>
</cp:coreProperties>
</file>