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y\OneDrive\Desktop\Polytechnique Montreal\SSH3201\TP1\"/>
    </mc:Choice>
  </mc:AlternateContent>
  <xr:revisionPtr revIDLastSave="0" documentId="13_ncr:1_{D2CB315C-9DAE-4651-97E0-04492BD3376A}" xr6:coauthVersionLast="46" xr6:coauthVersionMax="46" xr10:uidLastSave="{00000000-0000-0000-0000-000000000000}"/>
  <bookViews>
    <workbookView xWindow="0" yWindow="470" windowWidth="14230" windowHeight="10330" activeTab="1" xr2:uid="{0EEF241D-A15D-4490-84CC-A82FDA1F0F1C}"/>
  </bookViews>
  <sheets>
    <sheet name="Exo 1 et 2" sheetId="2" r:id="rId1"/>
    <sheet name="Réponse" sheetId="3" r:id="rId2"/>
    <sheet name="Perso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10" i="3"/>
  <c r="B8" i="3"/>
  <c r="F5" i="4"/>
  <c r="H18" i="4"/>
  <c r="H17" i="4"/>
  <c r="H16" i="4"/>
  <c r="G16" i="4"/>
  <c r="H15" i="4"/>
  <c r="G21" i="4"/>
  <c r="F39" i="4"/>
  <c r="H34" i="4"/>
  <c r="H36" i="4"/>
  <c r="H35" i="4"/>
  <c r="G34" i="4"/>
  <c r="H33" i="4"/>
  <c r="G39" i="4"/>
  <c r="H32" i="4"/>
  <c r="F6" i="4"/>
  <c r="F7" i="4" s="1"/>
  <c r="F3" i="4"/>
  <c r="F4" i="4" s="1"/>
  <c r="B14" i="4"/>
  <c r="B13" i="4"/>
  <c r="B12" i="4"/>
  <c r="B11" i="4"/>
  <c r="B10" i="4"/>
  <c r="B8" i="4"/>
  <c r="B9" i="4" s="1"/>
  <c r="B7" i="4"/>
  <c r="B6" i="4"/>
  <c r="H21" i="4" l="1"/>
  <c r="H39" i="4"/>
  <c r="B16" i="4"/>
  <c r="H28" i="3" l="1"/>
  <c r="H29" i="3"/>
  <c r="H31" i="3"/>
  <c r="H33" i="3"/>
  <c r="H36" i="3"/>
  <c r="H38" i="3"/>
  <c r="H39" i="3"/>
  <c r="H41" i="3"/>
  <c r="H42" i="3"/>
  <c r="M5" i="3"/>
  <c r="M22" i="3" s="1"/>
  <c r="M37" i="3" s="1"/>
  <c r="M40" i="3" s="1"/>
  <c r="M39" i="3"/>
  <c r="M35" i="3"/>
  <c r="M31" i="3"/>
  <c r="M32" i="3"/>
  <c r="M25" i="3"/>
  <c r="M28" i="3"/>
  <c r="M24" i="3"/>
  <c r="M15" i="3"/>
  <c r="M14" i="3"/>
  <c r="M11" i="3"/>
  <c r="M10" i="3"/>
  <c r="M9" i="3"/>
  <c r="M8" i="3"/>
  <c r="C17" i="3"/>
  <c r="B17" i="3"/>
  <c r="D17" i="3"/>
  <c r="B20" i="3"/>
  <c r="D20" i="3"/>
  <c r="C21" i="3"/>
  <c r="D21" i="3"/>
  <c r="C22" i="3"/>
  <c r="D22" i="3"/>
  <c r="D23" i="3"/>
  <c r="C23" i="3"/>
  <c r="B23" i="3"/>
  <c r="M7" i="3"/>
  <c r="H10" i="3"/>
  <c r="G10" i="3"/>
  <c r="M6" i="3"/>
  <c r="G28" i="3"/>
  <c r="G29" i="3"/>
  <c r="G31" i="3"/>
  <c r="G38" i="3"/>
  <c r="G39" i="3"/>
  <c r="G41" i="3" s="1"/>
  <c r="G42" i="3" s="1"/>
  <c r="G33" i="3"/>
  <c r="G36" i="3"/>
  <c r="F38" i="3"/>
  <c r="F33" i="3"/>
  <c r="F29" i="3"/>
  <c r="F28" i="3"/>
  <c r="H11" i="3"/>
  <c r="H12" i="3"/>
  <c r="H13" i="3"/>
  <c r="H14" i="3"/>
  <c r="H15" i="3"/>
  <c r="H16" i="3"/>
  <c r="H18" i="3"/>
  <c r="H19" i="3"/>
  <c r="H20" i="3"/>
  <c r="H21" i="3"/>
  <c r="H24" i="3"/>
  <c r="H25" i="3"/>
  <c r="G11" i="3"/>
  <c r="G12" i="3"/>
  <c r="G13" i="3"/>
  <c r="G14" i="3"/>
  <c r="G15" i="3"/>
  <c r="G16" i="3"/>
  <c r="G18" i="3"/>
  <c r="G19" i="3"/>
  <c r="G20" i="3"/>
  <c r="G21" i="3"/>
  <c r="G24" i="3"/>
  <c r="G25" i="3"/>
  <c r="F21" i="3"/>
  <c r="F20" i="3"/>
  <c r="F19" i="3"/>
  <c r="F18" i="3"/>
  <c r="F15" i="3"/>
  <c r="F14" i="3"/>
  <c r="F13" i="3"/>
  <c r="F12" i="3"/>
  <c r="F11" i="3"/>
  <c r="F10" i="3"/>
  <c r="H27" i="2"/>
  <c r="G27" i="2"/>
  <c r="H26" i="2"/>
  <c r="G26" i="2"/>
  <c r="H19" i="2"/>
  <c r="G19" i="2"/>
  <c r="H14" i="2"/>
  <c r="G14" i="2"/>
  <c r="H10" i="2"/>
  <c r="G10" i="2"/>
</calcChain>
</file>

<file path=xl/sharedStrings.xml><?xml version="1.0" encoding="utf-8"?>
<sst xmlns="http://schemas.openxmlformats.org/spreadsheetml/2006/main" count="190" uniqueCount="160">
  <si>
    <t xml:space="preserve">TRAVAIL À FAIRE : </t>
  </si>
  <si>
    <t>Exercice 2:</t>
  </si>
  <si>
    <r>
      <t xml:space="preserve">On vous présente </t>
    </r>
    <r>
      <rPr>
        <b/>
        <sz val="11"/>
        <color rgb="FFFF0000"/>
        <rFont val="Calibri"/>
        <family val="2"/>
        <scheme val="minor"/>
      </rPr>
      <t>une partie</t>
    </r>
    <r>
      <rPr>
        <sz val="11"/>
        <color theme="1"/>
        <rFont val="Calibri"/>
        <family val="2"/>
        <scheme val="minor"/>
      </rPr>
      <t xml:space="preserve"> des soldes comparatifs de la  société X au 31 décembre. Les comptes sont classés par ordre alphabétique et les montants sont en dollar canadien.</t>
    </r>
  </si>
  <si>
    <t>On vous présente les soldes comparatifs des comptes de la société YEP inc. au 31 décembre. Les comptes sont classés par ordre alphabétique et les montants sont en dollar canadien.</t>
  </si>
  <si>
    <t>Amortissement cumulé - Bâtiment</t>
  </si>
  <si>
    <t>Amortissement cumulé - Matériel roulant</t>
  </si>
  <si>
    <t>Bâtiment</t>
  </si>
  <si>
    <t xml:space="preserve">Amortissement cumulé- Machine </t>
  </si>
  <si>
    <t>Capital- social (ou capital-actions)</t>
  </si>
  <si>
    <t>Capital social</t>
  </si>
  <si>
    <t>Comptes-clients (nets)</t>
  </si>
  <si>
    <t>Charges commerciales et administratives</t>
  </si>
  <si>
    <t>Comptes-fournisseurs</t>
  </si>
  <si>
    <t>Comptes clients (nets)</t>
  </si>
  <si>
    <t>Dividendes</t>
  </si>
  <si>
    <t>-</t>
  </si>
  <si>
    <t>Comptes fournisseurs</t>
  </si>
  <si>
    <t>Emprunt bancaire (court terme)</t>
  </si>
  <si>
    <t>Coût des ventes</t>
  </si>
  <si>
    <t>Encaisse</t>
  </si>
  <si>
    <t>Fournitures de bureau</t>
  </si>
  <si>
    <t>Emprunt-échéance 2022</t>
  </si>
  <si>
    <t>Intérêts à payer</t>
  </si>
  <si>
    <t>Intérêts à recevoir</t>
  </si>
  <si>
    <t>Machine</t>
  </si>
  <si>
    <t>Loyers payés d'avance</t>
  </si>
  <si>
    <t>Intérêts sur emprunt</t>
  </si>
  <si>
    <t>Matériel roulant</t>
  </si>
  <si>
    <t xml:space="preserve">Intérêts sur placement </t>
  </si>
  <si>
    <t>Obligations à payer (long terme)</t>
  </si>
  <si>
    <t>Intérêts sur placement à recevoir</t>
  </si>
  <si>
    <t>Placements temporaires</t>
  </si>
  <si>
    <t>Loyer payé d'avance</t>
  </si>
  <si>
    <t>Résultats non distribués (RND)</t>
  </si>
  <si>
    <t>Perte sur disposition de l'ancienne machine</t>
  </si>
  <si>
    <t>Stocks (inventaires) de marchandises</t>
  </si>
  <si>
    <t>Placement à terme (2019)</t>
  </si>
  <si>
    <t>Terrain</t>
  </si>
  <si>
    <t>Produit des ventes</t>
  </si>
  <si>
    <t xml:space="preserve">Partie 1 : (Pour l'année 2020) </t>
  </si>
  <si>
    <t xml:space="preserve">Réparation de la machine  </t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</si>
  <si>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Calculer le ratio de liquidité générale </t>
    </r>
  </si>
  <si>
    <t>Résultat non distribué (début d'exercice)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</si>
  <si>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Calculer le ratio de liquidité immédiate </t>
    </r>
  </si>
  <si>
    <t>Salaires à payer</t>
  </si>
  <si>
    <r>
      <rPr>
        <b/>
        <sz val="11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Calculer le ratio d'endettement</t>
    </r>
  </si>
  <si>
    <t>Stocks (inventaires) de matières premières</t>
  </si>
  <si>
    <t>Partie 2: (pour l’exercice terminé le 31 décembre 2020)</t>
  </si>
  <si>
    <r>
      <t>A)</t>
    </r>
    <r>
      <rPr>
        <b/>
        <sz val="7"/>
        <color rgb="FF000000"/>
        <rFont val="Calibri"/>
        <family val="2"/>
        <scheme val="minor"/>
      </rPr>
      <t xml:space="preserve">     </t>
    </r>
    <r>
      <rPr>
        <sz val="12"/>
        <color rgb="FF000000"/>
        <rFont val="Calibri"/>
        <family val="2"/>
        <scheme val="minor"/>
      </rPr>
      <t xml:space="preserve">Dressez, </t>
    </r>
    <r>
      <rPr>
        <b/>
        <sz val="12"/>
        <color rgb="FF000000"/>
        <rFont val="Calibri"/>
        <family val="2"/>
        <scheme val="minor"/>
      </rPr>
      <t>en bonne et due forme</t>
    </r>
    <r>
      <rPr>
        <sz val="12"/>
        <color rgb="FF000000"/>
        <rFont val="Calibri"/>
        <family val="2"/>
        <scheme val="minor"/>
      </rPr>
      <t>, l’état de variation des capitaux propres</t>
    </r>
    <r>
      <rPr>
        <b/>
        <sz val="12"/>
        <color rgb="FF000000"/>
        <rFont val="Calibri"/>
        <family val="2"/>
        <scheme val="minor"/>
      </rPr>
      <t>.</t>
    </r>
  </si>
  <si>
    <t>Informations supplémentaires :</t>
  </si>
  <si>
    <r>
      <rPr>
        <b/>
        <sz val="12"/>
        <color theme="1"/>
        <rFont val="Times New Roman"/>
        <family val="1"/>
      </rPr>
      <t>1)</t>
    </r>
    <r>
      <rPr>
        <sz val="12"/>
        <color theme="1"/>
        <rFont val="Times New Roman"/>
        <family val="1"/>
      </rPr>
      <t xml:space="preserve"> Le 1</t>
    </r>
    <r>
      <rPr>
        <vertAlign val="superscript"/>
        <sz val="12"/>
        <color theme="1"/>
        <rFont val="Times New Roman"/>
        <family val="1"/>
      </rPr>
      <t>er</t>
    </r>
    <r>
      <rPr>
        <sz val="12"/>
        <color theme="1"/>
        <rFont val="Times New Roman"/>
        <family val="1"/>
      </rPr>
      <t xml:space="preserve"> mai, une nouvelle machine a été achetée au prix de 157 000 $ pour remplacer l’ancienne machine de production qui a été vendu à cette même date. La nouvelle machinet s’amortit linéairement à raison de 6 850 $ par année et l’ancienne machine s’amortissait linéairement à raison de 6 000 $ par année.</t>
    </r>
  </si>
  <si>
    <r>
      <rPr>
        <b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Les placements à terme sont constitués d’obligations de compagnies.</t>
    </r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</si>
  <si>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Des dividendes ont été déclarés et payés.</t>
    </r>
  </si>
  <si>
    <r>
      <rPr>
        <b/>
        <sz val="11"/>
        <color theme="1"/>
        <rFont val="Calibri"/>
        <family val="2"/>
        <scheme val="minor"/>
      </rPr>
      <t>4)</t>
    </r>
    <r>
      <rPr>
        <sz val="11"/>
        <color theme="1"/>
        <rFont val="Calibri"/>
        <family val="2"/>
        <scheme val="minor"/>
      </rPr>
      <t xml:space="preserve"> Les charges commerciales et administratives comprennent toutes les charges qui ne sont pas mentionnées dans les comptes du tableau précédant. Entre autres, l'amortissement est inclus dans les charges commerciales.</t>
    </r>
  </si>
  <si>
    <r>
      <rPr>
        <b/>
        <sz val="11"/>
        <color theme="1"/>
        <rFont val="Calibri"/>
        <family val="2"/>
        <scheme val="minor"/>
      </rPr>
      <t>5)</t>
    </r>
    <r>
      <rPr>
        <sz val="11"/>
        <color theme="1"/>
        <rFont val="Calibri"/>
        <family val="2"/>
        <scheme val="minor"/>
      </rPr>
      <t xml:space="preserve"> La compagnie ne paye pas d’impôt</t>
    </r>
  </si>
  <si>
    <t>Arrondir au dollar près.</t>
  </si>
  <si>
    <r>
      <t>TRAVAIL À FAIRE</t>
    </r>
    <r>
      <rPr>
        <b/>
        <sz val="12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: (pour l’exercice terminé le 31 décembre 2020)</t>
    </r>
  </si>
  <si>
    <r>
      <t>A)</t>
    </r>
    <r>
      <rPr>
        <b/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 xml:space="preserve">Dressez, </t>
    </r>
    <r>
      <rPr>
        <b/>
        <sz val="12"/>
        <color theme="1"/>
        <rFont val="Calibri"/>
        <family val="2"/>
        <scheme val="minor"/>
      </rPr>
      <t>en bonne et due forme</t>
    </r>
    <r>
      <rPr>
        <sz val="11"/>
        <color theme="1"/>
        <rFont val="Calibri"/>
        <family val="2"/>
        <scheme val="minor"/>
      </rPr>
      <t>, l’état de la situation financière.</t>
    </r>
  </si>
  <si>
    <r>
      <t>B)</t>
    </r>
    <r>
      <rPr>
        <b/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 xml:space="preserve">Dressez, </t>
    </r>
    <r>
      <rPr>
        <b/>
        <sz val="12"/>
        <color theme="1"/>
        <rFont val="Calibri"/>
        <family val="2"/>
        <scheme val="minor"/>
      </rPr>
      <t>en bonne et due forme</t>
    </r>
    <r>
      <rPr>
        <sz val="11"/>
        <color theme="1"/>
        <rFont val="Calibri"/>
        <family val="2"/>
        <scheme val="minor"/>
      </rPr>
      <t>, l’état des flux de trésorerie selon la méthode indirecte.</t>
    </r>
  </si>
  <si>
    <t>Réponses Exo 2</t>
  </si>
  <si>
    <t>Partie 1</t>
  </si>
  <si>
    <r>
      <rPr>
        <b/>
        <sz val="12"/>
        <color theme="1"/>
        <rFont val="Times New Roman"/>
        <family val="1"/>
      </rPr>
      <t>A)</t>
    </r>
    <r>
      <rPr>
        <sz val="12"/>
        <color theme="1"/>
        <rFont val="Times New Roman"/>
        <family val="1"/>
      </rPr>
      <t xml:space="preserve"> Calculer le ratio de liquidité générale </t>
    </r>
  </si>
  <si>
    <r>
      <rPr>
        <b/>
        <sz val="12"/>
        <color theme="1"/>
        <rFont val="Times New Roman"/>
        <family val="1"/>
      </rPr>
      <t>B)</t>
    </r>
    <r>
      <rPr>
        <sz val="12"/>
        <color theme="1"/>
        <rFont val="Times New Roman"/>
        <family val="1"/>
      </rPr>
      <t xml:space="preserve"> Calculer le ratio de liquidité immédiate </t>
    </r>
  </si>
  <si>
    <r>
      <rPr>
        <b/>
        <sz val="12"/>
        <color theme="1"/>
        <rFont val="Times New Roman"/>
        <family val="1"/>
      </rPr>
      <t>C)</t>
    </r>
    <r>
      <rPr>
        <sz val="12"/>
        <color theme="1"/>
        <rFont val="Times New Roman"/>
        <family val="1"/>
      </rPr>
      <t xml:space="preserve"> Calculer le ratio d'endettement</t>
    </r>
  </si>
  <si>
    <t>Partie 2</t>
  </si>
  <si>
    <t xml:space="preserve">Capital social </t>
  </si>
  <si>
    <t>RND</t>
  </si>
  <si>
    <t xml:space="preserve">Total </t>
  </si>
  <si>
    <t>Réponses Exo 3</t>
  </si>
  <si>
    <t>($ CAN)</t>
  </si>
  <si>
    <t>Activités opérationnelles</t>
  </si>
  <si>
    <t>ACTIFS</t>
  </si>
  <si>
    <t>Actifs courants</t>
  </si>
  <si>
    <t>Total actifs courants</t>
  </si>
  <si>
    <t>Actifs non courants</t>
  </si>
  <si>
    <t>Total des activités opérationnelles</t>
  </si>
  <si>
    <t>Activités d'investissement</t>
  </si>
  <si>
    <t>Total actifs non courants</t>
  </si>
  <si>
    <t>Total des actifs</t>
  </si>
  <si>
    <t>Total des activités d'investissement</t>
  </si>
  <si>
    <t>PASSIFS ET CAPITAUX PROPRES</t>
  </si>
  <si>
    <t>Passifs courants</t>
  </si>
  <si>
    <t>Activités de financement</t>
  </si>
  <si>
    <t>Total des activités de financement</t>
  </si>
  <si>
    <t>Variation de la trésorerie</t>
  </si>
  <si>
    <t>Total Passifs Courants</t>
  </si>
  <si>
    <t>Trésorerie au début</t>
  </si>
  <si>
    <t>Passifs non courants</t>
  </si>
  <si>
    <t>Trésorerie à la fin</t>
  </si>
  <si>
    <t>Total Passifs non courants</t>
  </si>
  <si>
    <t>Capitaux propres</t>
  </si>
  <si>
    <t>Total Capitaux Propres</t>
  </si>
  <si>
    <t>Total passifs et des capitaux</t>
  </si>
  <si>
    <t>Nom</t>
  </si>
  <si>
    <t xml:space="preserve">Prénom </t>
  </si>
  <si>
    <t>Matricule</t>
  </si>
  <si>
    <t xml:space="preserve">Groupe </t>
  </si>
  <si>
    <t>Étudiant 1</t>
  </si>
  <si>
    <t>Étudiant 2</t>
  </si>
  <si>
    <t>Exercice 1</t>
  </si>
  <si>
    <t>Charles</t>
  </si>
  <si>
    <t>Cassy</t>
  </si>
  <si>
    <t>Xiao Yuan</t>
  </si>
  <si>
    <t>Ming</t>
  </si>
  <si>
    <t>Étudiant 3</t>
  </si>
  <si>
    <t>Société X</t>
  </si>
  <si>
    <t>Solde au 1er Janvier 2020</t>
  </si>
  <si>
    <t>Réévaluation des biens immobiliers</t>
  </si>
  <si>
    <t>Surplus d'apport de la période</t>
  </si>
  <si>
    <t>Émission d'actions</t>
  </si>
  <si>
    <t>Résultat net de la période</t>
  </si>
  <si>
    <t>Dividendes déclarées</t>
  </si>
  <si>
    <t>Solde au 31 Décembre 2020</t>
  </si>
  <si>
    <t>YEP inc.</t>
  </si>
  <si>
    <t>État de la situation financière</t>
  </si>
  <si>
    <t xml:space="preserve">Au 31 décembre 2020 </t>
  </si>
  <si>
    <t xml:space="preserve">Dividendes </t>
  </si>
  <si>
    <t>Marge Brute</t>
  </si>
  <si>
    <t>Produits des ventes</t>
  </si>
  <si>
    <t>Charges com et adm</t>
  </si>
  <si>
    <t>Réparation</t>
  </si>
  <si>
    <t>État des flux de trésorerie</t>
  </si>
  <si>
    <t>Résultat net</t>
  </si>
  <si>
    <t>Variation de comptes clients</t>
  </si>
  <si>
    <t>Variation des stocks</t>
  </si>
  <si>
    <t>Variation de comptes fournisseurs</t>
  </si>
  <si>
    <t>Variation des salaires à payer</t>
  </si>
  <si>
    <t>Variation des charges payées d'avance</t>
  </si>
  <si>
    <t>Éléments sans effets sur la trésorerie</t>
  </si>
  <si>
    <t>Amortissement</t>
  </si>
  <si>
    <t>Acquisition d'actifs non-courants</t>
  </si>
  <si>
    <t>Disposition d'actifs non-courants</t>
  </si>
  <si>
    <t>Versement de dividendes</t>
  </si>
  <si>
    <t>Rachat d'actions</t>
  </si>
  <si>
    <t>Resultat net</t>
  </si>
  <si>
    <t>Actif Courant</t>
  </si>
  <si>
    <t>Actif Total</t>
  </si>
  <si>
    <t>Passif Courant</t>
  </si>
  <si>
    <t>Passif Total</t>
  </si>
  <si>
    <t>Stock + Frais payés d'avance</t>
  </si>
  <si>
    <t>État de variation des capitaux propres 
période du 1er Janvier au 31 décembre 2020    ($CAN)</t>
  </si>
  <si>
    <t>Intérêts sur placement</t>
  </si>
  <si>
    <t xml:space="preserve">Perte sur disposition </t>
  </si>
  <si>
    <t>EXO 1</t>
  </si>
  <si>
    <t>période du 01 janvier au 31 décembre 2020</t>
  </si>
  <si>
    <t>Solde au 1er janvier 2020</t>
  </si>
  <si>
    <t>Émission d'action</t>
  </si>
  <si>
    <t>Rachat d'action</t>
  </si>
  <si>
    <t>Résulat net de la période</t>
  </si>
  <si>
    <t>Dividendes déclarés</t>
  </si>
  <si>
    <t>Solde au 31 décembre 2020</t>
  </si>
  <si>
    <t>YEP inc</t>
  </si>
  <si>
    <t>période du 01 janvier au 31 décembre 2019</t>
  </si>
  <si>
    <t>Solde au 1er janvier 2019</t>
  </si>
  <si>
    <t>Solde au 31 décembre 2019</t>
  </si>
  <si>
    <t>Jacob</t>
  </si>
  <si>
    <t>Massih</t>
  </si>
  <si>
    <t>période du 1er janvier au 31 décembre 2020</t>
  </si>
  <si>
    <t>Résultat non distribué</t>
  </si>
  <si>
    <t>Placement à terme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</si>
</sst>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&quot;$&quot;_ ;_ * \(#,##0.00\)\ &quot;$&quot;_ ;_ * &quot;-&quot;??_)\ &quot;$&quot;_ ;_ @_ "/>
    <numFmt numFmtId="165" formatCode="_ * #,##0_)\ &quot;$&quot;_ ;_ * \(#,##0\)\ &quot;$&quot;_ ;_ * &quot;-&quot;??_)\ &quot;$&quot;_ ;_ @_ "/>
    <numFmt numFmtId="166" formatCode="#,##0\ &quot;$&quot;_);[Red]\(#,##0\ &quot;$&quot;\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000000"/>
      <name val="Times New Roman"/>
      <family val="1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9" fillId="0" borderId="0"/>
  </cellStyleXfs>
  <cellXfs count="15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7" fillId="0" borderId="4" xfId="0" applyFont="1" applyBorder="1" applyAlignment="1">
      <alignment vertical="center"/>
    </xf>
    <xf numFmtId="165" fontId="7" fillId="0" borderId="4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vertical="center" wrapText="1"/>
    </xf>
    <xf numFmtId="165" fontId="0" fillId="0" borderId="4" xfId="1" applyNumberFormat="1" applyFont="1" applyBorder="1" applyAlignment="1">
      <alignment vertical="center" wrapText="1"/>
    </xf>
    <xf numFmtId="165" fontId="0" fillId="0" borderId="4" xfId="1" applyNumberFormat="1" applyFont="1" applyBorder="1" applyAlignment="1">
      <alignment wrapText="1"/>
    </xf>
    <xf numFmtId="165" fontId="8" fillId="0" borderId="4" xfId="1" applyNumberFormat="1" applyFont="1" applyBorder="1"/>
    <xf numFmtId="0" fontId="0" fillId="0" borderId="4" xfId="0" applyBorder="1" applyAlignment="1">
      <alignment horizontal="center"/>
    </xf>
    <xf numFmtId="0" fontId="9" fillId="0" borderId="4" xfId="0" applyFont="1" applyBorder="1" applyAlignment="1">
      <alignment vertical="center" wrapText="1"/>
    </xf>
    <xf numFmtId="165" fontId="0" fillId="0" borderId="0" xfId="0" applyNumberFormat="1"/>
    <xf numFmtId="0" fontId="9" fillId="0" borderId="4" xfId="0" applyFont="1" applyBorder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7" fillId="0" borderId="0" xfId="0" applyFont="1" applyAlignment="1">
      <alignment vertical="center"/>
    </xf>
    <xf numFmtId="0" fontId="9" fillId="0" borderId="0" xfId="0" applyFont="1" applyAlignment="1">
      <alignment horizontal="justify" vertical="center"/>
    </xf>
    <xf numFmtId="0" fontId="0" fillId="0" borderId="4" xfId="0" applyBorder="1" applyAlignment="1">
      <alignment vertical="center"/>
    </xf>
    <xf numFmtId="165" fontId="0" fillId="0" borderId="4" xfId="1" applyNumberFormat="1" applyFont="1" applyBorder="1" applyAlignment="1">
      <alignment vertical="center"/>
    </xf>
    <xf numFmtId="165" fontId="0" fillId="0" borderId="4" xfId="1" applyNumberFormat="1" applyFont="1" applyBorder="1" applyAlignment="1"/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14" fillId="0" borderId="7" xfId="0" applyFont="1" applyBorder="1"/>
    <xf numFmtId="0" fontId="14" fillId="0" borderId="10" xfId="0" applyFont="1" applyBorder="1"/>
    <xf numFmtId="0" fontId="21" fillId="0" borderId="5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3" fillId="0" borderId="5" xfId="2" applyFont="1" applyBorder="1"/>
    <xf numFmtId="0" fontId="22" fillId="0" borderId="6" xfId="2" applyFont="1" applyBorder="1" applyAlignment="1">
      <alignment horizontal="center" vertical="center" wrapText="1"/>
    </xf>
    <xf numFmtId="0" fontId="22" fillId="0" borderId="6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 wrapText="1"/>
    </xf>
    <xf numFmtId="0" fontId="23" fillId="0" borderId="7" xfId="2" applyFont="1" applyBorder="1"/>
    <xf numFmtId="165" fontId="23" fillId="0" borderId="0" xfId="1" applyNumberFormat="1" applyFont="1" applyBorder="1"/>
    <xf numFmtId="165" fontId="23" fillId="0" borderId="9" xfId="1" applyNumberFormat="1" applyFont="1" applyBorder="1"/>
    <xf numFmtId="0" fontId="23" fillId="0" borderId="7" xfId="2" applyFont="1" applyFill="1" applyBorder="1"/>
    <xf numFmtId="165" fontId="23" fillId="0" borderId="0" xfId="1" applyNumberFormat="1" applyFont="1" applyFill="1" applyBorder="1"/>
    <xf numFmtId="165" fontId="23" fillId="0" borderId="9" xfId="1" applyNumberFormat="1" applyFont="1" applyFill="1" applyBorder="1"/>
    <xf numFmtId="0" fontId="14" fillId="0" borderId="7" xfId="0" applyFont="1" applyFill="1" applyBorder="1"/>
    <xf numFmtId="0" fontId="22" fillId="0" borderId="10" xfId="2" applyFont="1" applyFill="1" applyBorder="1"/>
    <xf numFmtId="165" fontId="22" fillId="0" borderId="12" xfId="1" applyNumberFormat="1" applyFont="1" applyFill="1" applyBorder="1"/>
    <xf numFmtId="165" fontId="22" fillId="0" borderId="11" xfId="1" applyNumberFormat="1" applyFont="1" applyFill="1" applyBorder="1"/>
    <xf numFmtId="0" fontId="24" fillId="0" borderId="22" xfId="2" applyFont="1" applyBorder="1" applyAlignment="1">
      <alignment horizontal="center"/>
    </xf>
    <xf numFmtId="0" fontId="24" fillId="0" borderId="16" xfId="2" applyFont="1" applyBorder="1"/>
    <xf numFmtId="1" fontId="20" fillId="0" borderId="2" xfId="2" applyNumberFormat="1" applyFont="1" applyBorder="1" applyAlignment="1">
      <alignment horizontal="center" vertical="center"/>
    </xf>
    <xf numFmtId="0" fontId="13" fillId="0" borderId="5" xfId="0" applyFont="1" applyBorder="1"/>
    <xf numFmtId="0" fontId="0" fillId="0" borderId="6" xfId="0" applyBorder="1"/>
    <xf numFmtId="0" fontId="0" fillId="0" borderId="8" xfId="0" applyBorder="1"/>
    <xf numFmtId="0" fontId="20" fillId="0" borderId="7" xfId="2" applyFont="1" applyBorder="1"/>
    <xf numFmtId="165" fontId="24" fillId="0" borderId="0" xfId="1" applyNumberFormat="1" applyFont="1" applyBorder="1"/>
    <xf numFmtId="0" fontId="0" fillId="0" borderId="7" xfId="0" applyBorder="1"/>
    <xf numFmtId="165" fontId="0" fillId="0" borderId="0" xfId="1" applyNumberFormat="1" applyFont="1" applyBorder="1"/>
    <xf numFmtId="165" fontId="0" fillId="0" borderId="9" xfId="1" applyNumberFormat="1" applyFont="1" applyBorder="1"/>
    <xf numFmtId="0" fontId="24" fillId="0" borderId="7" xfId="2" applyFont="1" applyBorder="1"/>
    <xf numFmtId="0" fontId="2" fillId="0" borderId="7" xfId="0" applyFont="1" applyBorder="1"/>
    <xf numFmtId="165" fontId="20" fillId="0" borderId="0" xfId="1" applyNumberFormat="1" applyFont="1" applyBorder="1"/>
    <xf numFmtId="0" fontId="13" fillId="0" borderId="7" xfId="0" applyFont="1" applyBorder="1"/>
    <xf numFmtId="165" fontId="13" fillId="0" borderId="9" xfId="1" applyNumberFormat="1" applyFont="1" applyBorder="1"/>
    <xf numFmtId="0" fontId="24" fillId="0" borderId="7" xfId="2" applyFont="1" applyBorder="1" applyAlignment="1">
      <alignment horizontal="left"/>
    </xf>
    <xf numFmtId="0" fontId="24" fillId="0" borderId="7" xfId="2" applyFont="1" applyBorder="1" applyAlignment="1">
      <alignment horizontal="right"/>
    </xf>
    <xf numFmtId="0" fontId="20" fillId="0" borderId="21" xfId="2" applyFont="1" applyBorder="1"/>
    <xf numFmtId="165" fontId="20" fillId="0" borderId="3" xfId="1" applyNumberFormat="1" applyFont="1" applyBorder="1"/>
    <xf numFmtId="0" fontId="20" fillId="0" borderId="16" xfId="2" applyFont="1" applyBorder="1"/>
    <xf numFmtId="165" fontId="24" fillId="0" borderId="2" xfId="1" applyNumberFormat="1" applyFont="1" applyBorder="1"/>
    <xf numFmtId="165" fontId="13" fillId="0" borderId="0" xfId="1" applyNumberFormat="1" applyFont="1" applyBorder="1"/>
    <xf numFmtId="0" fontId="0" fillId="0" borderId="5" xfId="0" applyBorder="1"/>
    <xf numFmtId="165" fontId="0" fillId="0" borderId="6" xfId="1" applyNumberFormat="1" applyFont="1" applyBorder="1"/>
    <xf numFmtId="49" fontId="0" fillId="0" borderId="0" xfId="0" applyNumberFormat="1"/>
    <xf numFmtId="0" fontId="0" fillId="0" borderId="10" xfId="0" applyBorder="1"/>
    <xf numFmtId="165" fontId="0" fillId="0" borderId="12" xfId="1" applyNumberFormat="1" applyFont="1" applyBorder="1"/>
    <xf numFmtId="165" fontId="0" fillId="0" borderId="11" xfId="1" applyNumberFormat="1" applyFont="1" applyBorder="1"/>
    <xf numFmtId="0" fontId="0" fillId="0" borderId="9" xfId="0" applyBorder="1"/>
    <xf numFmtId="0" fontId="20" fillId="0" borderId="10" xfId="2" applyFont="1" applyBorder="1"/>
    <xf numFmtId="165" fontId="20" fillId="0" borderId="12" xfId="1" applyNumberFormat="1" applyFont="1" applyBorder="1"/>
    <xf numFmtId="165" fontId="24" fillId="0" borderId="8" xfId="1" applyNumberFormat="1" applyFont="1" applyFill="1" applyBorder="1"/>
    <xf numFmtId="0" fontId="0" fillId="0" borderId="9" xfId="0" applyBorder="1" applyAlignment="1">
      <alignment horizontal="center"/>
    </xf>
    <xf numFmtId="165" fontId="24" fillId="0" borderId="0" xfId="1" applyNumberFormat="1" applyFont="1" applyFill="1" applyBorder="1"/>
    <xf numFmtId="165" fontId="0" fillId="0" borderId="0" xfId="1" applyNumberFormat="1" applyFont="1" applyFill="1" applyBorder="1"/>
    <xf numFmtId="165" fontId="20" fillId="0" borderId="0" xfId="1" applyNumberFormat="1" applyFont="1" applyFill="1" applyBorder="1"/>
    <xf numFmtId="0" fontId="0" fillId="0" borderId="0" xfId="0" applyFill="1" applyBorder="1"/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/>
    <xf numFmtId="1" fontId="20" fillId="0" borderId="0" xfId="2" applyNumberFormat="1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0" fontId="25" fillId="0" borderId="0" xfId="2" applyFont="1" applyFill="1" applyBorder="1"/>
    <xf numFmtId="0" fontId="24" fillId="0" borderId="0" xfId="2" applyFont="1" applyFill="1" applyBorder="1" applyAlignment="1">
      <alignment horizontal="left"/>
    </xf>
    <xf numFmtId="0" fontId="24" fillId="0" borderId="0" xfId="2" applyFont="1" applyFill="1" applyBorder="1" applyAlignment="1">
      <alignment horizontal="right"/>
    </xf>
    <xf numFmtId="0" fontId="20" fillId="0" borderId="0" xfId="2" applyFont="1" applyFill="1" applyBorder="1" applyAlignment="1">
      <alignment vertical="center"/>
    </xf>
    <xf numFmtId="0" fontId="24" fillId="0" borderId="0" xfId="2" applyFont="1" applyFill="1" applyBorder="1" applyAlignment="1"/>
    <xf numFmtId="49" fontId="11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>
      <alignment horizontal="left"/>
    </xf>
    <xf numFmtId="49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0" fillId="0" borderId="0" xfId="2" applyFont="1" applyBorder="1" applyAlignment="1">
      <alignment horizontal="center" vertical="center"/>
    </xf>
    <xf numFmtId="0" fontId="24" fillId="0" borderId="9" xfId="2" applyFont="1" applyBorder="1" applyAlignment="1">
      <alignment horizontal="center"/>
    </xf>
    <xf numFmtId="0" fontId="24" fillId="0" borderId="21" xfId="2" applyFont="1" applyBorder="1" applyAlignment="1">
      <alignment horizontal="center"/>
    </xf>
    <xf numFmtId="0" fontId="24" fillId="0" borderId="3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4" fillId="0" borderId="7" xfId="2" applyFont="1" applyBorder="1" applyAlignment="1">
      <alignment horizontal="center"/>
    </xf>
    <xf numFmtId="0" fontId="24" fillId="0" borderId="0" xfId="2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/>
    <xf numFmtId="0" fontId="23" fillId="2" borderId="9" xfId="0" applyFont="1" applyFill="1" applyBorder="1"/>
    <xf numFmtId="0" fontId="23" fillId="2" borderId="11" xfId="0" applyFont="1" applyFill="1" applyBorder="1"/>
    <xf numFmtId="165" fontId="23" fillId="0" borderId="9" xfId="2" applyNumberFormat="1" applyFont="1" applyBorder="1" applyAlignment="1">
      <alignment horizontal="center" vertical="center" wrapText="1"/>
    </xf>
    <xf numFmtId="165" fontId="23" fillId="0" borderId="0" xfId="1" applyNumberFormat="1" applyFont="1" applyBorder="1" applyAlignment="1">
      <alignment horizontal="right" vertical="center"/>
    </xf>
    <xf numFmtId="0" fontId="20" fillId="0" borderId="23" xfId="2" applyFont="1" applyBorder="1" applyAlignment="1">
      <alignment horizontal="center" vertical="center"/>
    </xf>
    <xf numFmtId="165" fontId="24" fillId="0" borderId="24" xfId="1" applyNumberFormat="1" applyFont="1" applyBorder="1"/>
    <xf numFmtId="165" fontId="20" fillId="0" borderId="24" xfId="1" applyNumberFormat="1" applyFont="1" applyBorder="1"/>
    <xf numFmtId="165" fontId="0" fillId="0" borderId="24" xfId="1" applyNumberFormat="1" applyFont="1" applyBorder="1"/>
    <xf numFmtId="165" fontId="20" fillId="0" borderId="25" xfId="1" applyNumberFormat="1" applyFont="1" applyBorder="1"/>
    <xf numFmtId="165" fontId="20" fillId="0" borderId="26" xfId="1" applyNumberFormat="1" applyFont="1" applyBorder="1"/>
    <xf numFmtId="0" fontId="0" fillId="0" borderId="0" xfId="0" applyFont="1"/>
    <xf numFmtId="165" fontId="24" fillId="0" borderId="23" xfId="1" applyNumberFormat="1" applyFont="1" applyBorder="1"/>
    <xf numFmtId="165" fontId="22" fillId="0" borderId="0" xfId="2" applyNumberFormat="1" applyFont="1" applyAlignment="1">
      <alignment horizontal="center" vertical="center" wrapText="1"/>
    </xf>
    <xf numFmtId="165" fontId="22" fillId="0" borderId="0" xfId="2" applyNumberFormat="1" applyFont="1" applyAlignment="1">
      <alignment horizontal="center" vertical="center"/>
    </xf>
    <xf numFmtId="166" fontId="22" fillId="0" borderId="9" xfId="2" applyNumberFormat="1" applyFont="1" applyBorder="1" applyAlignment="1">
      <alignment horizontal="center" vertical="center" wrapText="1"/>
    </xf>
    <xf numFmtId="165" fontId="26" fillId="0" borderId="0" xfId="1" applyNumberFormat="1" applyFont="1" applyFill="1" applyBorder="1"/>
    <xf numFmtId="165" fontId="14" fillId="0" borderId="0" xfId="1" applyNumberFormat="1" applyFont="1" applyFill="1" applyBorder="1"/>
    <xf numFmtId="165" fontId="14" fillId="0" borderId="9" xfId="1" applyNumberFormat="1" applyFont="1" applyFill="1" applyBorder="1"/>
    <xf numFmtId="0" fontId="22" fillId="0" borderId="10" xfId="2" applyFont="1" applyBorder="1"/>
    <xf numFmtId="165" fontId="22" fillId="0" borderId="9" xfId="2" applyNumberFormat="1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vertical="top" wrapText="1"/>
    </xf>
    <xf numFmtId="0" fontId="20" fillId="0" borderId="12" xfId="2" applyFont="1" applyBorder="1" applyAlignment="1">
      <alignment horizontal="center" vertical="center"/>
    </xf>
    <xf numFmtId="0" fontId="22" fillId="2" borderId="13" xfId="2" applyFont="1" applyFill="1" applyBorder="1" applyAlignment="1">
      <alignment horizontal="center"/>
    </xf>
    <xf numFmtId="0" fontId="22" fillId="2" borderId="14" xfId="2" applyFont="1" applyFill="1" applyBorder="1" applyAlignment="1">
      <alignment horizontal="center"/>
    </xf>
    <xf numFmtId="0" fontId="22" fillId="2" borderId="15" xfId="2" applyFont="1" applyFill="1" applyBorder="1" applyAlignment="1">
      <alignment horizontal="center"/>
    </xf>
    <xf numFmtId="0" fontId="23" fillId="0" borderId="16" xfId="2" applyFont="1" applyBorder="1" applyAlignment="1">
      <alignment horizontal="center" vertical="center" wrapText="1"/>
    </xf>
    <xf numFmtId="0" fontId="23" fillId="0" borderId="2" xfId="2" applyFont="1" applyBorder="1" applyAlignment="1">
      <alignment horizontal="center" vertical="center"/>
    </xf>
    <xf numFmtId="0" fontId="23" fillId="0" borderId="17" xfId="2" applyFont="1" applyBorder="1" applyAlignment="1">
      <alignment horizontal="center" vertical="center"/>
    </xf>
    <xf numFmtId="0" fontId="23" fillId="0" borderId="10" xfId="2" applyFont="1" applyBorder="1" applyAlignment="1">
      <alignment horizontal="center" vertical="center"/>
    </xf>
    <xf numFmtId="0" fontId="23" fillId="0" borderId="12" xfId="2" applyFont="1" applyBorder="1" applyAlignment="1">
      <alignment horizontal="center" vertical="center"/>
    </xf>
    <xf numFmtId="0" fontId="23" fillId="0" borderId="11" xfId="2" applyFont="1" applyBorder="1" applyAlignment="1">
      <alignment horizontal="center" vertical="center"/>
    </xf>
    <xf numFmtId="0" fontId="21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1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20" fillId="2" borderId="5" xfId="2" applyFont="1" applyFill="1" applyBorder="1" applyAlignment="1">
      <alignment horizontal="center" vertical="center"/>
    </xf>
    <xf numFmtId="0" fontId="20" fillId="2" borderId="6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165" fontId="23" fillId="0" borderId="0" xfId="1" applyNumberFormat="1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Normal 2" xfId="2" xr:uid="{0C14A8E8-D8EF-40D0-8684-2DFC1B136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F948-5C12-49E2-999E-CE7B3B556EBC}">
  <dimension ref="A1:I38"/>
  <sheetViews>
    <sheetView view="pageLayout" topLeftCell="A8" zoomScale="87" zoomScaleNormal="100" zoomScalePageLayoutView="87" workbookViewId="0">
      <selection activeCell="F22" sqref="F22"/>
    </sheetView>
  </sheetViews>
  <sheetFormatPr defaultColWidth="10.90625" defaultRowHeight="14.75" x14ac:dyDescent="0.75"/>
  <cols>
    <col min="1" max="1" width="44.1796875" customWidth="1"/>
    <col min="2" max="2" width="14.1328125" customWidth="1"/>
    <col min="3" max="3" width="13.04296875" customWidth="1"/>
    <col min="6" max="6" width="47.36328125" customWidth="1"/>
    <col min="8" max="8" width="16.08984375" customWidth="1"/>
  </cols>
  <sheetData>
    <row r="1" spans="1:9" x14ac:dyDescent="0.75">
      <c r="A1" s="2" t="s">
        <v>99</v>
      </c>
      <c r="F1" s="3" t="s">
        <v>1</v>
      </c>
    </row>
    <row r="2" spans="1:9" x14ac:dyDescent="0.75">
      <c r="A2" s="131" t="s">
        <v>2</v>
      </c>
      <c r="B2" s="131"/>
      <c r="C2" s="131"/>
      <c r="D2" s="131"/>
      <c r="E2" s="131"/>
    </row>
    <row r="3" spans="1:9" x14ac:dyDescent="0.75">
      <c r="A3" s="131"/>
      <c r="B3" s="131"/>
      <c r="C3" s="131"/>
      <c r="D3" s="131"/>
      <c r="E3" s="131"/>
      <c r="F3" s="131" t="s">
        <v>3</v>
      </c>
      <c r="G3" s="131"/>
      <c r="H3" s="131"/>
      <c r="I3" s="19"/>
    </row>
    <row r="4" spans="1:9" x14ac:dyDescent="0.75">
      <c r="B4" s="4">
        <v>2020</v>
      </c>
      <c r="C4" s="4">
        <v>2019</v>
      </c>
      <c r="F4" s="131"/>
      <c r="G4" s="131"/>
      <c r="H4" s="131"/>
      <c r="I4" s="19"/>
    </row>
    <row r="5" spans="1:9" ht="15.75" x14ac:dyDescent="0.75">
      <c r="A5" s="5" t="s">
        <v>4</v>
      </c>
      <c r="B5" s="6">
        <v>45000</v>
      </c>
      <c r="C5" s="6">
        <v>30000</v>
      </c>
      <c r="G5" s="7">
        <v>2020</v>
      </c>
      <c r="H5" s="7">
        <v>2019</v>
      </c>
    </row>
    <row r="6" spans="1:9" ht="15.75" x14ac:dyDescent="0.75">
      <c r="A6" s="5" t="s">
        <v>5</v>
      </c>
      <c r="B6" s="6">
        <v>4200</v>
      </c>
      <c r="C6" s="6">
        <v>5000</v>
      </c>
      <c r="F6" s="25" t="s">
        <v>7</v>
      </c>
      <c r="G6" s="26">
        <v>4567</v>
      </c>
      <c r="H6" s="27">
        <v>90000</v>
      </c>
    </row>
    <row r="7" spans="1:9" ht="15.75" x14ac:dyDescent="0.75">
      <c r="A7" s="5" t="s">
        <v>6</v>
      </c>
      <c r="B7" s="6">
        <v>450000</v>
      </c>
      <c r="C7" s="6">
        <v>300000</v>
      </c>
      <c r="F7" s="25" t="s">
        <v>9</v>
      </c>
      <c r="G7" s="26">
        <v>40000</v>
      </c>
      <c r="H7" s="26">
        <v>45000</v>
      </c>
    </row>
    <row r="8" spans="1:9" ht="15.75" x14ac:dyDescent="0.75">
      <c r="A8" s="5" t="s">
        <v>8</v>
      </c>
      <c r="B8" s="6">
        <v>120000</v>
      </c>
      <c r="C8" s="6">
        <v>75000</v>
      </c>
      <c r="F8" s="25" t="s">
        <v>11</v>
      </c>
      <c r="G8" s="26">
        <v>337000</v>
      </c>
      <c r="H8" s="27">
        <v>325000</v>
      </c>
    </row>
    <row r="9" spans="1:9" ht="15.75" x14ac:dyDescent="0.75">
      <c r="A9" s="5" t="s">
        <v>10</v>
      </c>
      <c r="B9" s="6">
        <v>875</v>
      </c>
      <c r="C9" s="6">
        <v>947</v>
      </c>
      <c r="F9" s="25" t="s">
        <v>13</v>
      </c>
      <c r="G9" s="26">
        <v>14220</v>
      </c>
      <c r="H9" s="27">
        <v>12870</v>
      </c>
    </row>
    <row r="10" spans="1:9" ht="15.75" x14ac:dyDescent="0.75">
      <c r="A10" s="5" t="s">
        <v>12</v>
      </c>
      <c r="B10" s="6">
        <v>7412</v>
      </c>
      <c r="C10" s="6">
        <v>8743</v>
      </c>
      <c r="F10" s="25" t="s">
        <v>16</v>
      </c>
      <c r="G10" s="26">
        <f>8600+1000</f>
        <v>9600</v>
      </c>
      <c r="H10" s="26">
        <f>7500+1000</f>
        <v>8500</v>
      </c>
    </row>
    <row r="11" spans="1:9" ht="15.75" x14ac:dyDescent="0.75">
      <c r="A11" s="5" t="s">
        <v>14</v>
      </c>
      <c r="B11" s="11">
        <v>1000</v>
      </c>
      <c r="C11" s="12" t="s">
        <v>15</v>
      </c>
      <c r="F11" s="25" t="s">
        <v>18</v>
      </c>
      <c r="G11" s="26">
        <v>297000</v>
      </c>
      <c r="H11" s="26">
        <v>246000</v>
      </c>
    </row>
    <row r="12" spans="1:9" ht="16" x14ac:dyDescent="0.75">
      <c r="A12" s="5" t="s">
        <v>17</v>
      </c>
      <c r="B12" s="6">
        <v>15000</v>
      </c>
      <c r="C12" s="6">
        <v>12489</v>
      </c>
      <c r="F12" s="15" t="s">
        <v>14</v>
      </c>
      <c r="G12" s="26">
        <v>12600</v>
      </c>
      <c r="H12" s="26">
        <v>13500</v>
      </c>
    </row>
    <row r="13" spans="1:9" ht="15.75" x14ac:dyDescent="0.75">
      <c r="A13" s="5" t="s">
        <v>19</v>
      </c>
      <c r="B13" s="6">
        <v>6000</v>
      </c>
      <c r="C13" s="6">
        <v>5700</v>
      </c>
      <c r="F13" s="25" t="s">
        <v>21</v>
      </c>
      <c r="G13" s="26">
        <v>75000</v>
      </c>
      <c r="H13" s="27">
        <v>75000</v>
      </c>
    </row>
    <row r="14" spans="1:9" ht="15.75" x14ac:dyDescent="0.75">
      <c r="A14" s="5" t="s">
        <v>20</v>
      </c>
      <c r="B14" s="6">
        <v>54</v>
      </c>
      <c r="C14" s="6">
        <v>75</v>
      </c>
      <c r="F14" s="8" t="s">
        <v>19</v>
      </c>
      <c r="G14" s="9">
        <f>36664+2000</f>
        <v>38664</v>
      </c>
      <c r="H14" s="10">
        <f>67852+2000</f>
        <v>69852</v>
      </c>
    </row>
    <row r="15" spans="1:9" ht="15.75" x14ac:dyDescent="0.75">
      <c r="A15" s="5" t="s">
        <v>22</v>
      </c>
      <c r="B15" s="6">
        <v>475</v>
      </c>
      <c r="C15" s="6">
        <v>456</v>
      </c>
      <c r="F15" s="8" t="s">
        <v>24</v>
      </c>
      <c r="G15" s="9">
        <v>157000</v>
      </c>
      <c r="H15" s="9">
        <v>165000</v>
      </c>
    </row>
    <row r="16" spans="1:9" ht="15.75" x14ac:dyDescent="0.75">
      <c r="A16" s="5" t="s">
        <v>23</v>
      </c>
      <c r="B16" s="6">
        <v>45</v>
      </c>
      <c r="C16" s="6">
        <v>87</v>
      </c>
      <c r="F16" s="8" t="s">
        <v>26</v>
      </c>
      <c r="G16" s="9">
        <v>1875</v>
      </c>
      <c r="H16" s="9">
        <v>1875</v>
      </c>
    </row>
    <row r="17" spans="1:9" ht="15.75" x14ac:dyDescent="0.75">
      <c r="A17" s="5" t="s">
        <v>25</v>
      </c>
      <c r="B17" s="6">
        <v>125</v>
      </c>
      <c r="C17" s="6">
        <v>874</v>
      </c>
      <c r="E17" s="14"/>
      <c r="F17" s="8" t="s">
        <v>28</v>
      </c>
      <c r="G17" s="9">
        <v>1960</v>
      </c>
      <c r="H17" s="10">
        <v>2800</v>
      </c>
    </row>
    <row r="18" spans="1:9" ht="15.75" x14ac:dyDescent="0.75">
      <c r="A18" s="5" t="s">
        <v>27</v>
      </c>
      <c r="B18" s="6">
        <v>25000</v>
      </c>
      <c r="C18" s="6">
        <v>30000</v>
      </c>
      <c r="F18" s="8" t="s">
        <v>30</v>
      </c>
      <c r="G18" s="9">
        <v>163</v>
      </c>
      <c r="H18" s="10">
        <v>233</v>
      </c>
    </row>
    <row r="19" spans="1:9" ht="15.75" x14ac:dyDescent="0.75">
      <c r="A19" s="5" t="s">
        <v>29</v>
      </c>
      <c r="B19" s="6">
        <v>224000</v>
      </c>
      <c r="C19" s="6">
        <v>200000</v>
      </c>
      <c r="F19" s="8" t="s">
        <v>32</v>
      </c>
      <c r="G19" s="9">
        <f>5280-2000</f>
        <v>3280</v>
      </c>
      <c r="H19" s="10">
        <f>4800-2000</f>
        <v>2800</v>
      </c>
    </row>
    <row r="20" spans="1:9" ht="15.75" x14ac:dyDescent="0.75">
      <c r="A20" s="5" t="s">
        <v>31</v>
      </c>
      <c r="B20" s="6">
        <v>150</v>
      </c>
      <c r="C20" s="6">
        <v>3645</v>
      </c>
      <c r="E20" s="14"/>
      <c r="F20" s="8" t="s">
        <v>34</v>
      </c>
      <c r="G20" s="9">
        <v>5000</v>
      </c>
      <c r="H20" s="10">
        <v>0</v>
      </c>
    </row>
    <row r="21" spans="1:9" ht="15.75" x14ac:dyDescent="0.75">
      <c r="A21" s="5" t="s">
        <v>33</v>
      </c>
      <c r="B21" s="6">
        <v>136162</v>
      </c>
      <c r="C21" s="6">
        <v>76096</v>
      </c>
      <c r="F21" s="8" t="s">
        <v>36</v>
      </c>
      <c r="G21" s="9">
        <v>0</v>
      </c>
      <c r="H21" s="10">
        <v>12000</v>
      </c>
    </row>
    <row r="22" spans="1:9" ht="16" x14ac:dyDescent="0.75">
      <c r="A22" s="5" t="s">
        <v>35</v>
      </c>
      <c r="B22" s="6">
        <v>5000</v>
      </c>
      <c r="C22" s="6">
        <v>1456</v>
      </c>
      <c r="E22" s="14"/>
      <c r="F22" s="13" t="s">
        <v>159</v>
      </c>
      <c r="G22" s="10">
        <v>28000</v>
      </c>
      <c r="H22" s="10">
        <v>28000</v>
      </c>
    </row>
    <row r="23" spans="1:9" ht="15.75" x14ac:dyDescent="0.75">
      <c r="A23" s="5" t="s">
        <v>37</v>
      </c>
      <c r="B23" s="6">
        <v>65000</v>
      </c>
      <c r="C23" s="6">
        <v>65000</v>
      </c>
      <c r="F23" s="8" t="s">
        <v>38</v>
      </c>
      <c r="G23" s="10">
        <v>687200</v>
      </c>
      <c r="H23" s="10">
        <v>643000</v>
      </c>
    </row>
    <row r="24" spans="1:9" ht="15.5" x14ac:dyDescent="0.75">
      <c r="A24" s="1" t="s">
        <v>0</v>
      </c>
      <c r="E24" s="14"/>
      <c r="F24" s="8" t="s">
        <v>40</v>
      </c>
      <c r="G24" s="10">
        <v>3230</v>
      </c>
      <c r="H24" s="10">
        <v>0</v>
      </c>
    </row>
    <row r="25" spans="1:9" ht="16" x14ac:dyDescent="0.75">
      <c r="A25" s="1" t="s">
        <v>39</v>
      </c>
      <c r="F25" s="13" t="s">
        <v>42</v>
      </c>
      <c r="G25" s="10">
        <v>198005</v>
      </c>
      <c r="H25" s="10">
        <v>138580</v>
      </c>
    </row>
    <row r="26" spans="1:9" ht="16" x14ac:dyDescent="0.75">
      <c r="A26" t="s">
        <v>41</v>
      </c>
      <c r="F26" s="13" t="s">
        <v>44</v>
      </c>
      <c r="G26" s="10">
        <f>18300-1000</f>
        <v>17300</v>
      </c>
      <c r="H26" s="10">
        <f>16450-1000</f>
        <v>15450</v>
      </c>
    </row>
    <row r="27" spans="1:9" ht="16" x14ac:dyDescent="0.75">
      <c r="A27" t="s">
        <v>43</v>
      </c>
      <c r="F27" s="15" t="s">
        <v>46</v>
      </c>
      <c r="G27" s="10">
        <f>57600-2000</f>
        <v>55600</v>
      </c>
      <c r="H27" s="10">
        <f>63200-2000</f>
        <v>61200</v>
      </c>
    </row>
    <row r="28" spans="1:9" ht="16" x14ac:dyDescent="0.75">
      <c r="A28" t="s">
        <v>45</v>
      </c>
      <c r="F28" s="13" t="s">
        <v>37</v>
      </c>
      <c r="G28" s="10">
        <v>80000</v>
      </c>
      <c r="H28" s="10">
        <v>80000</v>
      </c>
    </row>
    <row r="29" spans="1:9" ht="16" x14ac:dyDescent="0.75">
      <c r="A29" s="16" t="s">
        <v>47</v>
      </c>
      <c r="F29" s="18" t="s">
        <v>49</v>
      </c>
      <c r="I29" s="20"/>
    </row>
    <row r="30" spans="1:9" ht="74.5" customHeight="1" x14ac:dyDescent="0.75">
      <c r="A30" s="17" t="s">
        <v>48</v>
      </c>
      <c r="C30" s="14"/>
      <c r="F30" s="132" t="s">
        <v>50</v>
      </c>
      <c r="G30" s="132"/>
      <c r="H30" s="132"/>
      <c r="I30" s="132"/>
    </row>
    <row r="31" spans="1:9" x14ac:dyDescent="0.75">
      <c r="F31" s="30" t="s">
        <v>51</v>
      </c>
      <c r="G31" s="21"/>
      <c r="H31" s="21"/>
      <c r="I31" s="21"/>
    </row>
    <row r="32" spans="1:9" ht="18.5" customHeight="1" x14ac:dyDescent="0.75">
      <c r="F32" s="20" t="s">
        <v>52</v>
      </c>
      <c r="G32" s="21"/>
      <c r="H32" s="22"/>
      <c r="I32" s="22"/>
    </row>
    <row r="33" spans="6:9" ht="14.5" customHeight="1" x14ac:dyDescent="0.75">
      <c r="F33" s="29" t="s">
        <v>53</v>
      </c>
      <c r="G33" s="29"/>
      <c r="H33" s="29"/>
      <c r="I33" s="29"/>
    </row>
    <row r="34" spans="6:9" x14ac:dyDescent="0.75">
      <c r="F34" s="28" t="s">
        <v>54</v>
      </c>
      <c r="G34" s="22"/>
      <c r="H34" s="22"/>
      <c r="I34" s="22"/>
    </row>
    <row r="35" spans="6:9" x14ac:dyDescent="0.75">
      <c r="F35" t="s">
        <v>55</v>
      </c>
    </row>
    <row r="36" spans="6:9" ht="16" x14ac:dyDescent="0.75">
      <c r="F36" s="23" t="s">
        <v>56</v>
      </c>
      <c r="G36" s="24"/>
    </row>
    <row r="37" spans="6:9" ht="16" x14ac:dyDescent="0.75">
      <c r="F37" s="18" t="s">
        <v>57</v>
      </c>
      <c r="G37" s="17"/>
      <c r="H37" s="17"/>
    </row>
    <row r="38" spans="6:9" ht="16" x14ac:dyDescent="0.75">
      <c r="F38" s="18" t="s">
        <v>58</v>
      </c>
      <c r="G38" s="18"/>
      <c r="H38" s="18"/>
    </row>
  </sheetData>
  <mergeCells count="3">
    <mergeCell ref="A2:E3"/>
    <mergeCell ref="F3:H4"/>
    <mergeCell ref="F30:I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CB87-B8C9-402F-9550-BEF0FA843E7E}">
  <dimension ref="A1:M91"/>
  <sheetViews>
    <sheetView tabSelected="1" view="pageLayout" topLeftCell="A6" zoomScale="83" zoomScaleNormal="100" zoomScalePageLayoutView="83" workbookViewId="0">
      <selection activeCell="B17" sqref="B17"/>
    </sheetView>
  </sheetViews>
  <sheetFormatPr defaultColWidth="10.90625" defaultRowHeight="14.75" x14ac:dyDescent="0.75"/>
  <cols>
    <col min="1" max="1" width="37.54296875" bestFit="1" customWidth="1"/>
    <col min="2" max="2" width="12.76953125" bestFit="1" customWidth="1"/>
    <col min="3" max="4" width="11.2265625" bestFit="1" customWidth="1"/>
    <col min="6" max="6" width="39.08984375" bestFit="1" customWidth="1"/>
    <col min="7" max="7" width="11.04296875" bestFit="1" customWidth="1"/>
    <col min="8" max="8" width="12.54296875" customWidth="1"/>
    <col min="9" max="9" width="16.08984375" customWidth="1"/>
    <col min="11" max="11" width="33.36328125" bestFit="1" customWidth="1"/>
    <col min="13" max="13" width="13.04296875" customWidth="1"/>
  </cols>
  <sheetData>
    <row r="1" spans="1:13" ht="16" x14ac:dyDescent="0.75">
      <c r="A1" s="99" t="s">
        <v>97</v>
      </c>
      <c r="C1" s="99" t="s">
        <v>98</v>
      </c>
      <c r="F1" s="106" t="s">
        <v>68</v>
      </c>
      <c r="K1" s="146" t="s">
        <v>113</v>
      </c>
      <c r="L1" s="147"/>
      <c r="M1" s="148"/>
    </row>
    <row r="2" spans="1:13" ht="16" x14ac:dyDescent="0.8">
      <c r="A2" s="97" t="s">
        <v>93</v>
      </c>
      <c r="B2" s="28" t="s">
        <v>100</v>
      </c>
      <c r="C2" s="100" t="s">
        <v>93</v>
      </c>
      <c r="D2" t="s">
        <v>102</v>
      </c>
      <c r="F2" s="102"/>
      <c r="G2" s="102"/>
      <c r="K2" s="149" t="s">
        <v>121</v>
      </c>
      <c r="L2" s="150"/>
      <c r="M2" s="82"/>
    </row>
    <row r="3" spans="1:13" ht="16.75" thickBot="1" x14ac:dyDescent="0.95">
      <c r="A3" s="98" t="s">
        <v>94</v>
      </c>
      <c r="B3" s="28" t="s">
        <v>101</v>
      </c>
      <c r="C3" s="101" t="s">
        <v>94</v>
      </c>
      <c r="D3" t="s">
        <v>103</v>
      </c>
      <c r="K3" s="151" t="s">
        <v>157</v>
      </c>
      <c r="L3" s="152"/>
      <c r="M3" s="49" t="s">
        <v>69</v>
      </c>
    </row>
    <row r="4" spans="1:13" ht="16" x14ac:dyDescent="0.8">
      <c r="A4" s="98" t="s">
        <v>95</v>
      </c>
      <c r="B4" s="109">
        <v>1947025</v>
      </c>
      <c r="C4" s="101" t="s">
        <v>95</v>
      </c>
      <c r="D4" s="109">
        <v>1949477</v>
      </c>
      <c r="F4" s="153" t="s">
        <v>113</v>
      </c>
      <c r="G4" s="154"/>
      <c r="H4" s="155"/>
      <c r="K4" s="52" t="s">
        <v>70</v>
      </c>
      <c r="L4" s="53"/>
      <c r="M4" s="54"/>
    </row>
    <row r="5" spans="1:13" ht="16" x14ac:dyDescent="0.8">
      <c r="A5" s="98" t="s">
        <v>96</v>
      </c>
      <c r="B5" s="109">
        <v>4</v>
      </c>
      <c r="C5" s="101" t="s">
        <v>96</v>
      </c>
      <c r="D5" s="101">
        <v>4</v>
      </c>
      <c r="F5" s="107" t="s">
        <v>114</v>
      </c>
      <c r="G5" s="108"/>
      <c r="H5" s="103"/>
      <c r="K5" s="57" t="s">
        <v>122</v>
      </c>
      <c r="L5" s="58"/>
      <c r="M5" s="59">
        <f>'Perso '!B16</f>
        <v>45055</v>
      </c>
    </row>
    <row r="6" spans="1:13" ht="16.75" thickBot="1" x14ac:dyDescent="0.95">
      <c r="A6" s="133" t="s">
        <v>59</v>
      </c>
      <c r="B6" s="133"/>
      <c r="D6" s="99" t="s">
        <v>104</v>
      </c>
      <c r="F6" s="104" t="s">
        <v>115</v>
      </c>
      <c r="G6" s="105"/>
      <c r="H6" s="49" t="s">
        <v>69</v>
      </c>
      <c r="K6" s="57" t="s">
        <v>123</v>
      </c>
      <c r="L6" s="58"/>
      <c r="M6" s="59">
        <f>H10-G10</f>
        <v>-1350</v>
      </c>
    </row>
    <row r="7" spans="1:13" ht="16" x14ac:dyDescent="0.8">
      <c r="A7" s="33" t="s">
        <v>60</v>
      </c>
      <c r="B7" s="34"/>
      <c r="D7" s="100" t="s">
        <v>93</v>
      </c>
      <c r="E7" t="s">
        <v>155</v>
      </c>
      <c r="F7" s="50"/>
      <c r="G7" s="51">
        <v>2020</v>
      </c>
      <c r="H7" s="115">
        <v>2019</v>
      </c>
      <c r="K7" s="57" t="s">
        <v>124</v>
      </c>
      <c r="L7" s="58"/>
      <c r="M7" s="59">
        <f>'Exo 1 et 2'!H27-'Exo 1 et 2'!G27</f>
        <v>5600</v>
      </c>
    </row>
    <row r="8" spans="1:13" ht="16" x14ac:dyDescent="0.8">
      <c r="A8" s="31" t="s">
        <v>61</v>
      </c>
      <c r="B8" s="111">
        <f>('Perso '!F3/'Perso '!F6)*100</f>
        <v>53.519465198584349</v>
      </c>
      <c r="D8" s="101" t="s">
        <v>94</v>
      </c>
      <c r="E8" t="s">
        <v>156</v>
      </c>
      <c r="F8" s="55" t="s">
        <v>71</v>
      </c>
      <c r="G8" s="56"/>
      <c r="H8" s="116"/>
      <c r="K8" s="57" t="s">
        <v>125</v>
      </c>
      <c r="L8" s="58"/>
      <c r="M8" s="59">
        <f>-'Exo 1 et 2'!H10+'Exo 1 et 2'!G10</f>
        <v>1100</v>
      </c>
    </row>
    <row r="9" spans="1:13" ht="16" x14ac:dyDescent="0.8">
      <c r="A9" s="31" t="s">
        <v>62</v>
      </c>
      <c r="B9" s="111">
        <f>(('Perso '!F3-'Perso '!F5)/'Perso '!F6)*100</f>
        <v>30.890898763490192</v>
      </c>
      <c r="D9" s="101" t="s">
        <v>95</v>
      </c>
      <c r="E9" s="109">
        <v>2050874</v>
      </c>
      <c r="F9" s="55" t="s">
        <v>72</v>
      </c>
      <c r="G9" s="56"/>
      <c r="H9" s="116"/>
      <c r="K9" s="57" t="s">
        <v>126</v>
      </c>
      <c r="L9" s="58"/>
      <c r="M9" s="59">
        <f>-'Exo 1 et 2'!H26+'Exo 1 et 2'!G26</f>
        <v>1850</v>
      </c>
    </row>
    <row r="10" spans="1:13" ht="16.75" thickBot="1" x14ac:dyDescent="0.95">
      <c r="A10" s="32" t="s">
        <v>63</v>
      </c>
      <c r="B10" s="112">
        <f>('Perso '!F7/'Perso '!F4)*100</f>
        <v>49.078121614395414</v>
      </c>
      <c r="D10" s="101" t="s">
        <v>96</v>
      </c>
      <c r="E10" s="101">
        <v>4</v>
      </c>
      <c r="F10" s="60" t="str">
        <f>'Exo 1 et 2'!F9</f>
        <v>Comptes clients (nets)</v>
      </c>
      <c r="G10" s="56">
        <f>'Exo 1 et 2'!G9</f>
        <v>14220</v>
      </c>
      <c r="H10" s="116">
        <f>'Exo 1 et 2'!H9</f>
        <v>12870</v>
      </c>
      <c r="K10" s="57" t="s">
        <v>127</v>
      </c>
      <c r="L10" s="58"/>
      <c r="M10" s="59">
        <f>'Exo 1 et 2'!H19-'Exo 1 et 2'!G19</f>
        <v>-480</v>
      </c>
    </row>
    <row r="11" spans="1:13" ht="16.75" thickBot="1" x14ac:dyDescent="0.95">
      <c r="F11" s="57" t="str">
        <f>'Exo 1 et 2'!F14</f>
        <v>Encaisse</v>
      </c>
      <c r="G11" s="56">
        <f>'Exo 1 et 2'!G14</f>
        <v>38664</v>
      </c>
      <c r="H11" s="116">
        <f>'Exo 1 et 2'!H14</f>
        <v>69852</v>
      </c>
      <c r="K11" s="57" t="s">
        <v>30</v>
      </c>
      <c r="L11" s="58"/>
      <c r="M11" s="59">
        <f>'Exo 1 et 2'!H18-'Exo 1 et 2'!G18</f>
        <v>70</v>
      </c>
    </row>
    <row r="12" spans="1:13" ht="16" x14ac:dyDescent="0.8">
      <c r="A12" s="143" t="s">
        <v>64</v>
      </c>
      <c r="B12" s="144"/>
      <c r="C12" s="144"/>
      <c r="D12" s="145"/>
      <c r="F12" s="60" t="str">
        <f>'Exo 1 et 2'!F18</f>
        <v>Intérêts sur placement à recevoir</v>
      </c>
      <c r="G12" s="56">
        <f>'Exo 1 et 2'!G18</f>
        <v>163</v>
      </c>
      <c r="H12" s="116">
        <f>'Exo 1 et 2'!H18</f>
        <v>233</v>
      </c>
      <c r="K12" s="57"/>
      <c r="L12" s="58"/>
      <c r="M12" s="59"/>
    </row>
    <row r="13" spans="1:13" ht="16" x14ac:dyDescent="0.8">
      <c r="A13" s="134" t="s">
        <v>105</v>
      </c>
      <c r="B13" s="135"/>
      <c r="C13" s="135"/>
      <c r="D13" s="136"/>
      <c r="F13" s="60" t="str">
        <f>'Exo 1 et 2'!F19</f>
        <v>Loyer payé d'avance</v>
      </c>
      <c r="G13" s="56">
        <f>'Exo 1 et 2'!G19</f>
        <v>3280</v>
      </c>
      <c r="H13" s="116">
        <f>'Exo 1 et 2'!H19</f>
        <v>2800</v>
      </c>
      <c r="K13" s="61" t="s">
        <v>128</v>
      </c>
      <c r="L13" s="58"/>
      <c r="M13" s="59"/>
    </row>
    <row r="14" spans="1:13" ht="16" x14ac:dyDescent="0.8">
      <c r="A14" s="137" t="s">
        <v>140</v>
      </c>
      <c r="B14" s="138"/>
      <c r="C14" s="138"/>
      <c r="D14" s="139"/>
      <c r="F14" s="60" t="str">
        <f>'Exo 1 et 2'!F21</f>
        <v>Placement à terme (2019)</v>
      </c>
      <c r="G14" s="56">
        <f>'Exo 1 et 2'!G21</f>
        <v>0</v>
      </c>
      <c r="H14" s="116">
        <f>'Exo 1 et 2'!H21</f>
        <v>12000</v>
      </c>
      <c r="K14" s="57" t="s">
        <v>129</v>
      </c>
      <c r="L14" s="58"/>
      <c r="M14" s="59">
        <f>-G19+(6000*4/12)</f>
        <v>6567</v>
      </c>
    </row>
    <row r="15" spans="1:13" ht="16.75" thickBot="1" x14ac:dyDescent="0.95">
      <c r="A15" s="140"/>
      <c r="B15" s="141"/>
      <c r="C15" s="141"/>
      <c r="D15" s="142"/>
      <c r="F15" s="60" t="str">
        <f>'Exo 1 et 2'!F27</f>
        <v>Stocks (inventaires) de matières premières</v>
      </c>
      <c r="G15" s="56">
        <f>'Exo 1 et 2'!G27</f>
        <v>55600</v>
      </c>
      <c r="H15" s="116">
        <f>'Exo 1 et 2'!H27</f>
        <v>61200</v>
      </c>
      <c r="K15" s="57" t="s">
        <v>34</v>
      </c>
      <c r="L15" s="58"/>
      <c r="M15" s="59">
        <f>'Exo 1 et 2'!G20</f>
        <v>5000</v>
      </c>
    </row>
    <row r="16" spans="1:13" ht="31" x14ac:dyDescent="0.8">
      <c r="A16" s="35"/>
      <c r="B16" s="36" t="s">
        <v>65</v>
      </c>
      <c r="C16" s="37" t="s">
        <v>66</v>
      </c>
      <c r="D16" s="38" t="s">
        <v>67</v>
      </c>
      <c r="F16" s="55" t="s">
        <v>73</v>
      </c>
      <c r="G16" s="62">
        <f>G10+G11+G12+G13+G14+G15</f>
        <v>111927</v>
      </c>
      <c r="H16" s="117">
        <f>H10+H11+H12+H13+H14+H15</f>
        <v>158955</v>
      </c>
      <c r="K16" s="57"/>
      <c r="L16" s="58"/>
      <c r="M16" s="59"/>
    </row>
    <row r="17" spans="1:13" ht="16" x14ac:dyDescent="0.8">
      <c r="A17" s="39" t="s">
        <v>106</v>
      </c>
      <c r="B17" s="156">
        <f>'Exo 1 et 2'!C8</f>
        <v>75000</v>
      </c>
      <c r="C17" s="114">
        <f>'Exo 1 et 2'!C21</f>
        <v>76096</v>
      </c>
      <c r="D17" s="113">
        <f>C17+B17</f>
        <v>151096</v>
      </c>
      <c r="F17" s="55" t="s">
        <v>74</v>
      </c>
      <c r="G17" s="56"/>
      <c r="H17" s="116"/>
      <c r="K17" s="57"/>
      <c r="L17" s="56"/>
      <c r="M17" s="59"/>
    </row>
    <row r="18" spans="1:13" ht="16" x14ac:dyDescent="0.8">
      <c r="A18" s="39" t="s">
        <v>107</v>
      </c>
      <c r="B18" s="40"/>
      <c r="C18" s="40"/>
      <c r="D18" s="41"/>
      <c r="F18" s="60" t="str">
        <f>'Exo 1 et 2'!F15</f>
        <v>Machine</v>
      </c>
      <c r="G18" s="58">
        <f>'Exo 1 et 2'!G15</f>
        <v>157000</v>
      </c>
      <c r="H18" s="118">
        <f>'Exo 1 et 2'!H15</f>
        <v>165000</v>
      </c>
      <c r="K18" s="60"/>
      <c r="L18" s="58"/>
      <c r="M18" s="59"/>
    </row>
    <row r="19" spans="1:13" ht="16" x14ac:dyDescent="0.8">
      <c r="A19" s="42" t="s">
        <v>108</v>
      </c>
      <c r="B19" s="43"/>
      <c r="C19" s="43"/>
      <c r="D19" s="44"/>
      <c r="F19" s="60" t="str">
        <f>'Exo 1 et 2'!F6</f>
        <v xml:space="preserve">Amortissement cumulé- Machine </v>
      </c>
      <c r="G19" s="58">
        <f>-('Exo 1 et 2'!G6)</f>
        <v>-4567</v>
      </c>
      <c r="H19" s="118">
        <f>-('Exo 1 et 2'!H6)</f>
        <v>-90000</v>
      </c>
      <c r="K19" s="57"/>
      <c r="L19" s="58"/>
      <c r="M19" s="59"/>
    </row>
    <row r="20" spans="1:13" ht="16" x14ac:dyDescent="0.8">
      <c r="A20" s="42" t="s">
        <v>109</v>
      </c>
      <c r="B20" s="43">
        <f>'Exo 1 et 2'!B8-'Exo 1 et 2'!C8</f>
        <v>45000</v>
      </c>
      <c r="C20" s="43"/>
      <c r="D20" s="44">
        <f>B20</f>
        <v>45000</v>
      </c>
      <c r="F20" s="65" t="str">
        <f>'Exo 1 et 2'!F22</f>
        <v>Placement à terme (2022)</v>
      </c>
      <c r="G20" s="58">
        <f>'Exo 1 et 2'!G22</f>
        <v>28000</v>
      </c>
      <c r="H20" s="118">
        <f>'Exo 1 et 2'!H22</f>
        <v>28000</v>
      </c>
      <c r="K20" s="57"/>
      <c r="L20" s="58"/>
      <c r="M20" s="59"/>
    </row>
    <row r="21" spans="1:13" ht="16" x14ac:dyDescent="0.8">
      <c r="A21" s="42" t="s">
        <v>110</v>
      </c>
      <c r="B21" s="43"/>
      <c r="C21" s="43">
        <f>'Exo 1 et 2'!B21-'Exo 1 et 2'!C21+'Exo 1 et 2'!B11</f>
        <v>61066</v>
      </c>
      <c r="D21" s="44">
        <f>C21</f>
        <v>61066</v>
      </c>
      <c r="F21" s="60" t="str">
        <f>'Exo 1 et 2'!F28</f>
        <v>Terrain</v>
      </c>
      <c r="G21" s="58">
        <f>'Exo 1 et 2'!G28</f>
        <v>80000</v>
      </c>
      <c r="H21" s="118">
        <f>'Exo 1 et 2'!H28</f>
        <v>80000</v>
      </c>
      <c r="K21" s="57"/>
      <c r="L21" s="58"/>
      <c r="M21" s="59"/>
    </row>
    <row r="22" spans="1:13" ht="16" x14ac:dyDescent="0.8">
      <c r="A22" s="45" t="s">
        <v>111</v>
      </c>
      <c r="B22" s="43"/>
      <c r="C22" s="43">
        <f>-'Exo 1 et 2'!B11</f>
        <v>-1000</v>
      </c>
      <c r="D22" s="44">
        <f>C22</f>
        <v>-1000</v>
      </c>
      <c r="F22" s="66"/>
      <c r="G22" s="56"/>
      <c r="H22" s="116"/>
      <c r="K22" s="63" t="s">
        <v>75</v>
      </c>
      <c r="L22" s="58"/>
      <c r="M22" s="64">
        <f>SUM(M5:M11)+M14+M15</f>
        <v>63412</v>
      </c>
    </row>
    <row r="23" spans="1:13" ht="16.75" thickBot="1" x14ac:dyDescent="0.95">
      <c r="A23" s="46" t="s">
        <v>112</v>
      </c>
      <c r="B23" s="47">
        <f>B17+B20</f>
        <v>120000</v>
      </c>
      <c r="C23" s="47">
        <f>C17+C21+C22</f>
        <v>136162</v>
      </c>
      <c r="D23" s="48">
        <f>D17+D20+D21+D22</f>
        <v>256162</v>
      </c>
      <c r="F23" s="57"/>
      <c r="G23" s="58"/>
      <c r="H23" s="118"/>
      <c r="K23" s="63" t="s">
        <v>76</v>
      </c>
      <c r="L23" s="58"/>
      <c r="M23" s="59"/>
    </row>
    <row r="24" spans="1:13" ht="16" x14ac:dyDescent="0.8">
      <c r="F24" s="55" t="s">
        <v>77</v>
      </c>
      <c r="G24" s="62">
        <f>SUM(G18:G21)</f>
        <v>260433</v>
      </c>
      <c r="H24" s="117">
        <f>SUM(H18:H21)</f>
        <v>183000</v>
      </c>
      <c r="K24" s="57" t="s">
        <v>130</v>
      </c>
      <c r="L24" s="58"/>
      <c r="M24" s="59">
        <f>-'Exo 1 et 2'!G15</f>
        <v>-157000</v>
      </c>
    </row>
    <row r="25" spans="1:13" ht="16" x14ac:dyDescent="0.8">
      <c r="F25" s="67" t="s">
        <v>78</v>
      </c>
      <c r="G25" s="68">
        <f>G16+G24</f>
        <v>372360</v>
      </c>
      <c r="H25" s="119">
        <f>H16+H24</f>
        <v>341955</v>
      </c>
      <c r="K25" s="57" t="s">
        <v>131</v>
      </c>
      <c r="L25" s="58"/>
      <c r="M25" s="59">
        <f>(H18+H19)-(6000*4/12)-M15</f>
        <v>68000</v>
      </c>
    </row>
    <row r="26" spans="1:13" ht="16" x14ac:dyDescent="0.8">
      <c r="F26" s="69" t="s">
        <v>80</v>
      </c>
      <c r="G26" s="70"/>
      <c r="H26" s="122"/>
      <c r="K26" s="57"/>
      <c r="L26" s="58"/>
      <c r="M26" s="59"/>
    </row>
    <row r="27" spans="1:13" ht="16" x14ac:dyDescent="0.8">
      <c r="F27" s="55" t="s">
        <v>81</v>
      </c>
      <c r="G27" s="56"/>
      <c r="H27" s="116"/>
      <c r="K27" s="57"/>
      <c r="L27" s="58"/>
      <c r="M27" s="59"/>
    </row>
    <row r="28" spans="1:13" ht="16" x14ac:dyDescent="0.8">
      <c r="C28" s="101"/>
      <c r="F28" s="57" t="str">
        <f>'Exo 1 et 2'!F10</f>
        <v>Comptes fournisseurs</v>
      </c>
      <c r="G28" s="56">
        <f>'Exo 1 et 2'!G10</f>
        <v>9600</v>
      </c>
      <c r="H28" s="116">
        <f>'Exo 1 et 2'!H10</f>
        <v>8500</v>
      </c>
      <c r="K28" s="63" t="s">
        <v>79</v>
      </c>
      <c r="L28" s="58"/>
      <c r="M28" s="64">
        <f>M24+M25</f>
        <v>-89000</v>
      </c>
    </row>
    <row r="29" spans="1:13" ht="16" x14ac:dyDescent="0.8">
      <c r="C29" s="101"/>
      <c r="F29" s="57" t="str">
        <f>'Exo 1 et 2'!F26</f>
        <v>Salaires à payer</v>
      </c>
      <c r="G29" s="56">
        <f>'Exo 1 et 2'!G26</f>
        <v>17300</v>
      </c>
      <c r="H29" s="116">
        <f>'Exo 1 et 2'!H26</f>
        <v>15450</v>
      </c>
      <c r="K29" s="57"/>
      <c r="L29" s="58"/>
      <c r="M29" s="59"/>
    </row>
    <row r="30" spans="1:13" ht="16" x14ac:dyDescent="0.8">
      <c r="C30" s="101"/>
      <c r="F30" s="57"/>
      <c r="G30" s="58"/>
      <c r="H30" s="118"/>
      <c r="K30" s="63" t="s">
        <v>82</v>
      </c>
      <c r="L30" s="58"/>
      <c r="M30" s="59"/>
    </row>
    <row r="31" spans="1:13" ht="16" x14ac:dyDescent="0.8">
      <c r="C31" s="101"/>
      <c r="F31" s="55" t="s">
        <v>85</v>
      </c>
      <c r="G31" s="62">
        <f>G28+G29</f>
        <v>26900</v>
      </c>
      <c r="H31" s="117">
        <f>H28+H29</f>
        <v>23950</v>
      </c>
      <c r="K31" s="57" t="s">
        <v>132</v>
      </c>
      <c r="L31" s="58"/>
      <c r="M31" s="59">
        <f>-'Exo 1 et 2'!G12</f>
        <v>-12600</v>
      </c>
    </row>
    <row r="32" spans="1:13" ht="16" x14ac:dyDescent="0.8">
      <c r="C32" s="101"/>
      <c r="F32" s="55" t="s">
        <v>87</v>
      </c>
      <c r="G32" s="62"/>
      <c r="H32" s="116"/>
      <c r="K32" s="57" t="s">
        <v>133</v>
      </c>
      <c r="L32" s="58"/>
      <c r="M32" s="59">
        <f>-'Exo 1 et 2'!H7+'Exo 1 et 2'!G7</f>
        <v>-5000</v>
      </c>
    </row>
    <row r="33" spans="1:13" ht="16" x14ac:dyDescent="0.8">
      <c r="A33" s="121"/>
      <c r="F33" s="57" t="str">
        <f>'Exo 1 et 2'!F13</f>
        <v>Emprunt-échéance 2022</v>
      </c>
      <c r="G33" s="56">
        <f>'Exo 1 et 2'!G13</f>
        <v>75000</v>
      </c>
      <c r="H33" s="116">
        <f>'Exo 1 et 2'!H13</f>
        <v>75000</v>
      </c>
      <c r="K33" s="57"/>
      <c r="L33" s="58"/>
      <c r="M33" s="59"/>
    </row>
    <row r="34" spans="1:13" x14ac:dyDescent="0.75">
      <c r="F34" s="57"/>
      <c r="G34" s="58"/>
      <c r="H34" s="118"/>
      <c r="K34" s="57"/>
      <c r="L34" s="58"/>
      <c r="M34" s="59"/>
    </row>
    <row r="35" spans="1:13" ht="16" x14ac:dyDescent="0.8">
      <c r="F35" s="57"/>
      <c r="G35" s="58"/>
      <c r="H35" s="118"/>
      <c r="K35" s="63" t="s">
        <v>83</v>
      </c>
      <c r="L35" s="71"/>
      <c r="M35" s="64">
        <f>M31+M32</f>
        <v>-17600</v>
      </c>
    </row>
    <row r="36" spans="1:13" ht="16.75" thickBot="1" x14ac:dyDescent="0.95">
      <c r="F36" s="55" t="s">
        <v>89</v>
      </c>
      <c r="G36" s="62">
        <f>G33</f>
        <v>75000</v>
      </c>
      <c r="H36" s="117">
        <f>H33</f>
        <v>75000</v>
      </c>
      <c r="K36" s="57"/>
      <c r="L36" s="58"/>
      <c r="M36" s="59"/>
    </row>
    <row r="37" spans="1:13" ht="16" x14ac:dyDescent="0.8">
      <c r="F37" s="55" t="s">
        <v>90</v>
      </c>
      <c r="G37" s="56"/>
      <c r="H37" s="116"/>
      <c r="K37" s="72" t="s">
        <v>84</v>
      </c>
      <c r="L37" s="73"/>
      <c r="M37" s="81">
        <f>SUM(M22,M28,M35)</f>
        <v>-43188</v>
      </c>
    </row>
    <row r="38" spans="1:13" ht="16" x14ac:dyDescent="0.8">
      <c r="F38" s="60" t="str">
        <f>'Exo 1 et 2'!F7</f>
        <v>Capital social</v>
      </c>
      <c r="G38" s="56">
        <f>'Exo 1 et 2'!G7</f>
        <v>40000</v>
      </c>
      <c r="H38" s="116">
        <f>'Exo 1 et 2'!H7</f>
        <v>45000</v>
      </c>
      <c r="K38" s="57"/>
      <c r="L38" s="58"/>
      <c r="M38" s="64"/>
    </row>
    <row r="39" spans="1:13" ht="16" x14ac:dyDescent="0.8">
      <c r="F39" s="60" t="s">
        <v>158</v>
      </c>
      <c r="G39" s="56">
        <f>'Exo 1 et 2'!G25+'Perso '!B16-'Perso '!B6</f>
        <v>230460</v>
      </c>
      <c r="H39" s="116">
        <f>'Exo 1 et 2'!G25</f>
        <v>198005</v>
      </c>
      <c r="K39" s="57" t="s">
        <v>86</v>
      </c>
      <c r="L39" s="58"/>
      <c r="M39" s="59">
        <f>'Exo 1 et 2'!H14+'Exo 1 et 2'!H21</f>
        <v>81852</v>
      </c>
    </row>
    <row r="40" spans="1:13" ht="15.5" thickBot="1" x14ac:dyDescent="0.9">
      <c r="F40" s="57"/>
      <c r="G40" s="58"/>
      <c r="H40" s="118"/>
      <c r="K40" s="75" t="s">
        <v>88</v>
      </c>
      <c r="L40" s="76"/>
      <c r="M40" s="77">
        <f>M37+M39</f>
        <v>38664</v>
      </c>
    </row>
    <row r="41" spans="1:13" ht="16" x14ac:dyDescent="0.8">
      <c r="F41" s="55" t="s">
        <v>91</v>
      </c>
      <c r="G41" s="62">
        <f>G38+G39</f>
        <v>270460</v>
      </c>
      <c r="H41" s="117">
        <f>H38+H39</f>
        <v>243005</v>
      </c>
    </row>
    <row r="42" spans="1:13" ht="16.75" thickBot="1" x14ac:dyDescent="0.95">
      <c r="F42" s="79" t="s">
        <v>92</v>
      </c>
      <c r="G42" s="80">
        <f>G31+G41+G36</f>
        <v>372360</v>
      </c>
      <c r="H42" s="120">
        <f>H31+H41+H36</f>
        <v>341955</v>
      </c>
    </row>
    <row r="45" spans="1:13" x14ac:dyDescent="0.75">
      <c r="I45" s="74"/>
    </row>
    <row r="48" spans="1:13" x14ac:dyDescent="0.75">
      <c r="A48" s="86"/>
      <c r="B48" s="86"/>
      <c r="C48" s="86"/>
      <c r="D48" s="86"/>
      <c r="L48" s="78"/>
    </row>
    <row r="49" spans="1:12" x14ac:dyDescent="0.75">
      <c r="C49" s="86"/>
      <c r="D49" s="86"/>
      <c r="L49" s="78"/>
    </row>
    <row r="50" spans="1:12" ht="16" x14ac:dyDescent="0.75">
      <c r="A50" s="95"/>
      <c r="B50" s="95"/>
      <c r="C50" s="86"/>
      <c r="D50" s="86"/>
      <c r="L50" s="78"/>
    </row>
    <row r="51" spans="1:12" ht="16" x14ac:dyDescent="0.75">
      <c r="A51" s="95"/>
      <c r="B51" s="95"/>
      <c r="C51" s="95"/>
      <c r="D51" s="86"/>
      <c r="L51" s="78"/>
    </row>
    <row r="52" spans="1:12" ht="16" x14ac:dyDescent="0.8">
      <c r="A52" s="96"/>
      <c r="B52" s="96"/>
      <c r="C52" s="96"/>
      <c r="D52" s="86"/>
      <c r="L52" s="78"/>
    </row>
    <row r="53" spans="1:12" ht="16" x14ac:dyDescent="0.8">
      <c r="A53" s="96"/>
      <c r="B53" s="96"/>
      <c r="C53" s="87"/>
      <c r="D53" s="86"/>
      <c r="L53" s="78"/>
    </row>
    <row r="54" spans="1:12" ht="16" x14ac:dyDescent="0.8">
      <c r="A54" s="88"/>
      <c r="B54" s="89"/>
      <c r="C54" s="90"/>
      <c r="D54" s="86"/>
      <c r="L54" s="78"/>
    </row>
    <row r="55" spans="1:12" ht="16" x14ac:dyDescent="0.8">
      <c r="A55" s="91"/>
      <c r="B55" s="83"/>
      <c r="C55" s="83"/>
      <c r="D55" s="86"/>
      <c r="L55" s="78"/>
    </row>
    <row r="56" spans="1:12" ht="16" x14ac:dyDescent="0.8">
      <c r="A56" s="91"/>
      <c r="B56" s="83"/>
      <c r="C56" s="83"/>
      <c r="D56" s="86"/>
      <c r="L56" s="78"/>
    </row>
    <row r="57" spans="1:12" ht="16" x14ac:dyDescent="0.8">
      <c r="A57" s="88"/>
      <c r="B57" s="83"/>
      <c r="C57" s="83"/>
      <c r="D57" s="86"/>
      <c r="L57" s="78"/>
    </row>
    <row r="58" spans="1:12" x14ac:dyDescent="0.75">
      <c r="A58" s="86"/>
      <c r="B58" s="84"/>
      <c r="C58" s="84"/>
      <c r="D58" s="86"/>
    </row>
    <row r="59" spans="1:12" ht="16" x14ac:dyDescent="0.8">
      <c r="A59" s="88"/>
      <c r="B59" s="83"/>
      <c r="C59" s="83"/>
      <c r="D59" s="86"/>
    </row>
    <row r="60" spans="1:12" ht="16" x14ac:dyDescent="0.8">
      <c r="A60" s="88"/>
      <c r="B60" s="83"/>
      <c r="C60" s="83"/>
      <c r="D60" s="86"/>
    </row>
    <row r="61" spans="1:12" ht="16" x14ac:dyDescent="0.8">
      <c r="A61" s="88"/>
      <c r="B61" s="83"/>
      <c r="C61" s="83"/>
      <c r="D61" s="86"/>
    </row>
    <row r="62" spans="1:12" ht="16" x14ac:dyDescent="0.8">
      <c r="A62" s="88"/>
      <c r="B62" s="84"/>
      <c r="C62" s="84"/>
      <c r="D62" s="86"/>
    </row>
    <row r="63" spans="1:12" ht="16" x14ac:dyDescent="0.8">
      <c r="A63" s="91"/>
      <c r="B63" s="85"/>
      <c r="C63" s="85"/>
      <c r="D63" s="86"/>
    </row>
    <row r="64" spans="1:12" ht="16" x14ac:dyDescent="0.8">
      <c r="A64" s="91"/>
      <c r="B64" s="83"/>
      <c r="C64" s="83"/>
      <c r="D64" s="86"/>
    </row>
    <row r="65" spans="1:4" ht="16" x14ac:dyDescent="0.8">
      <c r="A65" s="88"/>
      <c r="B65" s="84"/>
      <c r="C65" s="84"/>
      <c r="D65" s="86"/>
    </row>
    <row r="66" spans="1:4" ht="16" x14ac:dyDescent="0.8">
      <c r="A66" s="92"/>
      <c r="B66" s="84"/>
      <c r="C66" s="84"/>
      <c r="D66" s="86"/>
    </row>
    <row r="67" spans="1:4" ht="16" x14ac:dyDescent="0.8">
      <c r="A67" s="93"/>
      <c r="B67" s="84"/>
      <c r="C67" s="84"/>
      <c r="D67" s="86"/>
    </row>
    <row r="68" spans="1:4" ht="16" x14ac:dyDescent="0.8">
      <c r="A68" s="88"/>
      <c r="B68" s="84"/>
      <c r="C68" s="84"/>
      <c r="D68" s="86"/>
    </row>
    <row r="69" spans="1:4" ht="16" x14ac:dyDescent="0.8">
      <c r="A69" s="94"/>
      <c r="B69" s="83"/>
      <c r="C69" s="83"/>
      <c r="D69" s="86"/>
    </row>
    <row r="70" spans="1:4" x14ac:dyDescent="0.75">
      <c r="A70" s="86"/>
      <c r="B70" s="84"/>
      <c r="C70" s="84"/>
      <c r="D70" s="86"/>
    </row>
    <row r="71" spans="1:4" x14ac:dyDescent="0.75">
      <c r="A71" s="86"/>
      <c r="B71" s="84"/>
      <c r="C71" s="84"/>
      <c r="D71" s="86"/>
    </row>
    <row r="72" spans="1:4" ht="16" x14ac:dyDescent="0.8">
      <c r="A72" s="91"/>
      <c r="B72" s="85"/>
      <c r="C72" s="85"/>
      <c r="D72" s="86"/>
    </row>
    <row r="73" spans="1:4" ht="16" x14ac:dyDescent="0.8">
      <c r="A73" s="91"/>
      <c r="B73" s="85"/>
      <c r="C73" s="85"/>
      <c r="D73" s="86"/>
    </row>
    <row r="74" spans="1:4" ht="16" x14ac:dyDescent="0.8">
      <c r="A74" s="91"/>
      <c r="B74" s="83"/>
      <c r="C74" s="83"/>
      <c r="D74" s="86"/>
    </row>
    <row r="75" spans="1:4" ht="16" x14ac:dyDescent="0.8">
      <c r="A75" s="91"/>
      <c r="B75" s="83"/>
      <c r="C75" s="83"/>
      <c r="D75" s="86"/>
    </row>
    <row r="76" spans="1:4" ht="16" x14ac:dyDescent="0.8">
      <c r="A76" s="86"/>
      <c r="B76" s="83"/>
      <c r="C76" s="83"/>
      <c r="D76" s="86"/>
    </row>
    <row r="77" spans="1:4" ht="16" x14ac:dyDescent="0.8">
      <c r="A77" s="86"/>
      <c r="B77" s="83"/>
      <c r="C77" s="83"/>
      <c r="D77" s="86"/>
    </row>
    <row r="78" spans="1:4" x14ac:dyDescent="0.75">
      <c r="A78" s="86"/>
      <c r="B78" s="84"/>
      <c r="C78" s="84"/>
      <c r="D78" s="86"/>
    </row>
    <row r="79" spans="1:4" ht="16" x14ac:dyDescent="0.8">
      <c r="A79" s="91"/>
      <c r="B79" s="85"/>
      <c r="C79" s="85"/>
      <c r="D79" s="86"/>
    </row>
    <row r="80" spans="1:4" ht="16" x14ac:dyDescent="0.8">
      <c r="A80" s="91"/>
      <c r="B80" s="85"/>
      <c r="C80" s="83"/>
      <c r="D80" s="86"/>
    </row>
    <row r="81" spans="1:4" ht="16" x14ac:dyDescent="0.8">
      <c r="A81" s="86"/>
      <c r="B81" s="83"/>
      <c r="C81" s="83"/>
      <c r="D81" s="86"/>
    </row>
    <row r="82" spans="1:4" x14ac:dyDescent="0.75">
      <c r="A82" s="86"/>
      <c r="B82" s="84"/>
      <c r="C82" s="84"/>
      <c r="D82" s="86"/>
    </row>
    <row r="83" spans="1:4" x14ac:dyDescent="0.75">
      <c r="A83" s="86"/>
      <c r="B83" s="84"/>
      <c r="C83" s="84"/>
      <c r="D83" s="86"/>
    </row>
    <row r="84" spans="1:4" ht="16" x14ac:dyDescent="0.8">
      <c r="A84" s="91"/>
      <c r="B84" s="85"/>
      <c r="C84" s="85"/>
      <c r="D84" s="86"/>
    </row>
    <row r="85" spans="1:4" ht="16" x14ac:dyDescent="0.8">
      <c r="A85" s="91"/>
      <c r="B85" s="83"/>
      <c r="C85" s="83"/>
      <c r="D85" s="86"/>
    </row>
    <row r="86" spans="1:4" ht="16" x14ac:dyDescent="0.8">
      <c r="A86" s="88"/>
      <c r="B86" s="83"/>
      <c r="C86" s="83"/>
      <c r="D86" s="86"/>
    </row>
    <row r="87" spans="1:4" ht="16" x14ac:dyDescent="0.8">
      <c r="A87" s="88"/>
      <c r="B87" s="83"/>
      <c r="C87" s="83"/>
      <c r="D87" s="86"/>
    </row>
    <row r="88" spans="1:4" x14ac:dyDescent="0.75">
      <c r="A88" s="86"/>
      <c r="B88" s="84"/>
      <c r="C88" s="84"/>
      <c r="D88" s="86"/>
    </row>
    <row r="89" spans="1:4" ht="16" x14ac:dyDescent="0.8">
      <c r="A89" s="91"/>
      <c r="B89" s="85"/>
      <c r="C89" s="85"/>
      <c r="D89" s="86"/>
    </row>
    <row r="90" spans="1:4" ht="16" x14ac:dyDescent="0.8">
      <c r="A90" s="91"/>
      <c r="B90" s="85"/>
      <c r="C90" s="85"/>
      <c r="D90" s="86"/>
    </row>
    <row r="91" spans="1:4" x14ac:dyDescent="0.75">
      <c r="A91" s="86"/>
      <c r="B91" s="86"/>
      <c r="C91" s="86"/>
      <c r="D91" s="86"/>
    </row>
  </sheetData>
  <mergeCells count="8">
    <mergeCell ref="A6:B6"/>
    <mergeCell ref="A13:D13"/>
    <mergeCell ref="A14:D15"/>
    <mergeCell ref="A12:D12"/>
    <mergeCell ref="K1:M1"/>
    <mergeCell ref="K2:L2"/>
    <mergeCell ref="K3:L3"/>
    <mergeCell ref="F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09D0-9CC1-41B6-B5FF-AC480D617856}">
  <dimension ref="A1:H39"/>
  <sheetViews>
    <sheetView topLeftCell="A4" workbookViewId="0">
      <selection activeCell="F5" sqref="F5"/>
    </sheetView>
  </sheetViews>
  <sheetFormatPr defaultColWidth="10.90625" defaultRowHeight="14.75" x14ac:dyDescent="0.75"/>
  <cols>
    <col min="1" max="1" width="20.7265625" customWidth="1"/>
    <col min="4" max="4" width="2.58984375" customWidth="1"/>
    <col min="5" max="5" width="26.953125" customWidth="1"/>
    <col min="6" max="6" width="12.81640625" customWidth="1"/>
    <col min="7" max="7" width="11.2265625" bestFit="1" customWidth="1"/>
    <col min="8" max="8" width="13.1328125" customWidth="1"/>
  </cols>
  <sheetData>
    <row r="1" spans="1:8" x14ac:dyDescent="0.75">
      <c r="E1" t="s">
        <v>143</v>
      </c>
    </row>
    <row r="3" spans="1:8" x14ac:dyDescent="0.75">
      <c r="E3" s="110" t="s">
        <v>135</v>
      </c>
      <c r="F3" s="109">
        <f>'Exo 1 et 2'!B9+'Exo 1 et 2'!B13+'Exo 1 et 2'!B14+'Exo 1 et 2'!B16+'Exo 1 et 2'!B17+'Exo 1 et 2'!B20+'Exo 1 et 2'!B22</f>
        <v>12249</v>
      </c>
    </row>
    <row r="4" spans="1:8" x14ac:dyDescent="0.75">
      <c r="E4" s="110" t="s">
        <v>136</v>
      </c>
      <c r="F4" s="109">
        <f>'Exo 1 et 2'!B7-'Exo 1 et 2'!B5+'Exo 1 et 2'!B18-'Exo 1 et 2'!B6+'Exo 1 et 2'!B23+F3</f>
        <v>503049</v>
      </c>
    </row>
    <row r="5" spans="1:8" x14ac:dyDescent="0.75">
      <c r="E5" s="110" t="s">
        <v>139</v>
      </c>
      <c r="F5" s="109">
        <f>'Exo 1 et 2'!B22+'Exo 1 et 2'!B17+'Exo 1 et 2'!B14</f>
        <v>5179</v>
      </c>
    </row>
    <row r="6" spans="1:8" x14ac:dyDescent="0.75">
      <c r="A6" t="s">
        <v>116</v>
      </c>
      <c r="B6">
        <f>'Exo 1 et 2'!G12</f>
        <v>12600</v>
      </c>
      <c r="E6" s="110" t="s">
        <v>137</v>
      </c>
      <c r="F6" s="109">
        <f>'Exo 1 et 2'!B10+'Exo 1 et 2'!B12+'Exo 1 et 2'!B15</f>
        <v>22887</v>
      </c>
    </row>
    <row r="7" spans="1:8" x14ac:dyDescent="0.75">
      <c r="A7" t="s">
        <v>18</v>
      </c>
      <c r="B7">
        <f>'Exo 1 et 2'!G11</f>
        <v>297000</v>
      </c>
      <c r="E7" s="110" t="s">
        <v>138</v>
      </c>
      <c r="F7" s="109">
        <f>'Exo 1 et 2'!B19 + F6</f>
        <v>246887</v>
      </c>
    </row>
    <row r="8" spans="1:8" ht="15.5" thickBot="1" x14ac:dyDescent="0.9">
      <c r="A8" t="s">
        <v>118</v>
      </c>
      <c r="B8">
        <f>'Exo 1 et 2'!G23</f>
        <v>687200</v>
      </c>
    </row>
    <row r="9" spans="1:8" ht="15.75" x14ac:dyDescent="0.75">
      <c r="A9" t="s">
        <v>117</v>
      </c>
      <c r="B9">
        <f>B8-B7</f>
        <v>390200</v>
      </c>
      <c r="E9" s="143" t="s">
        <v>64</v>
      </c>
      <c r="F9" s="144"/>
      <c r="G9" s="144"/>
      <c r="H9" s="145"/>
    </row>
    <row r="10" spans="1:8" ht="15.75" x14ac:dyDescent="0.75">
      <c r="A10" t="s">
        <v>119</v>
      </c>
      <c r="B10">
        <f>-('Exo 1 et 2'!G8)</f>
        <v>-337000</v>
      </c>
      <c r="E10" s="134"/>
      <c r="F10" s="135"/>
      <c r="G10" s="135"/>
      <c r="H10" s="136"/>
    </row>
    <row r="11" spans="1:8" x14ac:dyDescent="0.75">
      <c r="A11" t="s">
        <v>26</v>
      </c>
      <c r="B11">
        <f>-'Exo 1 et 2'!G16</f>
        <v>-1875</v>
      </c>
      <c r="E11" s="137" t="s">
        <v>152</v>
      </c>
      <c r="F11" s="138"/>
      <c r="G11" s="138"/>
      <c r="H11" s="139"/>
    </row>
    <row r="12" spans="1:8" ht="15.5" thickBot="1" x14ac:dyDescent="0.9">
      <c r="A12" t="s">
        <v>141</v>
      </c>
      <c r="B12">
        <f>'Exo 1 et 2'!G17</f>
        <v>1960</v>
      </c>
      <c r="E12" s="140"/>
      <c r="F12" s="141"/>
      <c r="G12" s="141"/>
      <c r="H12" s="142"/>
    </row>
    <row r="13" spans="1:8" ht="31" x14ac:dyDescent="0.75">
      <c r="A13" t="s">
        <v>142</v>
      </c>
      <c r="B13">
        <f>-'Exo 1 et 2'!G20</f>
        <v>-5000</v>
      </c>
      <c r="E13" s="35"/>
      <c r="F13" s="36" t="s">
        <v>65</v>
      </c>
      <c r="G13" s="37" t="s">
        <v>66</v>
      </c>
      <c r="H13" s="38" t="s">
        <v>67</v>
      </c>
    </row>
    <row r="14" spans="1:8" ht="15.75" x14ac:dyDescent="0.75">
      <c r="A14" t="s">
        <v>120</v>
      </c>
      <c r="B14">
        <f>-'Exo 1 et 2'!G24</f>
        <v>-3230</v>
      </c>
      <c r="E14" s="39" t="s">
        <v>153</v>
      </c>
      <c r="F14" s="123">
        <v>45000</v>
      </c>
      <c r="G14" s="124">
        <v>138580</v>
      </c>
      <c r="H14" s="130">
        <v>183580</v>
      </c>
    </row>
    <row r="15" spans="1:8" ht="15.75" x14ac:dyDescent="0.75">
      <c r="E15" s="39" t="s">
        <v>146</v>
      </c>
      <c r="F15" s="40">
        <v>0</v>
      </c>
      <c r="G15" s="40"/>
      <c r="H15" s="41">
        <f>F15+G15</f>
        <v>0</v>
      </c>
    </row>
    <row r="16" spans="1:8" ht="15.75" x14ac:dyDescent="0.75">
      <c r="A16" t="s">
        <v>134</v>
      </c>
      <c r="B16">
        <f>B10+B11+B12+B13+B14+B9</f>
        <v>45055</v>
      </c>
      <c r="E16" s="39" t="s">
        <v>147</v>
      </c>
      <c r="F16" s="43" t="s">
        <v>15</v>
      </c>
      <c r="G16" s="43">
        <f>0</f>
        <v>0</v>
      </c>
      <c r="H16" s="44">
        <f>SUM(F16:G16)</f>
        <v>0</v>
      </c>
    </row>
    <row r="17" spans="5:8" ht="15.75" x14ac:dyDescent="0.75">
      <c r="E17" s="39" t="s">
        <v>148</v>
      </c>
      <c r="F17" s="126"/>
      <c r="G17" s="43">
        <v>72925</v>
      </c>
      <c r="H17" s="44">
        <f>F17+G17</f>
        <v>72925</v>
      </c>
    </row>
    <row r="18" spans="5:8" ht="15.75" x14ac:dyDescent="0.75">
      <c r="E18" s="39" t="s">
        <v>149</v>
      </c>
      <c r="F18" s="43"/>
      <c r="G18" s="43">
        <v>-13500</v>
      </c>
      <c r="H18" s="44">
        <f>F18+G18</f>
        <v>-13500</v>
      </c>
    </row>
    <row r="19" spans="5:8" ht="15.75" x14ac:dyDescent="0.75">
      <c r="E19" s="31"/>
      <c r="F19" s="127"/>
      <c r="G19" s="126"/>
      <c r="H19" s="128"/>
    </row>
    <row r="20" spans="5:8" ht="15.75" x14ac:dyDescent="0.75">
      <c r="E20" s="31"/>
      <c r="F20" s="127"/>
      <c r="G20" s="127"/>
      <c r="H20" s="128"/>
    </row>
    <row r="21" spans="5:8" ht="16.5" thickBot="1" x14ac:dyDescent="0.9">
      <c r="E21" s="129" t="s">
        <v>154</v>
      </c>
      <c r="F21" s="47">
        <v>45000</v>
      </c>
      <c r="G21" s="47">
        <f>SUM(G14:G18)</f>
        <v>198005</v>
      </c>
      <c r="H21" s="48">
        <f>F21+G21</f>
        <v>243005</v>
      </c>
    </row>
    <row r="26" spans="5:8" ht="15.5" thickBot="1" x14ac:dyDescent="0.9"/>
    <row r="27" spans="5:8" ht="15.75" x14ac:dyDescent="0.75">
      <c r="E27" s="143" t="s">
        <v>64</v>
      </c>
      <c r="F27" s="144"/>
      <c r="G27" s="144"/>
      <c r="H27" s="145"/>
    </row>
    <row r="28" spans="5:8" ht="15.75" x14ac:dyDescent="0.75">
      <c r="E28" s="134" t="s">
        <v>151</v>
      </c>
      <c r="F28" s="135"/>
      <c r="G28" s="135"/>
      <c r="H28" s="136"/>
    </row>
    <row r="29" spans="5:8" x14ac:dyDescent="0.75">
      <c r="E29" s="137" t="s">
        <v>144</v>
      </c>
      <c r="F29" s="138"/>
      <c r="G29" s="138"/>
      <c r="H29" s="139"/>
    </row>
    <row r="30" spans="5:8" ht="15.5" thickBot="1" x14ac:dyDescent="0.9">
      <c r="E30" s="140"/>
      <c r="F30" s="141"/>
      <c r="G30" s="141"/>
      <c r="H30" s="142"/>
    </row>
    <row r="31" spans="5:8" ht="31" x14ac:dyDescent="0.75">
      <c r="E31" s="35"/>
      <c r="F31" s="36" t="s">
        <v>65</v>
      </c>
      <c r="G31" s="37" t="s">
        <v>66</v>
      </c>
      <c r="H31" s="38" t="s">
        <v>67</v>
      </c>
    </row>
    <row r="32" spans="5:8" ht="15.75" x14ac:dyDescent="0.75">
      <c r="E32" s="39" t="s">
        <v>145</v>
      </c>
      <c r="F32" s="123">
        <v>45000</v>
      </c>
      <c r="G32" s="124">
        <v>198005</v>
      </c>
      <c r="H32" s="125">
        <f>F32+G32</f>
        <v>243005</v>
      </c>
    </row>
    <row r="33" spans="5:8" ht="15.75" x14ac:dyDescent="0.75">
      <c r="E33" s="39" t="s">
        <v>146</v>
      </c>
      <c r="F33" s="40">
        <v>0</v>
      </c>
      <c r="G33" s="40"/>
      <c r="H33" s="41">
        <f>F33+G33</f>
        <v>0</v>
      </c>
    </row>
    <row r="34" spans="5:8" ht="15.75" x14ac:dyDescent="0.75">
      <c r="E34" s="39" t="s">
        <v>147</v>
      </c>
      <c r="F34" s="43">
        <v>-5000</v>
      </c>
      <c r="G34" s="43">
        <f>0</f>
        <v>0</v>
      </c>
      <c r="H34" s="44">
        <f>SUM(F34:G34)</f>
        <v>-5000</v>
      </c>
    </row>
    <row r="35" spans="5:8" ht="15.75" x14ac:dyDescent="0.75">
      <c r="E35" s="39" t="s">
        <v>148</v>
      </c>
      <c r="F35" s="126"/>
      <c r="G35" s="43">
        <v>45055</v>
      </c>
      <c r="H35" s="44">
        <f>F35+G35</f>
        <v>45055</v>
      </c>
    </row>
    <row r="36" spans="5:8" ht="15.75" x14ac:dyDescent="0.75">
      <c r="E36" s="39" t="s">
        <v>149</v>
      </c>
      <c r="F36" s="43"/>
      <c r="G36" s="43">
        <v>-12600</v>
      </c>
      <c r="H36" s="44">
        <f>F36+G36</f>
        <v>-12600</v>
      </c>
    </row>
    <row r="37" spans="5:8" ht="15.75" x14ac:dyDescent="0.75">
      <c r="E37" s="31"/>
      <c r="F37" s="127"/>
      <c r="G37" s="126"/>
      <c r="H37" s="128"/>
    </row>
    <row r="38" spans="5:8" ht="15.75" x14ac:dyDescent="0.75">
      <c r="E38" s="31"/>
      <c r="F38" s="127"/>
      <c r="G38" s="127"/>
      <c r="H38" s="128"/>
    </row>
    <row r="39" spans="5:8" ht="16.5" thickBot="1" x14ac:dyDescent="0.9">
      <c r="E39" s="129" t="s">
        <v>150</v>
      </c>
      <c r="F39" s="47">
        <f>F32+F34</f>
        <v>40000</v>
      </c>
      <c r="G39" s="47">
        <f>SUM(G32:G36)</f>
        <v>230460</v>
      </c>
      <c r="H39" s="48">
        <f>SUM(H32:H36)</f>
        <v>270460</v>
      </c>
    </row>
  </sheetData>
  <mergeCells count="6">
    <mergeCell ref="E27:H27"/>
    <mergeCell ref="E28:H28"/>
    <mergeCell ref="E29:H30"/>
    <mergeCell ref="E9:H9"/>
    <mergeCell ref="E10:H10"/>
    <mergeCell ref="E11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Exo 1 et 2</vt:lpstr>
      <vt:lpstr>Réponse</vt:lpstr>
      <vt:lpstr>Perso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ramdani</dc:creator>
  <cp:lastModifiedBy>Cassy Charles</cp:lastModifiedBy>
  <dcterms:created xsi:type="dcterms:W3CDTF">2021-01-09T16:24:30Z</dcterms:created>
  <dcterms:modified xsi:type="dcterms:W3CDTF">2021-05-21T03:43:39Z</dcterms:modified>
</cp:coreProperties>
</file>