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y\OneDrive\Desktop\Polytechnique Montreal\SSH3201\TP2\"/>
    </mc:Choice>
  </mc:AlternateContent>
  <xr:revisionPtr revIDLastSave="0" documentId="13_ncr:1_{40CF6D21-027D-4D20-A92E-01ABC01C0B99}" xr6:coauthVersionLast="47" xr6:coauthVersionMax="47" xr10:uidLastSave="{00000000-0000-0000-0000-000000000000}"/>
  <bookViews>
    <workbookView xWindow="-90" yWindow="-90" windowWidth="19380" windowHeight="10980" xr2:uid="{FC01ED85-5651-4BDB-9495-AAD30E8A971B}"/>
  </bookViews>
  <sheets>
    <sheet name="Rep" sheetId="4" r:id="rId1"/>
    <sheet name="Données" sheetId="3" r:id="rId2"/>
    <sheet name="Feuil2" sheetId="2" state="hidden" r:id="rId3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9" i="4" l="1"/>
  <c r="T62" i="4" s="1"/>
  <c r="U58" i="4"/>
  <c r="R58" i="4"/>
  <c r="P58" i="4"/>
  <c r="O54" i="4"/>
  <c r="O53" i="4"/>
  <c r="O31" i="4"/>
  <c r="O20" i="4"/>
  <c r="S20" i="4" s="1"/>
  <c r="O21" i="4"/>
  <c r="S21" i="4" s="1"/>
  <c r="I87" i="4"/>
  <c r="I85" i="4"/>
  <c r="R73" i="4"/>
  <c r="O76" i="4"/>
  <c r="O74" i="4"/>
  <c r="R74" i="4" s="1"/>
  <c r="O70" i="4"/>
  <c r="Q59" i="4"/>
  <c r="P49" i="4"/>
  <c r="T51" i="4" s="1"/>
  <c r="P48" i="4"/>
  <c r="O45" i="4"/>
  <c r="S40" i="4"/>
  <c r="O43" i="4"/>
  <c r="S43" i="4" s="1"/>
  <c r="O41" i="4"/>
  <c r="S41" i="4" s="1"/>
  <c r="P33" i="4"/>
  <c r="O33" i="4"/>
  <c r="O32" i="4"/>
  <c r="S32" i="4" s="1"/>
  <c r="Q24" i="4"/>
  <c r="P24" i="4"/>
  <c r="O24" i="4"/>
  <c r="P23" i="4"/>
  <c r="O23" i="4"/>
  <c r="S23" i="4" s="1"/>
  <c r="P22" i="4"/>
  <c r="O22" i="4" a="1"/>
  <c r="O42" i="4" a="1"/>
  <c r="P65" i="4" l="1"/>
  <c r="T67" i="4" s="1"/>
  <c r="S33" i="4"/>
  <c r="S74" i="4"/>
  <c r="T74" i="4" s="1"/>
  <c r="M84" i="4"/>
  <c r="S24" i="4"/>
  <c r="S73" i="4"/>
  <c r="T73" i="4" s="1"/>
  <c r="M85" i="4"/>
  <c r="O42" i="4"/>
  <c r="S42" i="4" s="1"/>
  <c r="N45" i="4" s="1"/>
  <c r="O22" i="4"/>
  <c r="S22" i="4" s="1"/>
  <c r="N31" i="4" s="1"/>
  <c r="S31" i="4" s="1"/>
  <c r="S36" i="4" s="1"/>
  <c r="P10" i="4"/>
  <c r="P9" i="4"/>
  <c r="O10" i="4"/>
  <c r="O9" i="4"/>
  <c r="O8" i="4"/>
  <c r="S8" i="4" s="1"/>
  <c r="C1" i="2"/>
  <c r="D1" i="2"/>
  <c r="B1" i="2"/>
  <c r="A1" i="2"/>
  <c r="N85" i="4" l="1"/>
  <c r="T88" i="4" s="1"/>
  <c r="T77" i="4"/>
  <c r="S26" i="4"/>
  <c r="S9" i="4"/>
  <c r="S10" i="4"/>
  <c r="S45" i="4"/>
  <c r="R46" i="4" s="1"/>
  <c r="K1" i="2" s="1"/>
  <c r="L1" i="2"/>
  <c r="S15" i="4" l="1"/>
  <c r="P1" i="2"/>
  <c r="O1" i="2"/>
  <c r="N1" i="2" l="1"/>
  <c r="M1" i="2"/>
  <c r="I1" i="2" l="1"/>
  <c r="H1" i="2" l="1"/>
  <c r="J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<sst xmlns="http://schemas.openxmlformats.org/spreadsheetml/2006/main" count="120" uniqueCount="76">
  <si>
    <t>NOM :</t>
  </si>
  <si>
    <t>Prénom :</t>
  </si>
  <si>
    <t>Matricule:</t>
  </si>
  <si>
    <t>Gr:</t>
  </si>
  <si>
    <t xml:space="preserve">a)      Calculez la valeur actualisée à l’année 0, en utilisant le moins de facteurs possibles. </t>
  </si>
  <si>
    <t>Question 1</t>
  </si>
  <si>
    <t>Question 2</t>
  </si>
  <si>
    <t>i</t>
  </si>
  <si>
    <t>Montants</t>
  </si>
  <si>
    <t>Fact.Act1</t>
  </si>
  <si>
    <t>Fact.Act2</t>
  </si>
  <si>
    <t>Fact.Act3</t>
  </si>
  <si>
    <t>Fact.Act4</t>
  </si>
  <si>
    <t>Montants act.</t>
  </si>
  <si>
    <t>Réponse</t>
  </si>
  <si>
    <r>
      <t>i</t>
    </r>
    <r>
      <rPr>
        <b/>
        <sz val="5"/>
        <color theme="1"/>
        <rFont val="Calibri"/>
        <family val="2"/>
        <scheme val="minor"/>
      </rPr>
      <t>1</t>
    </r>
  </si>
  <si>
    <r>
      <t>i</t>
    </r>
    <r>
      <rPr>
        <b/>
        <sz val="5"/>
        <color theme="1"/>
        <rFont val="Calibri"/>
        <family val="2"/>
        <scheme val="minor"/>
      </rPr>
      <t>2</t>
    </r>
  </si>
  <si>
    <t>Question 3</t>
  </si>
  <si>
    <t>Question 4</t>
  </si>
  <si>
    <t>Le fédéral vous donne 20% de subvention pour un maximum de 500 $/année et de 7 200 $ à vie de la personne.</t>
  </si>
  <si>
    <t>Le provincial vous donne 10% de subvention pour un maximum de 250 $/année et de 3 600 $ à vie de la personne.</t>
  </si>
  <si>
    <t>Afin de simplifier le problème, les subventions sont déposées en même temps que vos dépôts.</t>
  </si>
  <si>
    <t xml:space="preserve">Quel est le montant maximal que vous seriez prêt à payer aujourd’hui pour acquérir cette obligation ? </t>
  </si>
  <si>
    <t>Question 5 (Bonus)</t>
  </si>
  <si>
    <r>
      <t xml:space="preserve">5.2 </t>
    </r>
    <r>
      <rPr>
        <sz val="11"/>
        <color theme="1"/>
        <rFont val="Calibri"/>
        <family val="2"/>
        <scheme val="minor"/>
      </rPr>
      <t>(indépendante de 5.1)</t>
    </r>
  </si>
  <si>
    <t>Réponse a</t>
  </si>
  <si>
    <t>a) Combien devez-vous mettre annuellement afin de maximiser les subventions?</t>
  </si>
  <si>
    <t>Réponse b</t>
  </si>
  <si>
    <t>Le 23 décembre 2020, vous avez eu un enfant et vous décidez d'investir dans un REEE.</t>
  </si>
  <si>
    <t>b) Combien votre enfant aurait-il dans son REEE à la fin de l'année où il aura ses 18 ans?</t>
  </si>
  <si>
    <t>Réponse c</t>
  </si>
  <si>
    <t>Réponse 5.1</t>
  </si>
  <si>
    <t>Réponse 5.2</t>
  </si>
  <si>
    <t xml:space="preserve">b)     En considérant seulement un seul taux d’intérêt (i1=8%) pour la période de 24 ans, calculez la somme des flux monétaires à l’année 7. </t>
  </si>
  <si>
    <t>Montants convert.</t>
  </si>
  <si>
    <r>
      <t>5.1</t>
    </r>
    <r>
      <rPr>
        <sz val="11"/>
        <color theme="1"/>
        <rFont val="Calibri"/>
        <family val="2"/>
        <scheme val="minor"/>
      </rPr>
      <t xml:space="preserve"> Vous songez à acheter une obligation d’une valeur nominale de 1 500 $, dont les intérêts sont versés semestriellement avec un taux d’intérêt annuel de 5%. Vous désirez obtenir un rendement annuel de 11% composé semestriellement.  Présumez que l’obligation arrivera à échéance à sa valeur nominale dans 10 ans et que vous conserverez cette obligation jusqu’à cette date.</t>
    </r>
  </si>
  <si>
    <t>Vous possédez aujourd’hui une obligation qui vaut 600 $. Les coupons sont payables deux fois par année avec un taux de 9%. Présumez que l’obligation arrivera à échéance à sa valeur nominale, soit 900 $, dans 9 ans. Quel taux de rendement annuel effectif moyen réaliserez-vous ?</t>
  </si>
  <si>
    <t>Voici un diagramme de flux monétaire couvrant une période de temps infini (le montant de 300 $ se répète à l'infini). En considérant un taux d'intérêt de 9% annuellement, capitalisé (composé) annuellement, actualisez ses flux monétaires.</t>
  </si>
  <si>
    <t xml:space="preserve">Voici un diagramme de flux monétaire qui représente deux taux d’intérêt différents couvrant une période de 24 ans. L’intérêt est capitalisé (composé) annuellement. </t>
  </si>
  <si>
    <t>Les placements rapportent 4% annuellement et si l’on se fie aux 10 dernières années, l'inflation moyenne serait de 1,69% par année.</t>
  </si>
  <si>
    <t>c) Si à ces 18 ans, votre enfant veut s'acheter un immeuble et qu'il doit mettre une mise de fonds de 10%, quelle est la valeur maximum de l'immeuble qu'il pourrait s'acheter en valeur d'aujourd'hui (en considérant l'inflation)?</t>
  </si>
  <si>
    <t>Un équipement coûte 105 000 $ à l’achat et a une durée de vie de 20 ans. À la fin de cette période, la valeur résiduelle est de 15 000 $. Les coûts d’entretien et de réparation sont de 3 000 $ la première année. Ces coûts augmentent à raison de 1 250 $ par année jusqu’à la fin de la durée de vie du véhicule. Supposez un taux d’intérêt de 11%. Quelle est l’annuité correspondant au véhicule ?</t>
  </si>
  <si>
    <t>Xiao Yuan</t>
  </si>
  <si>
    <t>Ming</t>
  </si>
  <si>
    <t>Massih</t>
  </si>
  <si>
    <t>Jacob</t>
  </si>
  <si>
    <t>Charles</t>
  </si>
  <si>
    <t>Cassy</t>
  </si>
  <si>
    <t>%CAN</t>
  </si>
  <si>
    <t>%QC</t>
  </si>
  <si>
    <t>%i /an</t>
  </si>
  <si>
    <t>%f</t>
  </si>
  <si>
    <t>Annees 0-13</t>
  </si>
  <si>
    <t>Annee 14</t>
  </si>
  <si>
    <t>Fédéral</t>
  </si>
  <si>
    <t>Provincial</t>
  </si>
  <si>
    <t>Annuité</t>
  </si>
  <si>
    <t>Total</t>
  </si>
  <si>
    <t>Inflation</t>
  </si>
  <si>
    <t>Mise de fonds</t>
  </si>
  <si>
    <t>n</t>
  </si>
  <si>
    <t>r</t>
  </si>
  <si>
    <t>v</t>
  </si>
  <si>
    <t>vn</t>
  </si>
  <si>
    <t>l</t>
  </si>
  <si>
    <t>TRAM</t>
  </si>
  <si>
    <t>Rendement eff.</t>
  </si>
  <si>
    <t>Valeur actuelle</t>
  </si>
  <si>
    <t>r1</t>
  </si>
  <si>
    <t>r2</t>
  </si>
  <si>
    <t>VAN</t>
  </si>
  <si>
    <t>Par interpollation</t>
  </si>
  <si>
    <t>Montants Conv.</t>
  </si>
  <si>
    <t>Montant du REEE aujourd'hui</t>
  </si>
  <si>
    <t>FactAct2</t>
  </si>
  <si>
    <t>Nb d'années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</si>
</sst>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 * #,##0.00_)\ &quot;$&quot;_ ;_ * \(#,##0.00\)\ &quot;$&quot;_ ;_ * &quot;-&quot;??_)\ &quot;$&quot;_ ;_ @_ "/>
    <numFmt numFmtId="165" formatCode="_ * #,##0.00_)_ ;_ * \(#,##0.00\)_ ;_ * &quot;-&quot;??_)_ ;_ @_ "/>
    <numFmt numFmtId="166" formatCode="_ * #,##0_)\ &quot;$&quot;_ ;_ * \(#,##0\)\ &quot;$&quot;_ ;_ * &quot;-&quot;??_)\ &quot;$&quot;_ ;_ @_ "/>
    <numFmt numFmtId="167" formatCode="#,##0&quot; $/an&quot;"/>
    <numFmt numFmtId="168" formatCode="0.00%&quot;/an&quot;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7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  <xf numFmtId="0" fontId="3" fillId="0" borderId="1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66" fontId="0" fillId="0" borderId="9" xfId="2" applyNumberFormat="1" applyFont="1" applyBorder="1"/>
    <xf numFmtId="2" fontId="0" fillId="0" borderId="10" xfId="0" applyNumberFormat="1" applyFont="1" applyBorder="1"/>
    <xf numFmtId="2" fontId="0" fillId="0" borderId="11" xfId="0" applyNumberFormat="1" applyFont="1" applyBorder="1"/>
    <xf numFmtId="166" fontId="0" fillId="0" borderId="12" xfId="2" applyNumberFormat="1" applyFont="1" applyBorder="1"/>
    <xf numFmtId="0" fontId="3" fillId="0" borderId="16" xfId="0" applyFont="1" applyBorder="1"/>
    <xf numFmtId="0" fontId="3" fillId="0" borderId="17" xfId="0" applyFont="1" applyBorder="1"/>
    <xf numFmtId="166" fontId="3" fillId="2" borderId="18" xfId="2" applyNumberFormat="1" applyFont="1" applyFill="1" applyBorder="1"/>
    <xf numFmtId="0" fontId="3" fillId="0" borderId="19" xfId="0" applyFont="1" applyBorder="1"/>
    <xf numFmtId="0" fontId="0" fillId="0" borderId="20" xfId="0" applyFont="1" applyBorder="1"/>
    <xf numFmtId="0" fontId="0" fillId="0" borderId="22" xfId="0" applyFont="1" applyBorder="1"/>
    <xf numFmtId="0" fontId="0" fillId="0" borderId="0" xfId="0" applyFont="1" applyBorder="1"/>
    <xf numFmtId="0" fontId="0" fillId="0" borderId="23" xfId="0" applyFont="1" applyBorder="1"/>
    <xf numFmtId="0" fontId="0" fillId="0" borderId="0" xfId="0" applyFont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1" xfId="0" applyFont="1" applyBorder="1"/>
    <xf numFmtId="0" fontId="0" fillId="0" borderId="22" xfId="0" applyFont="1" applyBorder="1" applyAlignment="1"/>
    <xf numFmtId="0" fontId="0" fillId="0" borderId="0" xfId="0" applyFont="1" applyBorder="1" applyAlignment="1"/>
    <xf numFmtId="166" fontId="0" fillId="0" borderId="0" xfId="2" applyNumberFormat="1" applyFont="1"/>
    <xf numFmtId="0" fontId="3" fillId="0" borderId="22" xfId="0" applyFont="1" applyBorder="1"/>
    <xf numFmtId="0" fontId="7" fillId="0" borderId="27" xfId="0" applyFont="1" applyBorder="1"/>
    <xf numFmtId="0" fontId="7" fillId="0" borderId="27" xfId="4" applyNumberFormat="1" applyFont="1" applyBorder="1"/>
    <xf numFmtId="0" fontId="7" fillId="0" borderId="28" xfId="0" applyFont="1" applyBorder="1"/>
    <xf numFmtId="0" fontId="7" fillId="0" borderId="29" xfId="0" applyFont="1" applyBorder="1"/>
    <xf numFmtId="0" fontId="7" fillId="0" borderId="0" xfId="0" applyFont="1" applyBorder="1"/>
    <xf numFmtId="0" fontId="7" fillId="0" borderId="3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center" wrapText="1"/>
    </xf>
    <xf numFmtId="0" fontId="7" fillId="0" borderId="31" xfId="0" applyFont="1" applyBorder="1"/>
    <xf numFmtId="0" fontId="7" fillId="0" borderId="17" xfId="0" applyFont="1" applyBorder="1"/>
    <xf numFmtId="0" fontId="0" fillId="0" borderId="17" xfId="0" applyFont="1" applyBorder="1"/>
    <xf numFmtId="0" fontId="3" fillId="0" borderId="32" xfId="0" applyFont="1" applyBorder="1"/>
    <xf numFmtId="0" fontId="3" fillId="0" borderId="22" xfId="0" applyFont="1" applyBorder="1" applyAlignment="1">
      <alignment horizontal="justify" vertical="center"/>
    </xf>
    <xf numFmtId="9" fontId="3" fillId="0" borderId="14" xfId="3" applyFont="1" applyBorder="1"/>
    <xf numFmtId="9" fontId="3" fillId="0" borderId="33" xfId="3" applyFont="1" applyBorder="1"/>
    <xf numFmtId="0" fontId="3" fillId="0" borderId="15" xfId="0" applyFont="1" applyBorder="1"/>
    <xf numFmtId="0" fontId="3" fillId="0" borderId="20" xfId="0" applyFont="1" applyBorder="1" applyAlignment="1">
      <alignment vertical="center"/>
    </xf>
    <xf numFmtId="0" fontId="7" fillId="0" borderId="36" xfId="0" applyFont="1" applyBorder="1"/>
    <xf numFmtId="164" fontId="7" fillId="0" borderId="0" xfId="0" applyNumberFormat="1" applyFont="1" applyBorder="1"/>
    <xf numFmtId="0" fontId="7" fillId="0" borderId="0" xfId="4" applyNumberFormat="1" applyFont="1" applyBorder="1"/>
    <xf numFmtId="0" fontId="0" fillId="0" borderId="31" xfId="0" applyFont="1" applyBorder="1"/>
    <xf numFmtId="0" fontId="7" fillId="0" borderId="22" xfId="0" applyFont="1" applyBorder="1"/>
    <xf numFmtId="0" fontId="7" fillId="0" borderId="25" xfId="0" applyFont="1" applyBorder="1"/>
    <xf numFmtId="164" fontId="7" fillId="0" borderId="25" xfId="0" applyNumberFormat="1" applyFont="1" applyBorder="1"/>
    <xf numFmtId="10" fontId="0" fillId="0" borderId="0" xfId="3" applyNumberFormat="1" applyFont="1"/>
    <xf numFmtId="166" fontId="0" fillId="0" borderId="23" xfId="0" applyNumberFormat="1" applyFont="1" applyBorder="1"/>
    <xf numFmtId="0" fontId="0" fillId="0" borderId="5" xfId="2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2" applyNumberFormat="1" applyFont="1" applyBorder="1"/>
    <xf numFmtId="0" fontId="0" fillId="0" borderId="9" xfId="2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2" applyNumberFormat="1" applyFont="1" applyBorder="1"/>
    <xf numFmtId="0" fontId="0" fillId="0" borderId="5" xfId="2" applyNumberFormat="1" applyFont="1" applyFill="1" applyBorder="1"/>
    <xf numFmtId="0" fontId="0" fillId="0" borderId="6" xfId="0" applyNumberFormat="1" applyFont="1" applyFill="1" applyBorder="1"/>
    <xf numFmtId="0" fontId="0" fillId="0" borderId="7" xfId="0" applyNumberFormat="1" applyFont="1" applyFill="1" applyBorder="1"/>
    <xf numFmtId="0" fontId="0" fillId="0" borderId="8" xfId="2" applyNumberFormat="1" applyFont="1" applyFill="1" applyBorder="1"/>
    <xf numFmtId="0" fontId="7" fillId="0" borderId="0" xfId="1" applyNumberFormat="1" applyFont="1" applyBorder="1"/>
    <xf numFmtId="0" fontId="7" fillId="0" borderId="0" xfId="0" applyNumberFormat="1" applyFont="1" applyBorder="1"/>
    <xf numFmtId="0" fontId="7" fillId="0" borderId="30" xfId="2" applyNumberFormat="1" applyFont="1" applyBorder="1"/>
    <xf numFmtId="0" fontId="7" fillId="0" borderId="30" xfId="0" applyNumberFormat="1" applyFont="1" applyBorder="1"/>
    <xf numFmtId="0" fontId="7" fillId="0" borderId="29" xfId="0" applyNumberFormat="1" applyFont="1" applyBorder="1"/>
    <xf numFmtId="0" fontId="7" fillId="0" borderId="0" xfId="2" applyNumberFormat="1" applyFont="1" applyBorder="1"/>
    <xf numFmtId="0" fontId="7" fillId="0" borderId="36" xfId="0" applyNumberFormat="1" applyFont="1" applyBorder="1"/>
    <xf numFmtId="0" fontId="7" fillId="0" borderId="27" xfId="0" applyNumberFormat="1" applyFont="1" applyBorder="1"/>
    <xf numFmtId="0" fontId="7" fillId="0" borderId="27" xfId="0" applyNumberFormat="1" applyFont="1" applyBorder="1" applyAlignment="1">
      <alignment wrapText="1"/>
    </xf>
    <xf numFmtId="0" fontId="7" fillId="0" borderId="28" xfId="0" applyNumberFormat="1" applyFont="1" applyBorder="1" applyAlignment="1">
      <alignment wrapText="1"/>
    </xf>
    <xf numFmtId="0" fontId="0" fillId="0" borderId="0" xfId="0" applyNumberFormat="1" applyBorder="1"/>
    <xf numFmtId="0" fontId="7" fillId="0" borderId="0" xfId="0" applyNumberFormat="1" applyFont="1" applyBorder="1" applyAlignment="1">
      <alignment horizontal="center" wrapText="1"/>
    </xf>
    <xf numFmtId="0" fontId="0" fillId="0" borderId="30" xfId="0" applyNumberFormat="1" applyBorder="1"/>
    <xf numFmtId="0" fontId="0" fillId="0" borderId="0" xfId="0" applyNumberFormat="1" applyFont="1" applyBorder="1"/>
    <xf numFmtId="0" fontId="0" fillId="0" borderId="30" xfId="2" applyNumberFormat="1" applyFont="1" applyBorder="1"/>
    <xf numFmtId="0" fontId="8" fillId="0" borderId="0" xfId="0" applyNumberFormat="1" applyFont="1" applyBorder="1"/>
    <xf numFmtId="0" fontId="0" fillId="0" borderId="0" xfId="0" applyNumberFormat="1" applyFont="1"/>
    <xf numFmtId="0" fontId="7" fillId="0" borderId="28" xfId="0" applyNumberFormat="1" applyFont="1" applyBorder="1"/>
    <xf numFmtId="0" fontId="7" fillId="0" borderId="0" xfId="0" applyNumberFormat="1" applyFont="1" applyBorder="1" applyAlignment="1">
      <alignment horizontal="center"/>
    </xf>
    <xf numFmtId="0" fontId="7" fillId="0" borderId="0" xfId="3" applyNumberFormat="1" applyFont="1" applyBorder="1"/>
    <xf numFmtId="0" fontId="7" fillId="0" borderId="30" xfId="0" applyNumberFormat="1" applyFont="1" applyBorder="1" applyAlignment="1">
      <alignment wrapText="1"/>
    </xf>
    <xf numFmtId="0" fontId="0" fillId="0" borderId="27" xfId="0" applyNumberFormat="1" applyFont="1" applyBorder="1"/>
    <xf numFmtId="0" fontId="7" fillId="0" borderId="27" xfId="0" applyNumberFormat="1" applyFont="1" applyBorder="1" applyAlignment="1">
      <alignment horizontal="center"/>
    </xf>
    <xf numFmtId="0" fontId="0" fillId="0" borderId="28" xfId="0" applyNumberFormat="1" applyFont="1" applyBorder="1"/>
    <xf numFmtId="0" fontId="0" fillId="0" borderId="0" xfId="2" applyNumberFormat="1" applyFont="1" applyBorder="1"/>
    <xf numFmtId="0" fontId="0" fillId="0" borderId="30" xfId="0" applyNumberFormat="1" applyFont="1" applyBorder="1"/>
    <xf numFmtId="0" fontId="7" fillId="0" borderId="17" xfId="0" applyNumberFormat="1" applyFont="1" applyBorder="1"/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2" fontId="0" fillId="0" borderId="6" xfId="0" applyNumberFormat="1" applyFont="1" applyBorder="1"/>
    <xf numFmtId="164" fontId="0" fillId="0" borderId="8" xfId="2" applyFont="1" applyBorder="1"/>
    <xf numFmtId="2" fontId="0" fillId="0" borderId="6" xfId="2" applyNumberFormat="1" applyFont="1" applyBorder="1"/>
    <xf numFmtId="164" fontId="0" fillId="0" borderId="5" xfId="2" applyFont="1" applyBorder="1"/>
    <xf numFmtId="164" fontId="0" fillId="0" borderId="5" xfId="2" applyFont="1" applyFill="1" applyBorder="1"/>
    <xf numFmtId="2" fontId="0" fillId="0" borderId="6" xfId="0" applyNumberFormat="1" applyFont="1" applyFill="1" applyBorder="1"/>
    <xf numFmtId="164" fontId="0" fillId="0" borderId="8" xfId="2" applyFont="1" applyFill="1" applyBorder="1"/>
    <xf numFmtId="164" fontId="7" fillId="0" borderId="29" xfId="2" applyFont="1" applyBorder="1"/>
    <xf numFmtId="8" fontId="7" fillId="0" borderId="0" xfId="1" applyNumberFormat="1" applyFont="1" applyBorder="1"/>
    <xf numFmtId="164" fontId="7" fillId="0" borderId="30" xfId="2" applyFont="1" applyBorder="1"/>
    <xf numFmtId="164" fontId="7" fillId="0" borderId="30" xfId="2" applyFont="1" applyBorder="1" applyAlignment="1">
      <alignment horizontal="center" wrapText="1"/>
    </xf>
    <xf numFmtId="164" fontId="7" fillId="0" borderId="29" xfId="2" applyFont="1" applyBorder="1" applyAlignment="1">
      <alignment horizontal="right"/>
    </xf>
    <xf numFmtId="8" fontId="7" fillId="0" borderId="0" xfId="0" applyNumberFormat="1" applyFont="1" applyBorder="1"/>
    <xf numFmtId="9" fontId="7" fillId="0" borderId="0" xfId="3" applyFont="1" applyBorder="1"/>
    <xf numFmtId="10" fontId="7" fillId="0" borderId="27" xfId="3" applyNumberFormat="1" applyFont="1" applyBorder="1"/>
    <xf numFmtId="10" fontId="7" fillId="0" borderId="0" xfId="3" applyNumberFormat="1" applyFont="1" applyBorder="1"/>
    <xf numFmtId="164" fontId="7" fillId="0" borderId="27" xfId="2" applyFont="1" applyBorder="1"/>
    <xf numFmtId="164" fontId="7" fillId="0" borderId="0" xfId="2" applyFont="1" applyBorder="1"/>
    <xf numFmtId="164" fontId="0" fillId="0" borderId="0" xfId="2" applyFont="1" applyBorder="1"/>
    <xf numFmtId="164" fontId="0" fillId="0" borderId="0" xfId="2" applyFont="1" applyBorder="1" applyAlignment="1">
      <alignment horizontal="center"/>
    </xf>
    <xf numFmtId="0" fontId="10" fillId="0" borderId="27" xfId="0" applyNumberFormat="1" applyFont="1" applyBorder="1"/>
    <xf numFmtId="0" fontId="10" fillId="0" borderId="29" xfId="0" applyNumberFormat="1" applyFont="1" applyBorder="1"/>
    <xf numFmtId="10" fontId="0" fillId="0" borderId="0" xfId="0" applyNumberFormat="1" applyFont="1"/>
    <xf numFmtId="9" fontId="0" fillId="0" borderId="0" xfId="0" applyNumberFormat="1" applyFont="1"/>
    <xf numFmtId="164" fontId="6" fillId="0" borderId="0" xfId="2" applyFont="1"/>
    <xf numFmtId="0" fontId="10" fillId="0" borderId="0" xfId="3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2" fontId="0" fillId="0" borderId="0" xfId="0" applyNumberFormat="1" applyFont="1" applyBorder="1"/>
    <xf numFmtId="164" fontId="7" fillId="0" borderId="0" xfId="2" applyFont="1" applyBorder="1" applyAlignment="1">
      <alignment horizontal="center"/>
    </xf>
    <xf numFmtId="164" fontId="7" fillId="0" borderId="0" xfId="2" applyFont="1" applyBorder="1" applyAlignment="1">
      <alignment wrapText="1"/>
    </xf>
    <xf numFmtId="10" fontId="0" fillId="0" borderId="0" xfId="3" applyNumberFormat="1" applyFont="1" applyBorder="1"/>
    <xf numFmtId="0" fontId="10" fillId="0" borderId="0" xfId="0" applyNumberFormat="1" applyFont="1" applyBorder="1"/>
    <xf numFmtId="0" fontId="3" fillId="0" borderId="0" xfId="0" applyNumberFormat="1" applyFont="1" applyBorder="1"/>
    <xf numFmtId="0" fontId="10" fillId="0" borderId="0" xfId="3" applyNumberFormat="1" applyFont="1" applyBorder="1"/>
    <xf numFmtId="44" fontId="7" fillId="0" borderId="0" xfId="0" applyNumberFormat="1" applyFont="1" applyBorder="1"/>
    <xf numFmtId="10" fontId="7" fillId="0" borderId="0" xfId="0" applyNumberFormat="1" applyFont="1" applyBorder="1"/>
    <xf numFmtId="10" fontId="7" fillId="0" borderId="29" xfId="3" applyNumberFormat="1" applyFont="1" applyFill="1" applyBorder="1"/>
    <xf numFmtId="0" fontId="0" fillId="0" borderId="29" xfId="0" applyFont="1" applyBorder="1"/>
    <xf numFmtId="0" fontId="3" fillId="0" borderId="27" xfId="0" applyFont="1" applyBorder="1"/>
    <xf numFmtId="2" fontId="0" fillId="0" borderId="0" xfId="0" applyNumberFormat="1" applyBorder="1" applyAlignment="1">
      <alignment horizontal="right"/>
    </xf>
    <xf numFmtId="2" fontId="0" fillId="0" borderId="0" xfId="0" applyNumberFormat="1" applyFont="1"/>
    <xf numFmtId="2" fontId="0" fillId="0" borderId="0" xfId="2" applyNumberFormat="1" applyFont="1" applyBorder="1" applyAlignment="1">
      <alignment horizontal="right"/>
    </xf>
    <xf numFmtId="0" fontId="0" fillId="0" borderId="0" xfId="0" applyNumberFormat="1" applyFill="1" applyBorder="1"/>
    <xf numFmtId="0" fontId="3" fillId="0" borderId="30" xfId="0" applyFont="1" applyBorder="1"/>
    <xf numFmtId="164" fontId="0" fillId="0" borderId="30" xfId="2" applyFont="1" applyBorder="1"/>
    <xf numFmtId="0" fontId="0" fillId="0" borderId="36" xfId="0" applyFont="1" applyBorder="1"/>
    <xf numFmtId="0" fontId="3" fillId="0" borderId="29" xfId="1" applyNumberFormat="1" applyFont="1" applyBorder="1" applyAlignment="1">
      <alignment horizontal="left"/>
    </xf>
    <xf numFmtId="0" fontId="3" fillId="0" borderId="29" xfId="0" applyNumberFormat="1" applyFont="1" applyBorder="1" applyAlignment="1">
      <alignment horizontal="left"/>
    </xf>
    <xf numFmtId="0" fontId="10" fillId="0" borderId="29" xfId="0" applyNumberFormat="1" applyFont="1" applyBorder="1" applyAlignment="1">
      <alignment horizontal="center"/>
    </xf>
    <xf numFmtId="0" fontId="0" fillId="0" borderId="30" xfId="0" applyFont="1" applyBorder="1"/>
    <xf numFmtId="0" fontId="3" fillId="0" borderId="0" xfId="0" applyFont="1" applyFill="1" applyBorder="1" applyAlignment="1">
      <alignment horizontal="center"/>
    </xf>
    <xf numFmtId="0" fontId="3" fillId="0" borderId="2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168" fontId="10" fillId="2" borderId="32" xfId="0" applyNumberFormat="1" applyFont="1" applyFill="1" applyBorder="1" applyAlignment="1">
      <alignment horizontal="right"/>
    </xf>
    <xf numFmtId="168" fontId="10" fillId="2" borderId="33" xfId="0" applyNumberFormat="1" applyFont="1" applyFill="1" applyBorder="1" applyAlignment="1">
      <alignment horizontal="right"/>
    </xf>
    <xf numFmtId="0" fontId="3" fillId="0" borderId="32" xfId="0" applyFont="1" applyBorder="1" applyAlignment="1">
      <alignment horizontal="right"/>
    </xf>
    <xf numFmtId="0" fontId="3" fillId="0" borderId="35" xfId="0" applyFont="1" applyBorder="1" applyAlignment="1">
      <alignment horizontal="right"/>
    </xf>
    <xf numFmtId="166" fontId="3" fillId="2" borderId="34" xfId="2" applyNumberFormat="1" applyFont="1" applyFill="1" applyBorder="1" applyAlignment="1">
      <alignment horizontal="right"/>
    </xf>
    <xf numFmtId="166" fontId="3" fillId="2" borderId="33" xfId="2" applyNumberFormat="1" applyFont="1" applyFill="1" applyBorder="1" applyAlignment="1">
      <alignment horizontal="right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67" fontId="3" fillId="2" borderId="34" xfId="2" applyNumberFormat="1" applyFont="1" applyFill="1" applyBorder="1" applyAlignment="1">
      <alignment horizontal="right"/>
    </xf>
    <xf numFmtId="167" fontId="3" fillId="2" borderId="33" xfId="2" applyNumberFormat="1" applyFont="1" applyFill="1" applyBorder="1" applyAlignment="1">
      <alignment horizontal="right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2" xfId="0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5">
    <cellStyle name="Comma" xfId="1" builtinId="3"/>
    <cellStyle name="Currency" xfId="2" builtinId="4"/>
    <cellStyle name="Normal" xfId="0" builtinId="0"/>
    <cellStyle name="Percent" xfId="3" builtinId="5"/>
    <cellStyle name="Pourcentage 2" xfId="4" xr:uid="{10D98DA8-7008-4927-A1F6-DC3270AFA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8</xdr:row>
      <xdr:rowOff>123825</xdr:rowOff>
    </xdr:from>
    <xdr:to>
      <xdr:col>6</xdr:col>
      <xdr:colOff>198547</xdr:colOff>
      <xdr:row>15</xdr:row>
      <xdr:rowOff>82550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68D9AC1-5C74-44AD-855C-FCB170A18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1666875"/>
          <a:ext cx="4634022" cy="1311275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20</xdr:row>
      <xdr:rowOff>114300</xdr:rowOff>
    </xdr:from>
    <xdr:to>
      <xdr:col>8</xdr:col>
      <xdr:colOff>352425</xdr:colOff>
      <xdr:row>33</xdr:row>
      <xdr:rowOff>12800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22F8B6B-9249-4830-9B03-9DD339742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" y="3981450"/>
          <a:ext cx="7096125" cy="2413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4152-D161-485E-A7B5-85E3ADF37EA3}">
  <dimension ref="A1:W96"/>
  <sheetViews>
    <sheetView tabSelected="1" topLeftCell="K53" zoomScale="90" zoomScaleNormal="90" workbookViewId="0">
      <selection activeCell="W58" sqref="W58"/>
    </sheetView>
  </sheetViews>
  <sheetFormatPr defaultColWidth="11.453125" defaultRowHeight="14.75" x14ac:dyDescent="0.75"/>
  <cols>
    <col min="1" max="2" width="11.453125" style="3"/>
    <col min="3" max="3" width="15.6328125" style="3" bestFit="1" customWidth="1"/>
    <col min="4" max="4" width="15.36328125" style="3" bestFit="1" customWidth="1"/>
    <col min="5" max="5" width="11.453125" style="3"/>
    <col min="6" max="6" width="15.36328125" style="3" bestFit="1" customWidth="1"/>
    <col min="7" max="7" width="13.81640625" style="3" bestFit="1" customWidth="1"/>
    <col min="8" max="9" width="15.36328125" style="3" bestFit="1" customWidth="1"/>
    <col min="10" max="10" width="11.453125" style="3"/>
    <col min="11" max="11" width="15.36328125" style="3" bestFit="1" customWidth="1"/>
    <col min="12" max="12" width="11.453125" style="3"/>
    <col min="13" max="13" width="15.36328125" style="3" bestFit="1" customWidth="1"/>
    <col min="14" max="14" width="18.6328125" style="3" customWidth="1"/>
    <col min="15" max="15" width="15.08984375" style="3" customWidth="1"/>
    <col min="16" max="16" width="15.31640625" style="3" customWidth="1"/>
    <col min="17" max="17" width="15.36328125" style="3" bestFit="1" customWidth="1"/>
    <col min="18" max="18" width="11.26953125" style="3" customWidth="1"/>
    <col min="19" max="19" width="17.453125" style="3" bestFit="1" customWidth="1"/>
    <col min="20" max="20" width="12.6328125" style="3" customWidth="1"/>
    <col min="21" max="21" width="14.5" style="3" customWidth="1"/>
    <col min="22" max="16384" width="11.453125" style="3"/>
  </cols>
  <sheetData>
    <row r="1" spans="1:23" x14ac:dyDescent="0.75">
      <c r="A1" s="1" t="s">
        <v>0</v>
      </c>
      <c r="B1" s="174" t="s">
        <v>42</v>
      </c>
      <c r="C1" s="174"/>
      <c r="D1" s="1" t="s">
        <v>1</v>
      </c>
      <c r="E1" s="174" t="s">
        <v>43</v>
      </c>
      <c r="F1" s="174"/>
      <c r="G1" s="2" t="s">
        <v>2</v>
      </c>
      <c r="H1" s="175">
        <v>1949477</v>
      </c>
      <c r="I1" s="175"/>
      <c r="J1" s="2" t="s">
        <v>3</v>
      </c>
      <c r="K1" s="3">
        <v>4</v>
      </c>
    </row>
    <row r="2" spans="1:23" x14ac:dyDescent="0.75">
      <c r="A2" s="1" t="s">
        <v>0</v>
      </c>
      <c r="B2" s="174" t="s">
        <v>44</v>
      </c>
      <c r="C2" s="174"/>
      <c r="D2" s="1" t="s">
        <v>1</v>
      </c>
      <c r="E2" s="174" t="s">
        <v>45</v>
      </c>
      <c r="F2" s="174"/>
      <c r="G2" s="2" t="s">
        <v>2</v>
      </c>
      <c r="H2" s="175">
        <v>2050874</v>
      </c>
      <c r="I2" s="175"/>
      <c r="J2" s="2" t="s">
        <v>3</v>
      </c>
      <c r="K2" s="3">
        <v>4</v>
      </c>
    </row>
    <row r="3" spans="1:23" x14ac:dyDescent="0.75">
      <c r="A3" s="1" t="s">
        <v>0</v>
      </c>
      <c r="B3" s="174" t="s">
        <v>46</v>
      </c>
      <c r="C3" s="174"/>
      <c r="D3" s="1" t="s">
        <v>1</v>
      </c>
      <c r="E3" s="174" t="s">
        <v>47</v>
      </c>
      <c r="F3" s="174"/>
      <c r="G3" s="2" t="s">
        <v>2</v>
      </c>
      <c r="H3" s="175">
        <v>1947025</v>
      </c>
      <c r="I3" s="175"/>
      <c r="J3" s="2" t="s">
        <v>3</v>
      </c>
      <c r="K3" s="3">
        <v>4</v>
      </c>
    </row>
    <row r="5" spans="1:23" ht="15.5" thickBot="1" x14ac:dyDescent="0.9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26"/>
    </row>
    <row r="6" spans="1:23" ht="15.5" thickBot="1" x14ac:dyDescent="0.9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N6" s="19"/>
      <c r="O6" s="4" t="s">
        <v>7</v>
      </c>
      <c r="P6" s="44">
        <v>0.09</v>
      </c>
      <c r="Q6" s="19"/>
      <c r="R6" s="19"/>
      <c r="S6" s="19"/>
      <c r="T6" s="19"/>
      <c r="U6" s="19"/>
      <c r="V6" s="19"/>
      <c r="W6" s="20"/>
    </row>
    <row r="7" spans="1:23" ht="15" customHeight="1" x14ac:dyDescent="0.75">
      <c r="A7" s="158" t="s">
        <v>37</v>
      </c>
      <c r="B7" s="159"/>
      <c r="C7" s="159"/>
      <c r="D7" s="159"/>
      <c r="E7" s="159"/>
      <c r="F7" s="159"/>
      <c r="G7" s="159"/>
      <c r="H7" s="159"/>
      <c r="I7" s="21"/>
      <c r="J7" s="21"/>
      <c r="K7" s="21"/>
      <c r="L7" s="19"/>
      <c r="N7" s="5" t="s">
        <v>8</v>
      </c>
      <c r="O7" s="6" t="s">
        <v>9</v>
      </c>
      <c r="P7" s="6" t="s">
        <v>10</v>
      </c>
      <c r="Q7" s="6" t="s">
        <v>11</v>
      </c>
      <c r="R7" s="7" t="s">
        <v>12</v>
      </c>
      <c r="S7" s="8" t="s">
        <v>13</v>
      </c>
      <c r="T7" s="19"/>
      <c r="U7" s="19"/>
      <c r="V7" s="19"/>
      <c r="W7" s="20"/>
    </row>
    <row r="8" spans="1:23" x14ac:dyDescent="0.75">
      <c r="A8" s="158"/>
      <c r="B8" s="159"/>
      <c r="C8" s="159"/>
      <c r="D8" s="159"/>
      <c r="E8" s="159"/>
      <c r="F8" s="159"/>
      <c r="G8" s="159"/>
      <c r="H8" s="159"/>
      <c r="I8" s="21"/>
      <c r="J8" s="21"/>
      <c r="K8" s="21"/>
      <c r="L8" s="19"/>
      <c r="N8" s="104">
        <v>700</v>
      </c>
      <c r="O8" s="103">
        <f>PV(P6,4,-1)</f>
        <v>3.2397198770533731</v>
      </c>
      <c r="P8" s="101"/>
      <c r="Q8" s="58"/>
      <c r="R8" s="59"/>
      <c r="S8" s="102">
        <f>N8*O8</f>
        <v>2267.8039139373614</v>
      </c>
      <c r="T8" s="19"/>
      <c r="U8" s="19"/>
      <c r="V8" s="19"/>
      <c r="W8" s="20"/>
    </row>
    <row r="9" spans="1:23" x14ac:dyDescent="0.7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N9" s="104">
        <v>1000</v>
      </c>
      <c r="O9" s="103">
        <f>PV(P6,3,-1)</f>
        <v>2.5312946659881761</v>
      </c>
      <c r="P9" s="103">
        <f>PV(P6,4,0,-1)</f>
        <v>0.7084252110651964</v>
      </c>
      <c r="Q9" s="58"/>
      <c r="R9" s="59"/>
      <c r="S9" s="102">
        <f>O9*P9*N9</f>
        <v>1793.2329580208796</v>
      </c>
      <c r="T9" s="19"/>
      <c r="U9" s="19"/>
      <c r="V9" s="19"/>
      <c r="W9" s="20"/>
    </row>
    <row r="10" spans="1:23" x14ac:dyDescent="0.7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N10" s="104">
        <v>300</v>
      </c>
      <c r="O10" s="103">
        <f>1/P6</f>
        <v>11.111111111111111</v>
      </c>
      <c r="P10" s="103">
        <f>PV(P6,7,0,-1)</f>
        <v>0.54703424484331731</v>
      </c>
      <c r="Q10" s="58"/>
      <c r="R10" s="59"/>
      <c r="S10" s="102">
        <f>O10*P10*N10</f>
        <v>1823.4474828110576</v>
      </c>
      <c r="T10" s="19"/>
      <c r="U10" s="19"/>
      <c r="V10" s="19"/>
      <c r="W10" s="20"/>
    </row>
    <row r="11" spans="1:23" x14ac:dyDescent="0.75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N11" s="57"/>
      <c r="O11" s="58"/>
      <c r="P11" s="58"/>
      <c r="Q11" s="58"/>
      <c r="R11" s="59"/>
      <c r="S11" s="60"/>
      <c r="T11" s="19"/>
      <c r="U11" s="19"/>
      <c r="V11" s="19"/>
      <c r="W11" s="20"/>
    </row>
    <row r="12" spans="1:23" x14ac:dyDescent="0.7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N12" s="57"/>
      <c r="O12" s="58"/>
      <c r="P12" s="58"/>
      <c r="Q12" s="58"/>
      <c r="R12" s="59"/>
      <c r="S12" s="60"/>
      <c r="T12" s="19"/>
      <c r="U12" s="19"/>
      <c r="V12" s="19"/>
      <c r="W12" s="20"/>
    </row>
    <row r="13" spans="1:23" x14ac:dyDescent="0.7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N13" s="57"/>
      <c r="O13" s="58"/>
      <c r="P13" s="58"/>
      <c r="Q13" s="58"/>
      <c r="R13" s="59"/>
      <c r="S13" s="60"/>
      <c r="T13" s="19"/>
      <c r="U13" s="19"/>
      <c r="V13" s="19"/>
      <c r="W13" s="20"/>
    </row>
    <row r="14" spans="1:23" ht="15.5" thickBot="1" x14ac:dyDescent="0.9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N14" s="61"/>
      <c r="O14" s="62"/>
      <c r="P14" s="62"/>
      <c r="Q14" s="62"/>
      <c r="R14" s="63"/>
      <c r="S14" s="64"/>
      <c r="T14" s="19"/>
      <c r="U14" s="19"/>
      <c r="V14" s="19"/>
      <c r="W14" s="20"/>
    </row>
    <row r="15" spans="1:23" ht="15.5" thickBot="1" x14ac:dyDescent="0.9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N15" s="19"/>
      <c r="O15" s="19"/>
      <c r="P15" s="19"/>
      <c r="Q15" s="162" t="s">
        <v>14</v>
      </c>
      <c r="R15" s="163"/>
      <c r="S15" s="15">
        <f>SUM(S8:S10)</f>
        <v>5884.484354769299</v>
      </c>
      <c r="T15" s="19"/>
      <c r="U15" s="19"/>
      <c r="V15" s="19"/>
      <c r="W15" s="20"/>
    </row>
    <row r="16" spans="1:23" ht="15.5" thickBot="1" x14ac:dyDescent="0.9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</row>
    <row r="17" spans="1:23" ht="15.5" thickBot="1" x14ac:dyDescent="0.9">
      <c r="A17" s="16" t="s">
        <v>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4" t="s">
        <v>15</v>
      </c>
      <c r="P17" s="44">
        <v>0.08</v>
      </c>
      <c r="Q17" s="17"/>
      <c r="R17" s="17"/>
      <c r="S17" s="17"/>
      <c r="T17" s="17"/>
      <c r="U17" s="17"/>
      <c r="V17" s="17"/>
      <c r="W17" s="26"/>
    </row>
    <row r="18" spans="1:23" ht="15.5" thickBot="1" x14ac:dyDescent="0.9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4" t="s">
        <v>16</v>
      </c>
      <c r="P18" s="44">
        <v>0.12</v>
      </c>
      <c r="Q18" s="19"/>
      <c r="R18" s="19"/>
      <c r="S18" s="19"/>
      <c r="T18" s="19"/>
      <c r="U18" s="19"/>
      <c r="V18" s="19"/>
      <c r="W18" s="20"/>
    </row>
    <row r="19" spans="1:23" ht="15" customHeight="1" x14ac:dyDescent="0.75">
      <c r="A19" s="158" t="s">
        <v>38</v>
      </c>
      <c r="B19" s="159"/>
      <c r="C19" s="159"/>
      <c r="D19" s="159"/>
      <c r="E19" s="159"/>
      <c r="F19" s="159"/>
      <c r="G19" s="159"/>
      <c r="H19" s="159"/>
      <c r="I19" s="21"/>
      <c r="J19" s="21"/>
      <c r="K19" s="21"/>
      <c r="L19" s="19"/>
      <c r="M19" s="19"/>
      <c r="N19" s="5" t="s">
        <v>8</v>
      </c>
      <c r="O19" s="6" t="s">
        <v>9</v>
      </c>
      <c r="P19" s="6" t="s">
        <v>10</v>
      </c>
      <c r="Q19" s="6" t="s">
        <v>11</v>
      </c>
      <c r="R19" s="7" t="s">
        <v>12</v>
      </c>
      <c r="S19" s="8" t="s">
        <v>13</v>
      </c>
      <c r="T19" s="19"/>
      <c r="U19" s="19"/>
      <c r="V19" s="19"/>
      <c r="W19" s="20"/>
    </row>
    <row r="20" spans="1:23" x14ac:dyDescent="0.75">
      <c r="A20" s="158"/>
      <c r="B20" s="159"/>
      <c r="C20" s="159"/>
      <c r="D20" s="159"/>
      <c r="E20" s="159"/>
      <c r="F20" s="159"/>
      <c r="G20" s="159"/>
      <c r="H20" s="159"/>
      <c r="I20" s="21"/>
      <c r="J20" s="21"/>
      <c r="K20" s="21"/>
      <c r="L20" s="19"/>
      <c r="M20" s="19"/>
      <c r="N20" s="105">
        <v>2000</v>
      </c>
      <c r="O20" s="106">
        <f>PV(P17,0,,-1)</f>
        <v>1</v>
      </c>
      <c r="P20" s="106"/>
      <c r="Q20" s="106"/>
      <c r="R20" s="67"/>
      <c r="S20" s="107">
        <f>N20*O20</f>
        <v>2000</v>
      </c>
      <c r="T20" s="19"/>
      <c r="U20" s="19"/>
      <c r="V20" s="19"/>
      <c r="W20" s="20"/>
    </row>
    <row r="21" spans="1:23" x14ac:dyDescent="0.7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05">
        <v>2000</v>
      </c>
      <c r="O21" s="106">
        <f>PV(P17,5,-1)</f>
        <v>3.9927100370780875</v>
      </c>
      <c r="P21" s="106"/>
      <c r="Q21" s="106"/>
      <c r="R21" s="67"/>
      <c r="S21" s="107">
        <f>N21*O21</f>
        <v>7985.4200741561754</v>
      </c>
      <c r="T21" s="19"/>
      <c r="U21" s="19"/>
      <c r="V21" s="19"/>
      <c r="W21" s="20"/>
    </row>
    <row r="22" spans="1:23" x14ac:dyDescent="0.7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05">
        <v>-200</v>
      </c>
      <c r="O22" s="106" cm="1">
        <f t="array" aca="1" ref="O22" ca="1">NPV(P17,(ROW(INDIRECT("1:"&amp;4))-1))</f>
        <v>4.6500928607314824</v>
      </c>
      <c r="P22" s="106">
        <f>PV(P17,1,0,-1)</f>
        <v>0.92592592592592582</v>
      </c>
      <c r="Q22" s="106"/>
      <c r="R22" s="67"/>
      <c r="S22" s="107">
        <f ca="1">O22*N22*P22</f>
        <v>-861.12830754286699</v>
      </c>
      <c r="T22" s="19"/>
      <c r="U22" s="19"/>
      <c r="V22" s="19"/>
      <c r="W22" s="20"/>
    </row>
    <row r="23" spans="1:23" x14ac:dyDescent="0.75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05">
        <v>-300</v>
      </c>
      <c r="O23" s="106">
        <f>PV(P18,1,0,-1)</f>
        <v>0.89285714285714279</v>
      </c>
      <c r="P23" s="106">
        <f>PV(P17,7,0,-1)</f>
        <v>0.58349039526213387</v>
      </c>
      <c r="Q23" s="106"/>
      <c r="R23" s="67"/>
      <c r="S23" s="107">
        <f>O23*N23*P23</f>
        <v>-156.29207015950013</v>
      </c>
      <c r="T23" s="19"/>
      <c r="U23" s="19"/>
      <c r="V23" s="19"/>
      <c r="W23" s="20"/>
    </row>
    <row r="24" spans="1:23" x14ac:dyDescent="0.75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05">
        <v>1600</v>
      </c>
      <c r="O24" s="106">
        <f>((1-(1-0.07)^16*(1+P18)^(-16))/(P18-(-0.07)))</f>
        <v>4.9943232638394059</v>
      </c>
      <c r="P24" s="106">
        <f>PV(P18,1,0,-1)</f>
        <v>0.89285714285714279</v>
      </c>
      <c r="Q24" s="106">
        <f>PV(P17,7,0,-1)</f>
        <v>0.58349039526213387</v>
      </c>
      <c r="R24" s="67"/>
      <c r="S24" s="107">
        <f>O24*N24*P24*Q24</f>
        <v>4163.0566504064645</v>
      </c>
      <c r="T24" s="19"/>
      <c r="U24" s="19"/>
      <c r="V24" s="19"/>
      <c r="W24" s="20"/>
    </row>
    <row r="25" spans="1:23" ht="15.5" thickBot="1" x14ac:dyDescent="0.9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9"/>
      <c r="O25" s="10"/>
      <c r="P25" s="10"/>
      <c r="Q25" s="10"/>
      <c r="R25" s="11"/>
      <c r="S25" s="12"/>
      <c r="T25" s="19"/>
      <c r="U25" s="19"/>
      <c r="V25" s="19"/>
      <c r="W25" s="20"/>
    </row>
    <row r="26" spans="1:23" ht="15.5" thickBot="1" x14ac:dyDescent="0.9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62" t="s">
        <v>14</v>
      </c>
      <c r="R26" s="163"/>
      <c r="S26" s="15">
        <f ca="1">SUM(S20:S24)</f>
        <v>13131.056346860274</v>
      </c>
      <c r="T26" s="19"/>
      <c r="U26" s="19"/>
      <c r="V26" s="19"/>
      <c r="W26" s="20"/>
    </row>
    <row r="27" spans="1:23" x14ac:dyDescent="0.75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0"/>
    </row>
    <row r="28" spans="1:23" ht="15.5" thickBot="1" x14ac:dyDescent="0.9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1"/>
      <c r="O28" s="21"/>
      <c r="P28" s="21"/>
      <c r="Q28" s="21"/>
      <c r="R28" s="21"/>
      <c r="S28" s="21"/>
      <c r="T28" s="19"/>
      <c r="U28" s="19"/>
      <c r="V28" s="19"/>
      <c r="W28" s="20"/>
    </row>
    <row r="29" spans="1:23" ht="15.5" thickBot="1" x14ac:dyDescent="0.9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4" t="s">
        <v>15</v>
      </c>
      <c r="P29" s="44">
        <v>0.08</v>
      </c>
      <c r="Q29" s="19"/>
      <c r="R29" s="19"/>
      <c r="S29" s="19"/>
      <c r="T29" s="19"/>
      <c r="U29" s="19"/>
      <c r="V29" s="19"/>
      <c r="W29" s="20"/>
    </row>
    <row r="30" spans="1:23" x14ac:dyDescent="0.7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1"/>
      <c r="N30" s="5" t="s">
        <v>8</v>
      </c>
      <c r="O30" s="6" t="s">
        <v>9</v>
      </c>
      <c r="P30" s="6" t="s">
        <v>10</v>
      </c>
      <c r="Q30" s="6" t="s">
        <v>11</v>
      </c>
      <c r="R30" s="7" t="s">
        <v>12</v>
      </c>
      <c r="S30" s="8" t="s">
        <v>34</v>
      </c>
      <c r="T30" s="21"/>
      <c r="U30" s="21"/>
      <c r="V30" s="21"/>
      <c r="W30" s="22"/>
    </row>
    <row r="31" spans="1:23" x14ac:dyDescent="0.7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05">
        <f ca="1">SUM(S20:S22)</f>
        <v>9124.2917666133089</v>
      </c>
      <c r="O31" s="106">
        <f>FV(P29,7,0,-1)</f>
        <v>1.7138242687795207</v>
      </c>
      <c r="P31" s="106"/>
      <c r="Q31" s="66"/>
      <c r="R31" s="67"/>
      <c r="S31" s="107">
        <f ca="1">N31*O31</f>
        <v>15637.432665047056</v>
      </c>
      <c r="T31" s="19"/>
      <c r="U31" s="19"/>
      <c r="V31" s="19"/>
      <c r="W31" s="20"/>
    </row>
    <row r="32" spans="1:23" x14ac:dyDescent="0.75">
      <c r="A32" s="176" t="s">
        <v>4</v>
      </c>
      <c r="B32" s="177"/>
      <c r="C32" s="177"/>
      <c r="D32" s="177"/>
      <c r="E32" s="177"/>
      <c r="F32" s="177"/>
      <c r="G32" s="177"/>
      <c r="H32" s="177"/>
      <c r="I32" s="28"/>
      <c r="J32" s="28"/>
      <c r="K32" s="28"/>
      <c r="L32" s="19"/>
      <c r="M32" s="19"/>
      <c r="N32" s="105">
        <v>-300</v>
      </c>
      <c r="O32" s="106">
        <f>PV(P29,1,0,-1)</f>
        <v>0.92592592592592582</v>
      </c>
      <c r="P32" s="106"/>
      <c r="Q32" s="66"/>
      <c r="R32" s="67"/>
      <c r="S32" s="107">
        <f>N32*O32</f>
        <v>-277.77777777777777</v>
      </c>
      <c r="T32" s="19"/>
      <c r="U32" s="19"/>
      <c r="V32" s="19"/>
      <c r="W32" s="20"/>
    </row>
    <row r="33" spans="1:23" x14ac:dyDescent="0.75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05">
        <v>1600</v>
      </c>
      <c r="O33" s="106">
        <f>((1-(1-0.07)^16*(1+P29)^(-16))/(P29-(-0.07)))</f>
        <v>6.0573320799415349</v>
      </c>
      <c r="P33" s="106">
        <f>PV(P29,1,0,-1)</f>
        <v>0.92592592592592582</v>
      </c>
      <c r="Q33" s="66"/>
      <c r="R33" s="67"/>
      <c r="S33" s="107">
        <f t="shared" ref="S33" si="0">N33*O33*P33</f>
        <v>8973.8253036170881</v>
      </c>
      <c r="T33" s="19"/>
      <c r="U33" s="19"/>
      <c r="V33" s="19"/>
      <c r="W33" s="20"/>
    </row>
    <row r="34" spans="1:23" x14ac:dyDescent="0.75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65"/>
      <c r="O34" s="66"/>
      <c r="P34" s="66"/>
      <c r="Q34" s="66"/>
      <c r="R34" s="67"/>
      <c r="S34" s="68"/>
      <c r="T34" s="19"/>
      <c r="U34" s="19"/>
      <c r="V34" s="19"/>
      <c r="W34" s="20"/>
    </row>
    <row r="35" spans="1:23" ht="16" customHeight="1" thickBot="1" x14ac:dyDescent="0.9">
      <c r="A35" s="158" t="s">
        <v>33</v>
      </c>
      <c r="B35" s="159"/>
      <c r="C35" s="159"/>
      <c r="D35" s="159"/>
      <c r="E35" s="159"/>
      <c r="F35" s="159"/>
      <c r="G35" s="159"/>
      <c r="H35" s="159"/>
      <c r="I35" s="21"/>
      <c r="J35" s="21"/>
      <c r="K35" s="21"/>
      <c r="L35" s="19"/>
      <c r="M35" s="19"/>
      <c r="N35" s="9"/>
      <c r="O35" s="10"/>
      <c r="P35" s="10"/>
      <c r="Q35" s="10"/>
      <c r="R35" s="11"/>
      <c r="S35" s="12"/>
      <c r="T35" s="19"/>
      <c r="U35" s="19"/>
      <c r="V35" s="19"/>
      <c r="W35" s="20"/>
    </row>
    <row r="36" spans="1:23" ht="15.5" thickBot="1" x14ac:dyDescent="0.9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3" t="s">
        <v>14</v>
      </c>
      <c r="R36" s="14"/>
      <c r="S36" s="15">
        <f ca="1">SUM(S31:S33)</f>
        <v>24333.480190886366</v>
      </c>
      <c r="T36" s="19"/>
      <c r="U36" s="19"/>
      <c r="V36" s="19"/>
      <c r="W36" s="20"/>
    </row>
    <row r="37" spans="1:23" ht="15.5" thickBot="1" x14ac:dyDescent="0.9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</row>
    <row r="38" spans="1:23" ht="15.5" thickBot="1" x14ac:dyDescent="0.9">
      <c r="A38" s="16" t="s">
        <v>17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47"/>
      <c r="O38" s="46" t="s">
        <v>7</v>
      </c>
      <c r="P38" s="45">
        <v>0.11</v>
      </c>
      <c r="Q38" s="17"/>
      <c r="R38" s="17"/>
      <c r="S38" s="17"/>
      <c r="T38" s="17"/>
      <c r="U38" s="17"/>
      <c r="V38" s="17"/>
      <c r="W38" s="26"/>
    </row>
    <row r="39" spans="1:23" x14ac:dyDescent="0.75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5" t="s">
        <v>8</v>
      </c>
      <c r="O39" s="6" t="s">
        <v>9</v>
      </c>
      <c r="P39" s="6" t="s">
        <v>10</v>
      </c>
      <c r="Q39" s="6" t="s">
        <v>11</v>
      </c>
      <c r="R39" s="7" t="s">
        <v>12</v>
      </c>
      <c r="S39" s="8" t="s">
        <v>34</v>
      </c>
      <c r="T39" s="35"/>
      <c r="U39" s="35"/>
      <c r="V39" s="19"/>
      <c r="W39" s="20"/>
    </row>
    <row r="40" spans="1:23" ht="15.75" customHeight="1" x14ac:dyDescent="0.75">
      <c r="A40" s="172" t="s">
        <v>41</v>
      </c>
      <c r="B40" s="173"/>
      <c r="C40" s="173"/>
      <c r="D40" s="173"/>
      <c r="E40" s="173"/>
      <c r="F40" s="173"/>
      <c r="G40" s="173"/>
      <c r="H40" s="173"/>
      <c r="I40" s="96"/>
      <c r="J40" s="96"/>
      <c r="K40" s="96"/>
      <c r="L40" s="19"/>
      <c r="M40" s="19"/>
      <c r="N40" s="108">
        <v>-105000</v>
      </c>
      <c r="O40" s="69"/>
      <c r="P40" s="70"/>
      <c r="Q40" s="70"/>
      <c r="R40" s="70"/>
      <c r="S40" s="110">
        <f>N40</f>
        <v>-105000</v>
      </c>
      <c r="T40" s="35"/>
      <c r="U40" s="35"/>
      <c r="V40" s="19"/>
      <c r="W40" s="20"/>
    </row>
    <row r="41" spans="1:23" ht="15" customHeight="1" x14ac:dyDescent="0.75">
      <c r="A41" s="172"/>
      <c r="B41" s="173"/>
      <c r="C41" s="173"/>
      <c r="D41" s="173"/>
      <c r="E41" s="173"/>
      <c r="F41" s="173"/>
      <c r="G41" s="173"/>
      <c r="H41" s="173"/>
      <c r="I41" s="96"/>
      <c r="J41" s="96"/>
      <c r="K41" s="96"/>
      <c r="L41" s="19"/>
      <c r="M41" s="19"/>
      <c r="N41" s="108">
        <v>-3000</v>
      </c>
      <c r="O41" s="109">
        <f>PV(P38,20,-1)</f>
        <v>7.9633281173668822</v>
      </c>
      <c r="P41" s="70"/>
      <c r="Q41" s="70"/>
      <c r="R41" s="70"/>
      <c r="S41" s="110">
        <f>N41*O41</f>
        <v>-23889.984352100648</v>
      </c>
      <c r="T41" s="35"/>
      <c r="U41" s="35"/>
      <c r="V41" s="19"/>
      <c r="W41" s="20"/>
    </row>
    <row r="42" spans="1:23" ht="15" customHeight="1" x14ac:dyDescent="0.75">
      <c r="A42" s="172"/>
      <c r="B42" s="173"/>
      <c r="C42" s="173"/>
      <c r="D42" s="173"/>
      <c r="E42" s="173"/>
      <c r="F42" s="173"/>
      <c r="G42" s="173"/>
      <c r="H42" s="173"/>
      <c r="I42" s="96"/>
      <c r="J42" s="96"/>
      <c r="K42" s="96"/>
      <c r="L42" s="19"/>
      <c r="M42" s="19"/>
      <c r="N42" s="108">
        <v>-1250</v>
      </c>
      <c r="O42" s="109" cm="1">
        <f t="array" aca="1" ref="O42" ca="1">NPV(P38,(ROW(INDIRECT("1:"&amp;20))-1))</f>
        <v>49.842272505218297</v>
      </c>
      <c r="P42" s="69"/>
      <c r="Q42" s="70"/>
      <c r="R42" s="70"/>
      <c r="S42" s="110">
        <f ca="1">N42*O42</f>
        <v>-62302.840631522871</v>
      </c>
      <c r="T42" s="35"/>
      <c r="U42" s="35"/>
      <c r="V42" s="19"/>
      <c r="W42" s="20"/>
    </row>
    <row r="43" spans="1:23" x14ac:dyDescent="0.7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08">
        <v>15000</v>
      </c>
      <c r="O43" s="109">
        <f>PV(P38,20,0,-1)</f>
        <v>0.12403390708964297</v>
      </c>
      <c r="P43" s="70"/>
      <c r="Q43" s="70"/>
      <c r="R43" s="70"/>
      <c r="S43" s="110">
        <f>N43*O43</f>
        <v>1860.5086063446445</v>
      </c>
      <c r="T43" s="37"/>
      <c r="U43" s="37"/>
      <c r="V43" s="19"/>
      <c r="W43" s="20"/>
    </row>
    <row r="44" spans="1:23" x14ac:dyDescent="0.75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12"/>
      <c r="O44" s="70"/>
      <c r="P44" s="70"/>
      <c r="Q44" s="70"/>
      <c r="R44" s="70"/>
      <c r="S44" s="111"/>
      <c r="T44" s="38"/>
      <c r="U44" s="35"/>
      <c r="V44" s="19"/>
      <c r="W44" s="20"/>
    </row>
    <row r="45" spans="1:23" ht="15" customHeight="1" thickBot="1" x14ac:dyDescent="0.9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08">
        <f ca="1">SUM(S40:S43)</f>
        <v>-189332.31637727888</v>
      </c>
      <c r="O45" s="113">
        <f>PMT(P38,20,-1)</f>
        <v>0.12557563687714221</v>
      </c>
      <c r="P45" s="35"/>
      <c r="Q45" s="35"/>
      <c r="R45" s="35"/>
      <c r="S45" s="110">
        <f ca="1">N45*O45</f>
        <v>-23775.526210501379</v>
      </c>
      <c r="T45" s="35"/>
      <c r="U45" s="35"/>
      <c r="V45" s="19"/>
      <c r="W45" s="20"/>
    </row>
    <row r="46" spans="1:23" ht="15.5" thickBot="1" x14ac:dyDescent="0.9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39"/>
      <c r="O46" s="40"/>
      <c r="P46" s="40"/>
      <c r="Q46" s="42" t="s">
        <v>14</v>
      </c>
      <c r="R46" s="170">
        <f ca="1">S45</f>
        <v>-23775.526210501379</v>
      </c>
      <c r="S46" s="171"/>
      <c r="T46" s="19"/>
      <c r="U46" s="19"/>
      <c r="V46" s="19"/>
      <c r="W46" s="20"/>
    </row>
    <row r="47" spans="1:23" ht="15.5" thickBot="1" x14ac:dyDescent="0.9">
      <c r="A47" s="23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19"/>
      <c r="O47" s="19"/>
      <c r="P47" s="19"/>
      <c r="Q47" s="19"/>
      <c r="R47" s="19"/>
      <c r="S47" s="19"/>
      <c r="T47" s="19"/>
      <c r="U47" s="19"/>
      <c r="V47" s="24"/>
      <c r="W47" s="25"/>
    </row>
    <row r="48" spans="1:23" x14ac:dyDescent="0.75">
      <c r="A48" s="30" t="s">
        <v>18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48" t="s">
        <v>48</v>
      </c>
      <c r="O48" s="115">
        <v>0.2</v>
      </c>
      <c r="P48" s="117">
        <f>500/O48</f>
        <v>2500</v>
      </c>
      <c r="Q48" s="31"/>
      <c r="R48" s="31"/>
      <c r="S48" s="31"/>
      <c r="T48" s="31"/>
      <c r="U48" s="33"/>
      <c r="V48" s="19"/>
      <c r="W48" s="20"/>
    </row>
    <row r="49" spans="1:23" x14ac:dyDescent="0.75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73" t="s">
        <v>49</v>
      </c>
      <c r="O49" s="116">
        <v>0.1</v>
      </c>
      <c r="P49" s="118">
        <f>250/O49</f>
        <v>2500</v>
      </c>
      <c r="Q49" s="35"/>
      <c r="R49" s="35"/>
      <c r="S49" s="35"/>
      <c r="T49" s="35"/>
      <c r="U49" s="36"/>
      <c r="V49" s="19"/>
      <c r="W49" s="20"/>
    </row>
    <row r="50" spans="1:23" ht="15.5" thickBot="1" x14ac:dyDescent="0.9">
      <c r="A50" s="158" t="s">
        <v>28</v>
      </c>
      <c r="B50" s="159"/>
      <c r="C50" s="159"/>
      <c r="D50" s="159"/>
      <c r="E50" s="159"/>
      <c r="F50" s="159"/>
      <c r="G50" s="159"/>
      <c r="H50" s="159"/>
      <c r="I50" s="21"/>
      <c r="J50" s="21"/>
      <c r="K50" s="21"/>
      <c r="L50" s="19"/>
      <c r="M50" s="19"/>
      <c r="N50" s="73" t="s">
        <v>50</v>
      </c>
      <c r="O50" s="116">
        <v>0.04</v>
      </c>
      <c r="P50" s="35"/>
      <c r="Q50" s="35"/>
      <c r="R50" s="35"/>
      <c r="S50" s="35"/>
      <c r="T50" s="35"/>
      <c r="U50" s="36"/>
      <c r="V50" s="19"/>
      <c r="W50" s="20"/>
    </row>
    <row r="51" spans="1:23" ht="15.5" thickBot="1" x14ac:dyDescent="0.9">
      <c r="A51" s="158" t="s">
        <v>19</v>
      </c>
      <c r="B51" s="159"/>
      <c r="C51" s="159"/>
      <c r="D51" s="159"/>
      <c r="E51" s="159"/>
      <c r="F51" s="159"/>
      <c r="G51" s="159"/>
      <c r="H51" s="159"/>
      <c r="I51" s="21"/>
      <c r="J51" s="21"/>
      <c r="K51" s="21"/>
      <c r="L51" s="19"/>
      <c r="M51" s="19"/>
      <c r="N51" s="39" t="s">
        <v>51</v>
      </c>
      <c r="O51" s="116">
        <v>1.6899999999999998E-2</v>
      </c>
      <c r="P51" s="40"/>
      <c r="Q51" s="41"/>
      <c r="R51" s="41"/>
      <c r="S51" s="42" t="s">
        <v>25</v>
      </c>
      <c r="T51" s="164">
        <f>P49</f>
        <v>2500</v>
      </c>
      <c r="U51" s="165"/>
      <c r="V51" s="19"/>
      <c r="W51" s="20"/>
    </row>
    <row r="52" spans="1:23" x14ac:dyDescent="0.75">
      <c r="A52" s="158" t="s">
        <v>20</v>
      </c>
      <c r="B52" s="159"/>
      <c r="C52" s="159"/>
      <c r="D52" s="159"/>
      <c r="E52" s="159"/>
      <c r="F52" s="159"/>
      <c r="G52" s="159"/>
      <c r="H52" s="159"/>
      <c r="I52" s="21"/>
      <c r="J52" s="21"/>
      <c r="K52" s="21"/>
      <c r="L52" s="19"/>
      <c r="M52" s="19"/>
      <c r="N52" s="146"/>
      <c r="O52" s="121" t="s">
        <v>75</v>
      </c>
      <c r="P52" s="121" t="s">
        <v>52</v>
      </c>
      <c r="Q52" s="121" t="s">
        <v>53</v>
      </c>
      <c r="S52" s="139"/>
      <c r="T52" s="77"/>
      <c r="U52" s="78"/>
      <c r="V52" s="19"/>
      <c r="W52" s="20"/>
    </row>
    <row r="53" spans="1:23" x14ac:dyDescent="0.75">
      <c r="A53" s="158" t="s">
        <v>39</v>
      </c>
      <c r="B53" s="159"/>
      <c r="C53" s="159"/>
      <c r="D53" s="159"/>
      <c r="E53" s="159"/>
      <c r="F53" s="159"/>
      <c r="G53" s="159"/>
      <c r="H53" s="159"/>
      <c r="I53" s="21"/>
      <c r="J53" s="21"/>
      <c r="K53" s="21"/>
      <c r="L53" s="19"/>
      <c r="M53" s="19"/>
      <c r="N53" s="147" t="s">
        <v>54</v>
      </c>
      <c r="O53" s="19">
        <f>7200/500</f>
        <v>14.4</v>
      </c>
      <c r="P53" s="119">
        <v>500</v>
      </c>
      <c r="Q53" s="118">
        <v>200</v>
      </c>
      <c r="U53" s="72"/>
      <c r="V53" s="19"/>
      <c r="W53" s="20"/>
    </row>
    <row r="54" spans="1:23" x14ac:dyDescent="0.75">
      <c r="A54" s="158" t="s">
        <v>21</v>
      </c>
      <c r="B54" s="159"/>
      <c r="C54" s="159"/>
      <c r="D54" s="159"/>
      <c r="E54" s="159"/>
      <c r="F54" s="159"/>
      <c r="G54" s="159"/>
      <c r="H54" s="159"/>
      <c r="I54" s="21"/>
      <c r="J54" s="21"/>
      <c r="K54" s="21"/>
      <c r="L54" s="19"/>
      <c r="M54" s="19"/>
      <c r="N54" s="148" t="s">
        <v>55</v>
      </c>
      <c r="O54" s="19">
        <f>3600/250</f>
        <v>14.4</v>
      </c>
      <c r="P54" s="119">
        <v>250</v>
      </c>
      <c r="Q54" s="119">
        <v>100</v>
      </c>
      <c r="S54" s="79"/>
      <c r="T54" s="79"/>
      <c r="U54" s="81"/>
      <c r="V54" s="19"/>
      <c r="W54" s="20"/>
    </row>
    <row r="55" spans="1:23" x14ac:dyDescent="0.75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48" t="s">
        <v>56</v>
      </c>
      <c r="O55" s="19"/>
      <c r="P55" s="119">
        <v>2500</v>
      </c>
      <c r="Q55" s="119">
        <v>1000</v>
      </c>
      <c r="S55" s="79"/>
      <c r="T55" s="79"/>
      <c r="U55" s="81"/>
      <c r="V55" s="19"/>
      <c r="W55" s="20"/>
    </row>
    <row r="56" spans="1:23" x14ac:dyDescent="0.75">
      <c r="A56" s="158" t="s">
        <v>26</v>
      </c>
      <c r="B56" s="159"/>
      <c r="C56" s="159"/>
      <c r="D56" s="159"/>
      <c r="E56" s="159"/>
      <c r="F56" s="159"/>
      <c r="G56" s="159"/>
      <c r="H56" s="159"/>
      <c r="I56" s="19"/>
      <c r="J56" s="19"/>
      <c r="K56" s="19"/>
      <c r="L56" s="19"/>
      <c r="M56" s="19"/>
      <c r="N56" s="138"/>
      <c r="U56" s="150"/>
      <c r="V56" s="19"/>
      <c r="W56" s="20"/>
    </row>
    <row r="57" spans="1:23" x14ac:dyDescent="0.75">
      <c r="A57" s="158" t="s">
        <v>29</v>
      </c>
      <c r="B57" s="159"/>
      <c r="C57" s="159"/>
      <c r="D57" s="159"/>
      <c r="E57" s="159"/>
      <c r="F57" s="159"/>
      <c r="G57" s="159"/>
      <c r="H57" s="159"/>
      <c r="I57" s="19"/>
      <c r="J57" s="19"/>
      <c r="K57" s="19"/>
      <c r="L57" s="19"/>
      <c r="M57" s="19"/>
      <c r="N57" s="149" t="s">
        <v>7</v>
      </c>
      <c r="O57" s="127" t="s">
        <v>60</v>
      </c>
      <c r="P57" s="127" t="s">
        <v>57</v>
      </c>
      <c r="Q57" s="100" t="s">
        <v>57</v>
      </c>
      <c r="R57" s="1" t="s">
        <v>9</v>
      </c>
      <c r="S57" s="151" t="s">
        <v>60</v>
      </c>
      <c r="T57" s="1" t="s">
        <v>74</v>
      </c>
      <c r="U57" s="144" t="s">
        <v>72</v>
      </c>
      <c r="V57" s="19"/>
      <c r="W57" s="20"/>
    </row>
    <row r="58" spans="1:23" ht="15" customHeight="1" x14ac:dyDescent="0.75">
      <c r="A58" s="158" t="s">
        <v>40</v>
      </c>
      <c r="B58" s="159"/>
      <c r="C58" s="159"/>
      <c r="D58" s="159"/>
      <c r="E58" s="159"/>
      <c r="F58" s="159"/>
      <c r="G58" s="159"/>
      <c r="H58" s="159"/>
      <c r="I58" s="19"/>
      <c r="J58" s="19"/>
      <c r="K58" s="19"/>
      <c r="L58" s="19"/>
      <c r="M58" s="19"/>
      <c r="N58" s="137">
        <v>0.04</v>
      </c>
      <c r="O58" s="79">
        <v>14</v>
      </c>
      <c r="P58" s="120">
        <f>SUM(P53:P55)</f>
        <v>3250</v>
      </c>
      <c r="Q58" s="79"/>
      <c r="R58" s="140">
        <f>FV(N58,O58,-1)</f>
        <v>18.291911190070113</v>
      </c>
      <c r="T58" s="141"/>
      <c r="U58" s="145">
        <f>P58*R58</f>
        <v>59448.711367727868</v>
      </c>
      <c r="V58" s="19"/>
      <c r="W58" s="20"/>
    </row>
    <row r="59" spans="1:23" ht="16" x14ac:dyDescent="0.8">
      <c r="A59" s="158"/>
      <c r="B59" s="159"/>
      <c r="C59" s="159"/>
      <c r="D59" s="159"/>
      <c r="E59" s="159"/>
      <c r="F59" s="159"/>
      <c r="G59" s="159"/>
      <c r="H59" s="159"/>
      <c r="I59" s="19"/>
      <c r="J59" s="19"/>
      <c r="K59" s="19"/>
      <c r="L59" s="19"/>
      <c r="M59" s="19"/>
      <c r="N59" s="138"/>
      <c r="O59" s="143"/>
      <c r="P59" s="119"/>
      <c r="Q59" s="119">
        <f>SUM(Q53:Q55)</f>
        <v>1300</v>
      </c>
      <c r="R59" s="142"/>
      <c r="T59" s="84"/>
      <c r="U59" s="145">
        <f>U58*FV(N58,1,,-1)+Q59</f>
        <v>63126.659822436988</v>
      </c>
      <c r="V59" s="19"/>
      <c r="W59" s="20"/>
    </row>
    <row r="60" spans="1:23" x14ac:dyDescent="0.75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22"/>
      <c r="U60" s="150"/>
      <c r="V60" s="19"/>
      <c r="W60" s="20"/>
    </row>
    <row r="61" spans="1:23" ht="15.5" thickBot="1" x14ac:dyDescent="0.9">
      <c r="A61" s="1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73"/>
      <c r="O61" s="79"/>
      <c r="P61" s="79"/>
      <c r="Q61" s="79"/>
      <c r="R61" s="79"/>
      <c r="S61" s="79"/>
      <c r="T61" s="79"/>
      <c r="U61" s="81"/>
      <c r="V61" s="19"/>
      <c r="W61" s="56"/>
    </row>
    <row r="62" spans="1:23" ht="15.5" thickBot="1" x14ac:dyDescent="0.9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39"/>
      <c r="O62" s="40"/>
      <c r="P62" s="40"/>
      <c r="Q62" s="41"/>
      <c r="R62" s="41"/>
      <c r="S62" s="42" t="s">
        <v>27</v>
      </c>
      <c r="T62" s="164">
        <f>U59*FV(N58,4,,-1)</f>
        <v>73849.263357486008</v>
      </c>
      <c r="U62" s="165"/>
      <c r="V62" s="19"/>
      <c r="W62" s="20"/>
    </row>
    <row r="63" spans="1:23" x14ac:dyDescent="0.7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73"/>
      <c r="O63" s="70"/>
      <c r="P63" s="70"/>
      <c r="Q63" s="70"/>
      <c r="R63" s="70"/>
      <c r="S63" s="80"/>
      <c r="T63" s="80"/>
      <c r="U63" s="72"/>
      <c r="V63" s="19"/>
      <c r="W63" s="20"/>
    </row>
    <row r="64" spans="1:23" ht="15.75" customHeight="1" x14ac:dyDescent="0.7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22" t="s">
        <v>58</v>
      </c>
      <c r="P64" s="123">
        <v>1.6899999999999998E-2</v>
      </c>
      <c r="Q64" s="70"/>
      <c r="R64" s="70"/>
      <c r="S64" s="80"/>
      <c r="T64" s="80"/>
      <c r="U64" s="72"/>
      <c r="V64" s="19"/>
      <c r="W64" s="20"/>
    </row>
    <row r="65" spans="1:23" ht="15.75" customHeight="1" x14ac:dyDescent="0.8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22" t="s">
        <v>73</v>
      </c>
      <c r="O65" s="85"/>
      <c r="P65" s="125">
        <f>PV(P64,18,0,-1)*T62</f>
        <v>54618.241775818075</v>
      </c>
      <c r="Q65" s="70"/>
      <c r="R65" s="70"/>
      <c r="S65" s="80"/>
      <c r="T65" s="80"/>
      <c r="U65" s="72"/>
      <c r="V65" s="19"/>
      <c r="W65" s="20"/>
    </row>
    <row r="66" spans="1:23" ht="15.5" thickBot="1" x14ac:dyDescent="0.9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22" t="s">
        <v>59</v>
      </c>
      <c r="P66" s="124">
        <v>0.1</v>
      </c>
      <c r="Q66" s="70"/>
      <c r="R66" s="70"/>
      <c r="S66" s="80"/>
      <c r="T66" s="80"/>
      <c r="U66" s="72"/>
      <c r="V66" s="19"/>
      <c r="W66" s="56"/>
    </row>
    <row r="67" spans="1:23" ht="15.5" thickBot="1" x14ac:dyDescent="0.9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39"/>
      <c r="O67" s="40"/>
      <c r="P67" s="40"/>
      <c r="Q67" s="41"/>
      <c r="R67" s="41"/>
      <c r="S67" s="42" t="s">
        <v>30</v>
      </c>
      <c r="T67" s="164">
        <f>P65/P66</f>
        <v>546182.41775818076</v>
      </c>
      <c r="U67" s="165"/>
      <c r="V67" s="19"/>
      <c r="W67" s="20"/>
    </row>
    <row r="68" spans="1:23" x14ac:dyDescent="0.7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20"/>
    </row>
    <row r="69" spans="1:23" ht="15.5" thickBot="1" x14ac:dyDescent="0.9">
      <c r="A69" s="166" t="s">
        <v>23</v>
      </c>
      <c r="B69" s="16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26"/>
    </row>
    <row r="70" spans="1:23" x14ac:dyDescent="0.75">
      <c r="A70" s="43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75" t="s">
        <v>60</v>
      </c>
      <c r="O70" s="76">
        <f>10*2</f>
        <v>20</v>
      </c>
      <c r="P70" s="32"/>
      <c r="Q70" s="76"/>
      <c r="R70" s="76"/>
      <c r="S70" s="76"/>
      <c r="T70" s="76"/>
      <c r="U70" s="86"/>
      <c r="V70" s="19"/>
      <c r="W70" s="20"/>
    </row>
    <row r="71" spans="1:23" ht="15" customHeight="1" thickBot="1" x14ac:dyDescent="0.9">
      <c r="A71" s="152" t="s">
        <v>35</v>
      </c>
      <c r="B71" s="153"/>
      <c r="C71" s="153"/>
      <c r="D71" s="153"/>
      <c r="E71" s="153"/>
      <c r="F71" s="153"/>
      <c r="G71" s="153"/>
      <c r="H71" s="153"/>
      <c r="I71" s="97"/>
      <c r="J71" s="97"/>
      <c r="K71" s="97"/>
      <c r="L71" s="19"/>
      <c r="M71" s="19"/>
      <c r="N71" s="73" t="s">
        <v>61</v>
      </c>
      <c r="O71" s="114">
        <v>0.05</v>
      </c>
      <c r="P71" s="74"/>
      <c r="Q71" s="70"/>
      <c r="R71" s="82"/>
      <c r="S71" s="70"/>
      <c r="T71" s="87"/>
      <c r="U71" s="72"/>
      <c r="V71" s="19"/>
      <c r="W71" s="20"/>
    </row>
    <row r="72" spans="1:23" x14ac:dyDescent="0.75">
      <c r="A72" s="152"/>
      <c r="B72" s="153"/>
      <c r="C72" s="153"/>
      <c r="D72" s="153"/>
      <c r="E72" s="153"/>
      <c r="F72" s="153"/>
      <c r="G72" s="153"/>
      <c r="H72" s="153"/>
      <c r="I72" s="97"/>
      <c r="J72" s="97"/>
      <c r="K72" s="97"/>
      <c r="L72" s="19"/>
      <c r="M72" s="19"/>
      <c r="N72" s="73" t="s">
        <v>62</v>
      </c>
      <c r="O72" s="70">
        <v>2</v>
      </c>
      <c r="P72" s="70"/>
      <c r="R72" s="126" t="s">
        <v>8</v>
      </c>
      <c r="S72" s="127" t="s">
        <v>9</v>
      </c>
      <c r="T72" s="8" t="s">
        <v>34</v>
      </c>
      <c r="U72" s="71"/>
      <c r="V72" s="19"/>
      <c r="W72" s="20"/>
    </row>
    <row r="73" spans="1:23" x14ac:dyDescent="0.75">
      <c r="A73" s="152"/>
      <c r="B73" s="153"/>
      <c r="C73" s="153"/>
      <c r="D73" s="153"/>
      <c r="E73" s="153"/>
      <c r="F73" s="153"/>
      <c r="G73" s="153"/>
      <c r="H73" s="153"/>
      <c r="I73" s="97"/>
      <c r="J73" s="97"/>
      <c r="K73" s="97"/>
      <c r="L73" s="19"/>
      <c r="M73" s="19"/>
      <c r="N73" s="73" t="s">
        <v>63</v>
      </c>
      <c r="O73" s="70">
        <v>1500</v>
      </c>
      <c r="P73" s="70"/>
      <c r="R73" s="118">
        <f>O73</f>
        <v>1500</v>
      </c>
      <c r="S73" s="128">
        <f>PV(O76,O70,0,-1)</f>
        <v>0.34272896332894381</v>
      </c>
      <c r="T73" s="129">
        <f>R73*S73</f>
        <v>514.09344499341569</v>
      </c>
      <c r="U73" s="72"/>
      <c r="V73" s="19"/>
      <c r="W73" s="20"/>
    </row>
    <row r="74" spans="1:23" x14ac:dyDescent="0.7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73" t="s">
        <v>64</v>
      </c>
      <c r="O74" s="70">
        <f>(O73* O71)/O72</f>
        <v>37.5</v>
      </c>
      <c r="P74" s="70"/>
      <c r="R74" s="118">
        <f>O74</f>
        <v>37.5</v>
      </c>
      <c r="S74" s="128">
        <f>PV(O76,O70,-1)</f>
        <v>11.950382484928307</v>
      </c>
      <c r="T74" s="130">
        <f>R74*S74</f>
        <v>448.13934318481148</v>
      </c>
      <c r="U74" s="89"/>
      <c r="V74" s="19"/>
      <c r="W74" s="20"/>
    </row>
    <row r="75" spans="1:23" x14ac:dyDescent="0.75">
      <c r="A75" s="154" t="s">
        <v>22</v>
      </c>
      <c r="B75" s="155"/>
      <c r="C75" s="155"/>
      <c r="D75" s="155"/>
      <c r="E75" s="155"/>
      <c r="F75" s="155"/>
      <c r="G75" s="155"/>
      <c r="H75" s="155"/>
      <c r="I75" s="98"/>
      <c r="J75" s="98"/>
      <c r="K75" s="98"/>
      <c r="L75" s="19"/>
      <c r="M75" s="19"/>
      <c r="N75" s="73" t="s">
        <v>65</v>
      </c>
      <c r="O75" s="114">
        <v>0.11</v>
      </c>
      <c r="P75" s="82"/>
      <c r="Q75" s="70"/>
      <c r="R75" s="70"/>
      <c r="S75" s="80"/>
      <c r="T75" s="80"/>
      <c r="U75" s="72"/>
      <c r="V75" s="19"/>
      <c r="W75" s="20"/>
    </row>
    <row r="76" spans="1:23" ht="15.5" thickBot="1" x14ac:dyDescent="0.9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34" t="s">
        <v>66</v>
      </c>
      <c r="O76" s="114">
        <f>(1+O75/2)^(2/O72)-1</f>
        <v>5.4999999999999938E-2</v>
      </c>
      <c r="P76" s="35"/>
      <c r="Q76" s="35"/>
      <c r="R76" s="35"/>
      <c r="S76" s="35"/>
      <c r="T76" s="35"/>
      <c r="U76" s="36"/>
      <c r="V76" s="19"/>
      <c r="W76" s="20"/>
    </row>
    <row r="77" spans="1:23" ht="15.5" thickBot="1" x14ac:dyDescent="0.9">
      <c r="A77" s="168" t="s">
        <v>24</v>
      </c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9"/>
      <c r="M77" s="19"/>
      <c r="N77" s="39"/>
      <c r="O77" s="40"/>
      <c r="P77" s="40"/>
      <c r="Q77" s="41"/>
      <c r="R77" s="41"/>
      <c r="S77" s="42" t="s">
        <v>31</v>
      </c>
      <c r="T77" s="164">
        <f>T73+T74</f>
        <v>962.23278817822711</v>
      </c>
      <c r="U77" s="165"/>
      <c r="V77" s="19"/>
      <c r="W77" s="20"/>
    </row>
    <row r="78" spans="1:23" ht="15" customHeight="1" x14ac:dyDescent="0.75">
      <c r="A78" s="156" t="s">
        <v>36</v>
      </c>
      <c r="B78" s="157"/>
      <c r="C78" s="157"/>
      <c r="D78" s="157"/>
      <c r="E78" s="157"/>
      <c r="F78" s="157"/>
      <c r="G78" s="157"/>
      <c r="H78" s="157"/>
      <c r="I78" s="99"/>
      <c r="J78" s="99"/>
      <c r="K78" s="9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20"/>
    </row>
    <row r="79" spans="1:23" x14ac:dyDescent="0.75">
      <c r="A79" s="156"/>
      <c r="B79" s="157"/>
      <c r="C79" s="157"/>
      <c r="D79" s="157"/>
      <c r="E79" s="157"/>
      <c r="F79" s="157"/>
      <c r="G79" s="157"/>
      <c r="H79" s="157"/>
      <c r="I79" s="99"/>
      <c r="J79" s="99"/>
      <c r="K79" s="9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20"/>
    </row>
    <row r="80" spans="1:23" x14ac:dyDescent="0.75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20"/>
    </row>
    <row r="81" spans="1:23" ht="15.5" thickBot="1" x14ac:dyDescent="0.9">
      <c r="A81" s="52"/>
      <c r="B81" s="35"/>
      <c r="C81" s="50"/>
      <c r="D81" s="35"/>
      <c r="E81" s="35"/>
      <c r="F81" s="35"/>
      <c r="G81" s="35"/>
      <c r="H81" s="35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20"/>
    </row>
    <row r="82" spans="1:23" x14ac:dyDescent="0.75">
      <c r="A82" s="18"/>
      <c r="B82" s="19"/>
      <c r="C82" s="19"/>
      <c r="D82" s="19"/>
      <c r="E82" s="19"/>
      <c r="F82" s="19"/>
      <c r="G82" s="19"/>
      <c r="H82" s="75" t="s">
        <v>67</v>
      </c>
      <c r="I82" s="117">
        <v>600</v>
      </c>
      <c r="J82" s="76"/>
      <c r="K82" s="76"/>
      <c r="L82" s="90"/>
      <c r="M82" s="90"/>
      <c r="N82" s="76"/>
      <c r="O82" s="91"/>
      <c r="P82" s="90"/>
      <c r="Q82" s="90"/>
      <c r="R82" s="90"/>
      <c r="S82" s="76"/>
      <c r="T82" s="91"/>
      <c r="U82" s="92"/>
      <c r="V82" s="19"/>
      <c r="W82" s="20"/>
    </row>
    <row r="83" spans="1:23" x14ac:dyDescent="0.75">
      <c r="A83" s="18"/>
      <c r="B83" s="19"/>
      <c r="C83" s="19"/>
      <c r="D83" s="19"/>
      <c r="E83" s="19"/>
      <c r="F83" s="19"/>
      <c r="G83" s="19"/>
      <c r="H83" s="73" t="s">
        <v>7</v>
      </c>
      <c r="I83" s="114">
        <v>0.09</v>
      </c>
      <c r="J83" s="70"/>
      <c r="K83" s="132" t="s">
        <v>70</v>
      </c>
      <c r="L83" s="133"/>
      <c r="M83" s="134" t="s">
        <v>8</v>
      </c>
      <c r="N83" s="132" t="s">
        <v>71</v>
      </c>
      <c r="O83" s="69"/>
      <c r="P83" s="93"/>
      <c r="Q83" s="82"/>
      <c r="R83" s="88"/>
      <c r="S83" s="70"/>
      <c r="T83" s="69"/>
      <c r="U83" s="83"/>
      <c r="V83" s="19"/>
      <c r="W83" s="20"/>
    </row>
    <row r="84" spans="1:23" x14ac:dyDescent="0.75">
      <c r="A84" s="18"/>
      <c r="B84" s="19"/>
      <c r="C84" s="19"/>
      <c r="D84" s="19"/>
      <c r="E84" s="19"/>
      <c r="F84" s="19"/>
      <c r="G84" s="35"/>
      <c r="H84" s="73" t="s">
        <v>62</v>
      </c>
      <c r="I84" s="70">
        <v>2</v>
      </c>
      <c r="J84" s="70"/>
      <c r="K84" s="70" t="s">
        <v>68</v>
      </c>
      <c r="L84" s="131">
        <v>8.0500000000000002E-2</v>
      </c>
      <c r="M84" s="135">
        <f>I86*PV(L84,I85,0,-1)+I87*PV(L84,I85,-1)-I82</f>
        <v>1.6039728862979246</v>
      </c>
      <c r="N84" s="70"/>
      <c r="O84" s="70"/>
      <c r="P84" s="93"/>
      <c r="Q84" s="82"/>
      <c r="R84" s="70"/>
      <c r="S84" s="70"/>
      <c r="T84" s="70"/>
      <c r="U84" s="83"/>
      <c r="V84" s="19"/>
      <c r="W84" s="20"/>
    </row>
    <row r="85" spans="1:23" x14ac:dyDescent="0.75">
      <c r="A85" s="18"/>
      <c r="B85" s="19"/>
      <c r="C85" s="19"/>
      <c r="D85" s="19"/>
      <c r="E85" s="19"/>
      <c r="F85" s="19"/>
      <c r="G85" s="35"/>
      <c r="H85" s="73" t="s">
        <v>60</v>
      </c>
      <c r="I85" s="70">
        <f>9*I84</f>
        <v>18</v>
      </c>
      <c r="J85" s="70"/>
      <c r="K85" s="88" t="s">
        <v>69</v>
      </c>
      <c r="L85" s="131">
        <v>8.1000000000000003E-2</v>
      </c>
      <c r="M85" s="135">
        <f>I86*PV(L85,I85,0,-1)+I87*PV(L85,I85,-1)-I82</f>
        <v>-1.5541302654057745</v>
      </c>
      <c r="N85" s="136">
        <f>L84+(M84/(M84-M85))*(L85-L84)</f>
        <v>8.0753945613751196E-2</v>
      </c>
      <c r="O85" s="70"/>
      <c r="P85" s="93"/>
      <c r="Q85" s="82"/>
      <c r="R85" s="70"/>
      <c r="S85" s="70"/>
      <c r="T85" s="70"/>
      <c r="U85" s="83"/>
      <c r="V85" s="19"/>
      <c r="W85" s="20"/>
    </row>
    <row r="86" spans="1:23" x14ac:dyDescent="0.75">
      <c r="A86" s="18"/>
      <c r="B86" s="19"/>
      <c r="C86" s="19"/>
      <c r="D86" s="19"/>
      <c r="E86" s="19"/>
      <c r="F86" s="19"/>
      <c r="G86" s="35"/>
      <c r="H86" s="73" t="s">
        <v>63</v>
      </c>
      <c r="I86" s="118">
        <v>900</v>
      </c>
      <c r="J86" s="70"/>
      <c r="K86" s="70"/>
      <c r="L86" s="82"/>
      <c r="M86" s="70"/>
      <c r="N86" s="82"/>
      <c r="O86" s="82"/>
      <c r="P86" s="82"/>
      <c r="Q86" s="82"/>
      <c r="R86" s="70"/>
      <c r="S86" s="82"/>
      <c r="T86" s="82"/>
      <c r="U86" s="94"/>
      <c r="V86" s="19"/>
      <c r="W86" s="20"/>
    </row>
    <row r="87" spans="1:23" ht="15.5" thickBot="1" x14ac:dyDescent="0.9">
      <c r="A87" s="18"/>
      <c r="B87" s="19"/>
      <c r="C87" s="35"/>
      <c r="D87" s="49"/>
      <c r="E87" s="35"/>
      <c r="F87" s="35"/>
      <c r="G87" s="35"/>
      <c r="H87" s="73" t="s">
        <v>64</v>
      </c>
      <c r="I87" s="119">
        <f>(I86*I83)/I84</f>
        <v>40.5</v>
      </c>
      <c r="J87" s="82"/>
      <c r="K87" s="82"/>
      <c r="L87" s="82"/>
      <c r="M87" s="70"/>
      <c r="N87" s="88"/>
      <c r="O87" s="82"/>
      <c r="P87" s="82"/>
      <c r="Q87" s="82"/>
      <c r="R87" s="82"/>
      <c r="S87" s="82"/>
      <c r="T87" s="82"/>
      <c r="U87" s="94"/>
      <c r="V87" s="19"/>
      <c r="W87" s="20"/>
    </row>
    <row r="88" spans="1:23" ht="15.5" thickBot="1" x14ac:dyDescent="0.9">
      <c r="A88" s="18"/>
      <c r="B88" s="19"/>
      <c r="C88" s="35"/>
      <c r="D88" s="49"/>
      <c r="E88" s="35"/>
      <c r="F88" s="35"/>
      <c r="G88" s="35"/>
      <c r="H88" s="51"/>
      <c r="I88" s="41"/>
      <c r="J88" s="41"/>
      <c r="K88" s="41"/>
      <c r="L88" s="41"/>
      <c r="M88" s="40"/>
      <c r="N88" s="95"/>
      <c r="O88" s="41"/>
      <c r="P88" s="41"/>
      <c r="Q88" s="41"/>
      <c r="R88" s="41"/>
      <c r="S88" s="42" t="s">
        <v>32</v>
      </c>
      <c r="T88" s="160">
        <f>(1+N85)^2-1</f>
        <v>0.1680290909596911</v>
      </c>
      <c r="U88" s="161"/>
      <c r="V88" s="19"/>
      <c r="W88" s="20"/>
    </row>
    <row r="89" spans="1:23" x14ac:dyDescent="0.75">
      <c r="A89" s="23"/>
      <c r="B89" s="24"/>
      <c r="C89" s="53"/>
      <c r="D89" s="54"/>
      <c r="E89" s="53"/>
      <c r="F89" s="53"/>
      <c r="G89" s="53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5"/>
    </row>
    <row r="90" spans="1:23" x14ac:dyDescent="0.75">
      <c r="F90" s="35"/>
      <c r="G90" s="35"/>
      <c r="H90" s="35"/>
      <c r="I90" s="19"/>
      <c r="J90" s="19"/>
      <c r="K90" s="19"/>
      <c r="L90" s="19"/>
      <c r="M90" s="19"/>
      <c r="V90" s="19"/>
      <c r="W90" s="19"/>
    </row>
    <row r="91" spans="1:23" x14ac:dyDescent="0.75">
      <c r="F91" s="35"/>
      <c r="G91" s="35"/>
      <c r="H91" s="35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 spans="1:23" x14ac:dyDescent="0.75">
      <c r="F92" s="35"/>
      <c r="G92" s="35"/>
      <c r="H92" s="35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 spans="1:23" x14ac:dyDescent="0.75">
      <c r="F93" s="19"/>
      <c r="G93" s="19"/>
      <c r="H93" s="19"/>
      <c r="I93" s="19"/>
      <c r="J93" s="19"/>
    </row>
    <row r="94" spans="1:23" x14ac:dyDescent="0.75">
      <c r="A94" s="19"/>
      <c r="B94" s="19"/>
      <c r="C94" s="19"/>
      <c r="D94" s="19"/>
      <c r="E94" s="19"/>
      <c r="F94" s="19"/>
      <c r="G94" s="19"/>
      <c r="H94" s="19"/>
      <c r="I94" s="19"/>
      <c r="J94" s="19"/>
    </row>
    <row r="95" spans="1:23" x14ac:dyDescent="0.75">
      <c r="A95" s="19"/>
      <c r="B95" s="19"/>
      <c r="C95" s="19"/>
      <c r="D95" s="19"/>
      <c r="E95" s="19"/>
      <c r="F95" s="19"/>
      <c r="G95" s="19"/>
      <c r="H95" s="19"/>
      <c r="I95" s="19"/>
      <c r="J95" s="19"/>
    </row>
    <row r="96" spans="1:23" x14ac:dyDescent="0.75">
      <c r="A96" s="19"/>
      <c r="B96" s="19"/>
      <c r="C96" s="19"/>
      <c r="D96" s="19"/>
      <c r="E96" s="19"/>
      <c r="F96" s="19"/>
      <c r="G96" s="19"/>
      <c r="H96" s="19"/>
      <c r="I96" s="19"/>
      <c r="J96" s="19"/>
    </row>
  </sheetData>
  <mergeCells count="35">
    <mergeCell ref="B1:C1"/>
    <mergeCell ref="E1:F1"/>
    <mergeCell ref="H1:I1"/>
    <mergeCell ref="B2:C2"/>
    <mergeCell ref="E2:F2"/>
    <mergeCell ref="H2:I2"/>
    <mergeCell ref="A52:H52"/>
    <mergeCell ref="A53:H53"/>
    <mergeCell ref="B3:C3"/>
    <mergeCell ref="E3:F3"/>
    <mergeCell ref="H3:I3"/>
    <mergeCell ref="A7:H8"/>
    <mergeCell ref="A19:H20"/>
    <mergeCell ref="A32:H32"/>
    <mergeCell ref="A54:H54"/>
    <mergeCell ref="A56:H56"/>
    <mergeCell ref="T88:U88"/>
    <mergeCell ref="Q15:R15"/>
    <mergeCell ref="Q26:R26"/>
    <mergeCell ref="T51:U51"/>
    <mergeCell ref="T62:U62"/>
    <mergeCell ref="T67:U67"/>
    <mergeCell ref="A69:B69"/>
    <mergeCell ref="A77:K77"/>
    <mergeCell ref="T77:U77"/>
    <mergeCell ref="R46:S46"/>
    <mergeCell ref="A40:H42"/>
    <mergeCell ref="A35:H35"/>
    <mergeCell ref="A50:H50"/>
    <mergeCell ref="A51:H51"/>
    <mergeCell ref="A71:H73"/>
    <mergeCell ref="A75:H75"/>
    <mergeCell ref="A78:H79"/>
    <mergeCell ref="A57:H57"/>
    <mergeCell ref="A58:H59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2CC8-B6B4-4DD1-98C3-929523697697}">
  <dimension ref="A1"/>
  <sheetViews>
    <sheetView workbookViewId="0">
      <selection activeCell="G34" sqref="G34"/>
    </sheetView>
  </sheetViews>
  <sheetFormatPr defaultColWidth="10.90625"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648F-386D-474C-9EDB-E86C70E03CB5}">
  <dimension ref="A1:P1"/>
  <sheetViews>
    <sheetView workbookViewId="0">
      <selection activeCell="E20" sqref="E20"/>
    </sheetView>
  </sheetViews>
  <sheetFormatPr defaultColWidth="10.90625" defaultRowHeight="14.75" x14ac:dyDescent="0.75"/>
  <cols>
    <col min="1" max="1" width="12.1796875" bestFit="1" customWidth="1"/>
    <col min="2" max="2" width="17.1796875" customWidth="1"/>
    <col min="5" max="5" width="12.453125" bestFit="1" customWidth="1"/>
  </cols>
  <sheetData>
    <row r="1" spans="1:16" x14ac:dyDescent="0.75">
      <c r="A1" t="str">
        <f>Rep!G1</f>
        <v>Matricule:</v>
      </c>
      <c r="B1">
        <f>Rep!H1</f>
        <v>1949477</v>
      </c>
      <c r="C1">
        <f>Rep!H2</f>
        <v>2050874</v>
      </c>
      <c r="D1">
        <f>Rep!H3</f>
        <v>1947025</v>
      </c>
      <c r="H1" s="29">
        <f>Rep!S15</f>
        <v>5884.484354769299</v>
      </c>
      <c r="I1" s="29">
        <f ca="1">Rep!S26</f>
        <v>13131.056346860274</v>
      </c>
      <c r="J1" s="29">
        <f ca="1">Rep!S36</f>
        <v>24333.480190886366</v>
      </c>
      <c r="K1" s="29">
        <f ca="1">Rep!R46</f>
        <v>-23775.526210501379</v>
      </c>
      <c r="L1" s="29">
        <f>Rep!T51</f>
        <v>2500</v>
      </c>
      <c r="M1" s="29">
        <f>Rep!T62</f>
        <v>73849.263357486008</v>
      </c>
      <c r="N1" s="29">
        <f>Rep!T67</f>
        <v>546182.41775818076</v>
      </c>
      <c r="O1" s="29">
        <f>Rep!T77</f>
        <v>962.23278817822711</v>
      </c>
      <c r="P1" s="55">
        <f>Rep!T88</f>
        <v>0.1680290909596911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</vt:lpstr>
      <vt:lpstr>Données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Cassy Charles</cp:lastModifiedBy>
  <dcterms:created xsi:type="dcterms:W3CDTF">2021-02-04T14:53:40Z</dcterms:created>
  <dcterms:modified xsi:type="dcterms:W3CDTF">2021-05-28T15:26:06Z</dcterms:modified>
</cp:coreProperties>
</file>