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ssy\OneDrive\Desktop\Polytechnique Montreal\SSH3201\tp5\"/>
    </mc:Choice>
  </mc:AlternateContent>
  <xr:revisionPtr revIDLastSave="0" documentId="8_{00560B60-93BD-4AAB-BBD9-C1E1C6984C42}" xr6:coauthVersionLast="47" xr6:coauthVersionMax="47" xr10:uidLastSave="{00000000-0000-0000-0000-000000000000}"/>
  <bookViews>
    <workbookView xWindow="-90" yWindow="-90" windowWidth="19380" windowHeight="10980" activeTab="1" xr2:uid="{00000000-000D-0000-FFFF-FFFF00000000}"/>
  </bookViews>
  <sheets>
    <sheet name="Directives" sheetId="8" r:id="rId1"/>
    <sheet name="Énoncé" sheetId="6" r:id="rId2"/>
    <sheet name="Feuil1" sheetId="11" state="hidden"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7" i="6" l="1"/>
  <c r="V90" i="6"/>
  <c r="V87" i="6"/>
  <c r="V50" i="6"/>
  <c r="Q73" i="6"/>
  <c r="R73" i="6"/>
  <c r="S73" i="6"/>
  <c r="T73" i="6"/>
  <c r="U73" i="6"/>
  <c r="V73" i="6"/>
  <c r="P73" i="6"/>
  <c r="V72" i="6"/>
  <c r="U72" i="6"/>
  <c r="T72" i="6"/>
  <c r="S72" i="6"/>
  <c r="R72" i="6"/>
  <c r="Q72" i="6"/>
  <c r="P72" i="6"/>
  <c r="U67" i="6"/>
  <c r="U71" i="6" s="1"/>
  <c r="V67" i="6"/>
  <c r="V71" i="6" s="1"/>
  <c r="T67" i="6"/>
  <c r="Q71" i="6"/>
  <c r="R71" i="6"/>
  <c r="S71" i="6"/>
  <c r="T71" i="6"/>
  <c r="P71" i="6"/>
  <c r="P70" i="6"/>
  <c r="V65" i="6"/>
  <c r="U65" i="6"/>
  <c r="T65" i="6"/>
  <c r="S65" i="6"/>
  <c r="R65" i="6"/>
  <c r="Q65" i="6"/>
  <c r="P65" i="6"/>
  <c r="V33" i="6"/>
  <c r="U33" i="6"/>
  <c r="T33" i="6"/>
  <c r="S33" i="6"/>
  <c r="R33" i="6"/>
  <c r="Q33" i="6"/>
  <c r="P33" i="6"/>
  <c r="V28" i="6" l="1"/>
  <c r="U28" i="6"/>
  <c r="T28" i="6"/>
  <c r="S28" i="6"/>
  <c r="R28" i="6"/>
  <c r="Q28" i="6"/>
  <c r="P28" i="6"/>
  <c r="V93" i="6"/>
  <c r="U93" i="6"/>
  <c r="T93" i="6"/>
  <c r="S93" i="6"/>
  <c r="R93" i="6"/>
  <c r="Q93" i="6"/>
  <c r="P93" i="6"/>
  <c r="O93" i="6"/>
  <c r="V17" i="6"/>
  <c r="N78" i="6"/>
  <c r="V69" i="6"/>
  <c r="U69" i="6"/>
  <c r="T69" i="6"/>
  <c r="S69" i="6"/>
  <c r="R69" i="6"/>
  <c r="Q69" i="6"/>
  <c r="P69" i="6"/>
  <c r="V56" i="6"/>
  <c r="U56" i="6"/>
  <c r="T56" i="6"/>
  <c r="S56" i="6"/>
  <c r="R56" i="6"/>
  <c r="Q56" i="6"/>
  <c r="P56" i="6"/>
  <c r="O56" i="6"/>
  <c r="V47" i="6"/>
  <c r="V84" i="6" s="1"/>
  <c r="S41" i="6"/>
  <c r="S78" i="6" s="1"/>
  <c r="O39" i="6"/>
  <c r="O76" i="6" s="1"/>
  <c r="O38" i="6"/>
  <c r="O75" i="6" s="1"/>
  <c r="O92" i="6" s="1"/>
  <c r="O94" i="6" s="1"/>
  <c r="N41" i="6"/>
  <c r="L20" i="6"/>
  <c r="N10" i="6"/>
  <c r="M19" i="6" s="1"/>
  <c r="V44" i="6" s="1"/>
  <c r="V81" i="6" s="1"/>
  <c r="L7" i="6"/>
  <c r="L8" i="6" s="1"/>
  <c r="L13" i="6" s="1"/>
  <c r="N39" i="6" s="1"/>
  <c r="N76" i="6" l="1"/>
  <c r="O55" i="6"/>
  <c r="O57" i="6" s="1"/>
  <c r="Q32" i="6"/>
  <c r="Q70" i="6" s="1"/>
  <c r="V32" i="6"/>
  <c r="V70" i="6" s="1"/>
  <c r="U32" i="6"/>
  <c r="U70" i="6" s="1"/>
  <c r="T32" i="6"/>
  <c r="T70" i="6" s="1"/>
  <c r="T92" i="6" s="1"/>
  <c r="T94" i="6" s="1"/>
  <c r="R32" i="6"/>
  <c r="R70" i="6" s="1"/>
  <c r="S32" i="6"/>
  <c r="S70" i="6" s="1"/>
  <c r="N12" i="6"/>
  <c r="P32" i="6"/>
  <c r="U92" i="6"/>
  <c r="U94" i="6" s="1"/>
  <c r="L9" i="6"/>
  <c r="L14" i="6" s="1"/>
  <c r="L21" i="6" l="1"/>
  <c r="N40" i="6" s="1"/>
  <c r="M21" i="6"/>
  <c r="V46" i="6" l="1"/>
  <c r="V83" i="6" s="1"/>
  <c r="V68" i="6"/>
  <c r="N77" i="6"/>
  <c r="N92" i="6" s="1"/>
  <c r="N94" i="6" s="1"/>
  <c r="N55" i="6"/>
  <c r="N57" i="6" s="1"/>
  <c r="T8" i="6" l="1"/>
  <c r="V9" i="6" s="1"/>
  <c r="M20" i="6"/>
  <c r="V45" i="6" s="1"/>
  <c r="V82" i="6" s="1"/>
  <c r="L16" i="6"/>
  <c r="V20" i="6" s="1"/>
  <c r="V53" i="6" s="1"/>
  <c r="R64" i="6" l="1"/>
  <c r="R67" i="6" s="1"/>
  <c r="Q64" i="6"/>
  <c r="Q67" i="6" s="1"/>
  <c r="P64" i="6"/>
  <c r="P67" i="6" s="1"/>
  <c r="V64" i="6"/>
  <c r="U64" i="6"/>
  <c r="T64" i="6"/>
  <c r="S64" i="6"/>
  <c r="S67" i="6" s="1"/>
  <c r="T27" i="6"/>
  <c r="T30" i="6" s="1"/>
  <c r="S27" i="6"/>
  <c r="S30" i="6" s="1"/>
  <c r="R27" i="6"/>
  <c r="R30" i="6" s="1"/>
  <c r="U27" i="6"/>
  <c r="U30" i="6" s="1"/>
  <c r="Q27" i="6"/>
  <c r="Q30" i="6" s="1"/>
  <c r="P27" i="6"/>
  <c r="P30" i="6" s="1"/>
  <c r="V27" i="6"/>
  <c r="V30" i="6" s="1"/>
  <c r="V21" i="6"/>
  <c r="S92" i="6" l="1"/>
  <c r="S94" i="6" s="1"/>
  <c r="Q34" i="6"/>
  <c r="Q35" i="6" s="1"/>
  <c r="Q36" i="6" s="1"/>
  <c r="Q55" i="6" s="1"/>
  <c r="Q57" i="6" s="1"/>
  <c r="P92" i="6"/>
  <c r="P94" i="6" s="1"/>
  <c r="T34" i="6"/>
  <c r="T35" i="6" s="1"/>
  <c r="T36" i="6" s="1"/>
  <c r="T55" i="6" s="1"/>
  <c r="T57" i="6" s="1"/>
  <c r="P34" i="6"/>
  <c r="P35" i="6" s="1"/>
  <c r="P36" i="6"/>
  <c r="P55" i="6" s="1"/>
  <c r="P57" i="6" s="1"/>
  <c r="Q92" i="6"/>
  <c r="Q94" i="6" s="1"/>
  <c r="V34" i="6"/>
  <c r="V35" i="6" s="1"/>
  <c r="V36" i="6" s="1"/>
  <c r="U34" i="6"/>
  <c r="U35" i="6" s="1"/>
  <c r="U36" i="6" s="1"/>
  <c r="U55" i="6" s="1"/>
  <c r="U57" i="6" s="1"/>
  <c r="R34" i="6"/>
  <c r="R35" i="6" s="1"/>
  <c r="R36" i="6"/>
  <c r="R55" i="6" s="1"/>
  <c r="R57" i="6" s="1"/>
  <c r="S34" i="6"/>
  <c r="S35" i="6" s="1"/>
  <c r="S36" i="6"/>
  <c r="S55" i="6" s="1"/>
  <c r="S57" i="6" s="1"/>
  <c r="R92" i="6"/>
  <c r="R94" i="6" s="1"/>
  <c r="S18" i="6"/>
  <c r="L2" i="11"/>
  <c r="U21" i="6" l="1"/>
  <c r="U20" i="6"/>
  <c r="P2" i="11"/>
  <c r="V51" i="6" l="1"/>
  <c r="V88" i="6"/>
  <c r="V54" i="6"/>
  <c r="V91" i="6" s="1"/>
  <c r="V92" i="6" s="1"/>
  <c r="V94" i="6" s="1"/>
  <c r="L95" i="6" s="1"/>
  <c r="O2" i="11"/>
  <c r="V55" i="6" l="1"/>
  <c r="V57" i="6" s="1"/>
  <c r="L58" i="6" s="1"/>
  <c r="M97" i="6" s="1"/>
  <c r="M2" i="11"/>
  <c r="S2" i="11" l="1"/>
  <c r="N2" i="11"/>
  <c r="Q2" i="11" s="1"/>
  <c r="R2" i="11"/>
  <c r="I2" i="11" l="1"/>
  <c r="G2" i="11"/>
  <c r="F2" i="11"/>
  <c r="E2" i="11"/>
  <c r="D2" i="11"/>
  <c r="C2" i="11"/>
  <c r="H2" i="11" l="1"/>
  <c r="J2" i="11"/>
  <c r="K2" i="11" l="1"/>
</calcChain>
</file>

<file path=xl/sharedStrings.xml><?xml version="1.0" encoding="utf-8"?>
<sst xmlns="http://schemas.openxmlformats.org/spreadsheetml/2006/main" count="187" uniqueCount="141">
  <si>
    <t>NOM :</t>
  </si>
  <si>
    <t xml:space="preserve">Année </t>
  </si>
  <si>
    <t>Données</t>
  </si>
  <si>
    <t>Prén. :</t>
  </si>
  <si>
    <t>Matricule</t>
  </si>
  <si>
    <t>Gr.</t>
  </si>
  <si>
    <t>Ventes en unité</t>
  </si>
  <si>
    <t>a)</t>
  </si>
  <si>
    <t>Flux monétaires</t>
  </si>
  <si>
    <t>Flux monétaires nets d'exploitation</t>
  </si>
  <si>
    <t>Investissements</t>
  </si>
  <si>
    <t>Immeuble</t>
  </si>
  <si>
    <t>Terrain</t>
  </si>
  <si>
    <t>Valeurs de récupération</t>
  </si>
  <si>
    <t>Facteur d'actualisation</t>
  </si>
  <si>
    <t>Flux monétaires actualisés</t>
  </si>
  <si>
    <t>VAN</t>
  </si>
  <si>
    <t>d)</t>
  </si>
  <si>
    <t>Valeur de récupération</t>
  </si>
  <si>
    <t xml:space="preserve">Débours </t>
  </si>
  <si>
    <t xml:space="preserve">Travail à faire : </t>
  </si>
  <si>
    <t>DIRECTIVES IMPORTANTES</t>
  </si>
  <si>
    <t>Étapes du TP</t>
  </si>
  <si>
    <t>1- Télécharger sur votre ordinateur le fichier Excel</t>
  </si>
  <si>
    <t>3- Effectuer et compléter le TP</t>
  </si>
  <si>
    <t>3 points sur 20 sont donnés pour suivre la démarche parfaitement</t>
  </si>
  <si>
    <t>Amusez vous bien !!!!</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</si>
  <si>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</si>
  <si>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</si>
  <si>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</si>
  <si>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</si>
  <si>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 xml:space="preserve"> Effectuer vos calculs à l'aide d'Excel seulement, pas de calculatrice. Excel garde toutes les décimales même si elles ne sont pas montrées.</t>
  </si>
  <si>
    <t xml:space="preserve"> NE PAS MODIFIER LE FICHIER (ajouter des lignes ou des colonnes, fusionner, etc.).</t>
  </si>
  <si>
    <t xml:space="preserve"> Ne pas changer le format de la réponse.</t>
  </si>
  <si>
    <t xml:space="preserve"> Ne pas faire de copier/coller ou de couper/coller.</t>
  </si>
  <si>
    <t xml:space="preserve"> Vous pouvez utiliser la section « Notes personnelles non notées » pour mettre ce que vous voulez. Cette section ne sera pas corrigée.</t>
  </si>
  <si>
    <t>4- Déposer le dans la BONNE boite de dépôt.</t>
  </si>
  <si>
    <t xml:space="preserve"> Respecter les signes dans le tableau du calcul de la VAN</t>
  </si>
  <si>
    <t xml:space="preserve"> Mettre les réponses dans les cases en jaunes seulement</t>
  </si>
  <si>
    <t xml:space="preserve">  Il est possible que pour certaines questions il n'y ait pas de réponse. Dans ce cas, mettre 0 dans la cellule en jaune.</t>
  </si>
  <si>
    <t>Utiliser seulement une version d'Excel qui est installé sur un ordinateur pour éditer</t>
  </si>
  <si>
    <t>Été 2021</t>
  </si>
  <si>
    <t>Reponse</t>
  </si>
  <si>
    <t>Vous travaillez depuis maintenant 10 ans pour l’entreprise Cov inc. qui se spécialise en équipements de protection bactérienne. Voyant qu’il y a présentement une belle opportunité de marché Post covid-19, une idée a germé et vous aimeriez l’exploiter. Ces 3 derniers mois, elle a investi 27 500 $ en recherche et développement et vous êtes en train d’analyser les données d’analyse de marché que vous aviez commandée auprès d’une firme spécialisée. Cov inc. vient de recevoir la facture de 14 000 $ pour le travail effectué et elle a 30 jours pour faire le payement.</t>
  </si>
  <si>
    <t>Pour réaliser ce projet d'une durée de 8 ans, elle devra faire l’acquisition d’un nouvel immeuble avec terrain. Après plusieurs recherches, vous avez trouvé une usine à proximité de son usine principale. En regardant le compte de taxes, l’on constate que le terrain est évalué à 387 000 $ et que la bâtisse est évaluée à 258 000 $. Après plusieurs négociations, vous considérez que vous seriez capable d’en faire faire l’acquisition pour 834 000 $.</t>
  </si>
  <si>
    <t>À noter que des frais notariés de 11 250 $ et des droits de mutation de 19 350 $ devront également être déboursés pour conclure cette transaction.</t>
  </si>
  <si>
    <t>Lorsque l'aménagement de l'usine sera complété, elle devra investir dans du nouvel équipement évaluer à 476 000 $, installation et formations de base incluses. Cet équipement possèderait une vie utile de 25 ans. À la fin de sa vie utile, la valeur de revente sera de 26 000 $. On considère que ce type d’équipement perd toujours la même valeur à chaque année.</t>
  </si>
  <si>
    <t xml:space="preserve">Au bout de 8 ans, l’immeuble aura une valeur de revente estimée de 690 000 $ et le terrain devrait prendre 3% de valeur par année. À la fin des 8 années, le terrain sera vendu à sa valeur marchande. </t>
  </si>
  <si>
    <t>Durant l'année, l'entreprise dépensera 461 000 $ pour adapter l'usine et pour pouvoir démarrer la production.</t>
  </si>
  <si>
    <t xml:space="preserve">À cause de l’augmentation de la production, Il faudra dédier en début de projet un fonds de roulement de 17 000 $ et l’augmenter de 25 000 $ au début de la cinquième année de production. Le fonds de roulement sera récupéré à la fin du projet. </t>
  </si>
  <si>
    <t>VR Équ</t>
  </si>
  <si>
    <t>DB Im</t>
  </si>
  <si>
    <t>VR im</t>
  </si>
  <si>
    <t>DB Équ</t>
  </si>
  <si>
    <t>DB Ter</t>
  </si>
  <si>
    <t>VR Ter</t>
  </si>
  <si>
    <t>Probabilité</t>
  </si>
  <si>
    <t>Après analyse, le département des ventes, le département de marketing et la firme de consultation, il est fort probable que l'on puisse produire et vendre 21 000 unités par année pour les 4 premières années de prodcution et 29 000 unités pour le restant du projet. parcontre, il est clair que le prix que l’on pourrait vendre notre produit représentent la variable la plus incertaine de ce projet. À cet effet, le comité a établi 5 valeurs de cette variable et révèle la distribution de probabilités suivante : </t>
  </si>
  <si>
    <t>Prix de ventes unitaire</t>
  </si>
  <si>
    <t>Probabilité du prix de vente unitaire</t>
  </si>
  <si>
    <t xml:space="preserve">Le comité a déterminé que l’on pouvait s’attendre à des coûts fixes de 19 $. Les charges d’exploitation fixes avant impôts, autres que l’amortissement comptable, devrait-être de 99 000 $ par année pour les quatres premières années de production et passeront par la suite à 178 000 $ par année pour les  années restantes du projet. </t>
  </si>
  <si>
    <t>a) Calculer le coût d'acquisition et la valeur de récupération de l'équipement, du bâtiment et du terrain.</t>
  </si>
  <si>
    <t xml:space="preserve">Le taux de déduction pour amortissement fiscal (DPA) qui s’applique à l’équipement est de 20 % calculé sur le solde non amorti. </t>
  </si>
  <si>
    <t xml:space="preserve">Le taux de DPA qui s’applique à l’immeuble est de 4% calculé sur le solde non amorti </t>
  </si>
  <si>
    <t xml:space="preserve">L’entreprise est assujettie à un taux d’impôt marginal de 22,6 % et son taux de rendement acceptable minimum (TRAM) est de 8,5 % après impôt. </t>
  </si>
  <si>
    <t xml:space="preserve">À la disposition des actifs en fin de projet, il ne restera plus d'équipements de cette catégorie dans l'entreprise par contre, il restera d'autres immeubles appartenant à cette même catégorie dans l’entreprise. Sauf indication contraire, les entrées et les sorties de fonds se produiront en fin de période. </t>
  </si>
  <si>
    <t>Ajustement fiscal des valeur de récupération</t>
  </si>
  <si>
    <t>Équipements</t>
  </si>
  <si>
    <t>Ajustement fiscal avec fermeture</t>
  </si>
  <si>
    <t>Ajustement fiscal sans fermeture</t>
  </si>
  <si>
    <t>Flux monétaires nets après impôts</t>
  </si>
  <si>
    <t>Ajustement fiscal sur disposition d'actif</t>
  </si>
  <si>
    <t>VAN :</t>
  </si>
  <si>
    <t>Le taux de rendement acceptable minimum (TRAM) après impôt est de 6,5%.</t>
  </si>
  <si>
    <t>IGC</t>
  </si>
  <si>
    <t>SSH-3201 - Économique de l’ingénieur TP 5</t>
  </si>
  <si>
    <t>c) Calculer l'ajustement fiscal sur disposition d'actif non actualisé en donnant le detail des calculs pour chaque categorie avec et sans fermeture</t>
  </si>
  <si>
    <t>d) Calculer la VAN après impôt en considérant que :</t>
  </si>
  <si>
    <t>e) On vous demande finalement d'effectuer une analyse de sensibilité sur leprix de vente en l'augmentant de 10% (refaire le tableau)</t>
  </si>
  <si>
    <t>f) Tirer une conclusion pour le projet. Indiquer l'impact en % sur la VAN.</t>
  </si>
  <si>
    <t>b) Prix de vente unitaire estimé</t>
  </si>
  <si>
    <t>b) Calculer le prix de vente unitaire estimé</t>
  </si>
  <si>
    <t>Pvu</t>
  </si>
  <si>
    <t>aj imm f</t>
  </si>
  <si>
    <t>aj imm nf</t>
  </si>
  <si>
    <t>aj bat nf</t>
  </si>
  <si>
    <t>aj bat f</t>
  </si>
  <si>
    <t>DPA et calcul impôt</t>
  </si>
  <si>
    <t>Sensibilité</t>
  </si>
  <si>
    <t>Notes personnelles non notées</t>
  </si>
  <si>
    <t>c) Ajustement fiscal sur disposition d'actif non actualisé</t>
  </si>
  <si>
    <t>e) Analyse de sensibilité</t>
  </si>
  <si>
    <t>f) Impact sur la VAN</t>
  </si>
  <si>
    <t>1827096 - TP5 - Gr.5-E2021.xlsx</t>
  </si>
  <si>
    <t>2- Renomer le fichier avec votre numéro de matricule - TP5 - Gr.lab</t>
  </si>
  <si>
    <t>Charles</t>
  </si>
  <si>
    <t>Cassy</t>
  </si>
  <si>
    <t>Xiao</t>
  </si>
  <si>
    <t>Yuan Ming</t>
  </si>
  <si>
    <t>Massih</t>
  </si>
  <si>
    <t>Jacob</t>
  </si>
  <si>
    <t>Valeur Terrain</t>
  </si>
  <si>
    <t>Frais notaries</t>
  </si>
  <si>
    <t>Droits de mutation</t>
  </si>
  <si>
    <t>Valeur recup Equip.</t>
  </si>
  <si>
    <t>DPA</t>
  </si>
  <si>
    <t>Tram apres impot</t>
  </si>
  <si>
    <t>Taux impot marginal</t>
  </si>
  <si>
    <t>FNACC</t>
  </si>
  <si>
    <t>Ventes unitaires</t>
  </si>
  <si>
    <t>Charges fixes</t>
  </si>
  <si>
    <t xml:space="preserve">Immeuble </t>
  </si>
  <si>
    <t>Valeur Totale</t>
  </si>
  <si>
    <t>Annees Equip</t>
  </si>
  <si>
    <t>% Immeuble</t>
  </si>
  <si>
    <t xml:space="preserve">Valeur Equipement </t>
  </si>
  <si>
    <t>% Terrain</t>
  </si>
  <si>
    <t>R Equipement</t>
  </si>
  <si>
    <t>Acquisition</t>
  </si>
  <si>
    <t>Amort Equipement</t>
  </si>
  <si>
    <t>R Immeuble</t>
  </si>
  <si>
    <t>Amort Immeuble</t>
  </si>
  <si>
    <t>Valeur Immeuble</t>
  </si>
  <si>
    <t>nb Annees</t>
  </si>
  <si>
    <t>Impot sur gain sur disposition</t>
  </si>
  <si>
    <t>Déduction d'impôt sur équipement</t>
  </si>
  <si>
    <t>Déduction d'impôt sur immeuble</t>
  </si>
  <si>
    <t>Impots</t>
  </si>
  <si>
    <t>Equipement</t>
  </si>
  <si>
    <t>Fond de roulement</t>
  </si>
  <si>
    <t>Fonds de roulement</t>
  </si>
  <si>
    <t>Effet de disposition de l'equipement</t>
  </si>
  <si>
    <t>Effet de disposition de l'immeuble</t>
  </si>
  <si>
    <t>Effet sur disposition de l'equipement</t>
  </si>
  <si>
    <t>Effet sur disposition de l'immeuble</t>
  </si>
  <si>
    <t>Prix vente</t>
  </si>
  <si>
    <t>Cout variable</t>
  </si>
  <si>
    <t>FMN imposable</t>
  </si>
  <si>
    <t>Impot sur le gain en cap equip</t>
  </si>
  <si>
    <t>impot sur gain terrain</t>
  </si>
  <si>
    <t>La VAN est positive donc on peut faire le projet.  On peut voir aussi que la VAN est sensible au prix de vente unitaire car en ajoutant le 10% au prix de vente, on peut voir qu'elle est ascendante jusqu'a 31,83%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</si>
</sst>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164" formatCode="_ * #,##0.00_)\ &quot;$&quot;_ ;_ * \(#,##0.00\)\ &quot;$&quot;_ ;_ * &quot;-&quot;??_)\ &quot;$&quot;_ ;_ @_ "/>
    <numFmt numFmtId="165" formatCode="_ * #,##0.00_)\ _$_ ;_ * \(#,##0.00\)\ _$_ ;_ * &quot;-&quot;??_)\ _$_ ;_ @_ "/>
    <numFmt numFmtId="166" formatCode="#,##0&quot; u&quot;"/>
    <numFmt numFmtId="167" formatCode="_ * #,##0_)\ &quot;$&quot;_ ;_ * \(#,##0\)\ &quot;$&quot;_ ;_ * &quot;-&quot;??_)\ &quot;$&quot;_ ;_ @_ "/>
    <numFmt numFmtId="168" formatCode="#,##0\ &quot;$&quot;"/>
    <numFmt numFmtId="169" formatCode="0.0000"/>
    <numFmt numFmtId="171" formatCode="#,##0&quot; $/u&quot;"/>
    <numFmt numFmtId="172" formatCode="#,##0\ &quot;$&quot;_-"/>
    <numFmt numFmtId="173" formatCode="#,##0.00&quot; $/u&quot;"/>
    <numFmt numFmtId="174" formatCode="0.0%"/>
  </numFmts>
  <fonts count="18" x14ac:knownFonts="1">
    <font>
      <sz val="11"/>
      <color theme="1"/>
      <name val="Arial"/>
    </font>
    <font>
      <sz val="11"/>
      <color theme="1"/>
      <name val="Calibri"/>
      <family val="2"/>
      <scheme val="minor"/>
    </font>
    <font>
      <sz val="12"/>
      <color theme="1"/>
      <name val="Calibri"/>
      <family val="2"/>
      <scheme val="minor"/>
    </font>
    <font>
      <sz val="12"/>
      <color theme="1"/>
      <name val="Calibri"/>
      <family val="2"/>
      <scheme val="minor"/>
    </font>
    <font>
      <sz val="11"/>
      <color theme="1"/>
      <name val="Arial"/>
      <family val="2"/>
    </font>
    <font>
      <sz val="11"/>
      <color theme="1"/>
      <name val="Arial"/>
      <family val="2"/>
    </font>
    <font>
      <b/>
      <sz val="12"/>
      <color theme="1"/>
      <name val="Calibri"/>
      <family val="2"/>
      <scheme val="minor"/>
    </font>
    <font>
      <sz val="12"/>
      <color rgb="FF000000"/>
      <name val="Calibri"/>
      <family val="2"/>
      <scheme val="minor"/>
    </font>
    <font>
      <sz val="12"/>
      <name val="Calibri"/>
      <family val="2"/>
      <scheme val="minor"/>
    </font>
    <font>
      <b/>
      <sz val="12"/>
      <name val="Arial"/>
      <family val="2"/>
    </font>
    <font>
      <b/>
      <sz val="24"/>
      <color theme="1"/>
      <name val="Arial"/>
      <family val="2"/>
    </font>
    <font>
      <b/>
      <sz val="22"/>
      <color theme="1"/>
      <name val="Arial"/>
      <family val="2"/>
    </font>
    <font>
      <sz val="12"/>
      <color theme="1"/>
      <name val="Arial"/>
      <family val="2"/>
    </font>
    <font>
      <b/>
      <sz val="12"/>
      <color theme="1"/>
      <name val="Arial"/>
      <family val="2"/>
    </font>
    <font>
      <b/>
      <u/>
      <sz val="12"/>
      <color theme="1"/>
      <name val="Arial"/>
      <family val="2"/>
    </font>
    <font>
      <b/>
      <sz val="12"/>
      <color rgb="FF000000"/>
      <name val="Calibri"/>
      <family val="2"/>
      <scheme val="minor"/>
    </font>
    <font>
      <b/>
      <sz val="12"/>
      <name val="Calibri"/>
      <family val="2"/>
      <scheme val="minor"/>
    </font>
    <font>
      <sz val="15"/>
      <color theme="1"/>
      <name val="Calibri"/>
      <family val="2"/>
      <scheme val="minor"/>
    </font>
  </fonts>
  <fills count="11">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BFBFBF"/>
        <bgColor rgb="FFBFBFBF"/>
      </patternFill>
    </fill>
    <fill>
      <patternFill patternType="solid">
        <fgColor rgb="FFFFFF00"/>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4.9989318521683403E-2"/>
        <bgColor rgb="FFD8D8D8"/>
      </patternFill>
    </fill>
    <fill>
      <patternFill patternType="solid">
        <fgColor theme="7" tint="0.79998168889431442"/>
        <bgColor indexed="64"/>
      </patternFill>
    </fill>
    <fill>
      <patternFill patternType="solid">
        <fgColor theme="0" tint="-0.14999847407452621"/>
        <bgColor indexed="64"/>
      </patternFill>
    </fill>
  </fills>
  <borders count="53">
    <border>
      <left/>
      <right/>
      <top/>
      <bottom/>
      <diagonal/>
    </border>
    <border>
      <left style="medium">
        <color rgb="FF000000"/>
      </left>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style="thin">
        <color rgb="FF000000"/>
      </top>
      <bottom/>
      <diagonal/>
    </border>
    <border>
      <left/>
      <right/>
      <top style="medium">
        <color rgb="FF000000"/>
      </top>
      <bottom style="medium">
        <color rgb="FF000000"/>
      </bottom>
      <diagonal/>
    </border>
    <border>
      <left/>
      <right/>
      <top/>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000000"/>
      </left>
      <right style="medium">
        <color rgb="FF000000"/>
      </right>
      <top/>
      <bottom style="medium">
        <color indexed="64"/>
      </bottom>
      <diagonal/>
    </border>
    <border>
      <left style="thin">
        <color rgb="FF000000"/>
      </left>
      <right/>
      <top style="medium">
        <color indexed="64"/>
      </top>
      <bottom style="medium">
        <color rgb="FF000000"/>
      </bottom>
      <diagonal/>
    </border>
    <border>
      <left style="medium">
        <color rgb="FF000000"/>
      </left>
      <right/>
      <top style="medium">
        <color indexed="64"/>
      </top>
      <bottom/>
      <diagonal/>
    </border>
    <border>
      <left style="medium">
        <color indexed="64"/>
      </left>
      <right/>
      <top/>
      <bottom style="medium">
        <color rgb="FF000000"/>
      </bottom>
      <diagonal/>
    </border>
    <border>
      <left style="medium">
        <color rgb="FF000000"/>
      </left>
      <right style="medium">
        <color rgb="FF000000"/>
      </right>
      <top/>
      <bottom style="medium">
        <color rgb="FF000000"/>
      </bottom>
      <diagonal/>
    </border>
    <border>
      <left/>
      <right style="medium">
        <color indexed="64"/>
      </right>
      <top/>
      <bottom style="medium">
        <color rgb="FF000000"/>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rgb="FF000000"/>
      </right>
      <top style="medium">
        <color indexed="64"/>
      </top>
      <bottom/>
      <diagonal/>
    </border>
    <border>
      <left style="medium">
        <color indexed="64"/>
      </left>
      <right/>
      <top style="medium">
        <color rgb="FF000000"/>
      </top>
      <bottom style="medium">
        <color indexed="64"/>
      </bottom>
      <diagonal/>
    </border>
    <border>
      <left/>
      <right style="thin">
        <color rgb="FF000000"/>
      </right>
      <top style="medium">
        <color rgb="FF000000"/>
      </top>
      <bottom style="medium">
        <color indexed="64"/>
      </bottom>
      <diagonal/>
    </border>
  </borders>
  <cellStyleXfs count="4">
    <xf numFmtId="0" fontId="0" fillId="0" borderId="0"/>
    <xf numFmtId="165" fontId="5"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cellStyleXfs>
  <cellXfs count="300">
    <xf numFmtId="0" fontId="0" fillId="0" borderId="0" xfId="0" applyFont="1" applyAlignment="1"/>
    <xf numFmtId="0" fontId="6" fillId="0" borderId="0" xfId="0" applyFont="1" applyAlignment="1"/>
    <xf numFmtId="0" fontId="3" fillId="0" borderId="0" xfId="0" applyFont="1" applyAlignment="1"/>
    <xf numFmtId="49" fontId="6" fillId="0" borderId="2" xfId="0" applyNumberFormat="1" applyFont="1" applyBorder="1"/>
    <xf numFmtId="0" fontId="6" fillId="0" borderId="3" xfId="0" applyFont="1" applyBorder="1"/>
    <xf numFmtId="49" fontId="6" fillId="0" borderId="3" xfId="0" applyNumberFormat="1" applyFont="1" applyBorder="1"/>
    <xf numFmtId="0" fontId="6" fillId="0" borderId="3" xfId="0" applyFont="1" applyBorder="1" applyAlignment="1">
      <alignment horizontal="right"/>
    </xf>
    <xf numFmtId="0" fontId="9" fillId="0" borderId="0" xfId="0" applyFont="1" applyAlignment="1">
      <alignment vertical="center"/>
    </xf>
    <xf numFmtId="0" fontId="6" fillId="0" borderId="11" xfId="0" applyFont="1" applyFill="1" applyBorder="1" applyAlignment="1">
      <alignment horizontal="center"/>
    </xf>
    <xf numFmtId="166" fontId="3" fillId="0" borderId="11" xfId="0" applyNumberFormat="1" applyFont="1" applyFill="1" applyBorder="1" applyAlignment="1">
      <alignment horizontal="center"/>
    </xf>
    <xf numFmtId="167" fontId="3" fillId="0" borderId="11" xfId="0" applyNumberFormat="1" applyFont="1" applyFill="1" applyBorder="1" applyAlignment="1">
      <alignment horizontal="center"/>
    </xf>
    <xf numFmtId="167" fontId="3" fillId="0" borderId="11" xfId="0" applyNumberFormat="1" applyFont="1" applyFill="1" applyBorder="1"/>
    <xf numFmtId="167" fontId="7" fillId="0" borderId="11" xfId="0" applyNumberFormat="1" applyFont="1" applyFill="1" applyBorder="1"/>
    <xf numFmtId="0" fontId="3" fillId="0" borderId="11" xfId="0" applyFont="1" applyFill="1" applyBorder="1"/>
    <xf numFmtId="0" fontId="6" fillId="0" borderId="0" xfId="0" applyFont="1"/>
    <xf numFmtId="0" fontId="3" fillId="0" borderId="0" xfId="0" applyFont="1"/>
    <xf numFmtId="0" fontId="3" fillId="0" borderId="11" xfId="0" applyFont="1" applyFill="1" applyBorder="1" applyAlignment="1"/>
    <xf numFmtId="167" fontId="6" fillId="0" borderId="11" xfId="0" applyNumberFormat="1" applyFont="1" applyFill="1" applyBorder="1" applyAlignment="1">
      <alignment horizontal="center"/>
    </xf>
    <xf numFmtId="167" fontId="6" fillId="0" borderId="18" xfId="0" applyNumberFormat="1" applyFont="1" applyBorder="1" applyAlignment="1">
      <alignment horizontal="center"/>
    </xf>
    <xf numFmtId="167" fontId="6" fillId="0" borderId="11" xfId="0" applyNumberFormat="1" applyFont="1" applyFill="1" applyBorder="1"/>
    <xf numFmtId="169" fontId="3" fillId="0" borderId="11" xfId="0" applyNumberFormat="1" applyFont="1" applyFill="1" applyBorder="1"/>
    <xf numFmtId="49" fontId="3" fillId="0" borderId="0" xfId="0" applyNumberFormat="1" applyFont="1"/>
    <xf numFmtId="0" fontId="6" fillId="2" borderId="29" xfId="0" applyFont="1" applyFill="1" applyBorder="1" applyAlignment="1" applyProtection="1">
      <alignment horizontal="center"/>
      <protection locked="0"/>
    </xf>
    <xf numFmtId="0" fontId="6" fillId="0" borderId="13" xfId="0" applyFont="1" applyBorder="1" applyAlignment="1" applyProtection="1"/>
    <xf numFmtId="0" fontId="6" fillId="0" borderId="15" xfId="0" applyFont="1" applyBorder="1" applyAlignment="1" applyProtection="1"/>
    <xf numFmtId="0" fontId="6" fillId="0" borderId="17" xfId="0" applyFont="1" applyBorder="1" applyAlignment="1" applyProtection="1"/>
    <xf numFmtId="0" fontId="6" fillId="0" borderId="25" xfId="0" applyFont="1" applyBorder="1" applyAlignment="1" applyProtection="1">
      <alignment horizontal="center"/>
    </xf>
    <xf numFmtId="0" fontId="6" fillId="0" borderId="26" xfId="0" applyFont="1" applyBorder="1" applyAlignment="1" applyProtection="1"/>
    <xf numFmtId="0" fontId="12" fillId="0" borderId="0" xfId="0" applyFont="1" applyAlignment="1"/>
    <xf numFmtId="0" fontId="12" fillId="0" borderId="0" xfId="0" applyFont="1" applyAlignment="1">
      <alignment horizontal="left"/>
    </xf>
    <xf numFmtId="0" fontId="12" fillId="5" borderId="0" xfId="0" applyFont="1" applyFill="1" applyAlignment="1"/>
    <xf numFmtId="0" fontId="10" fillId="0" borderId="0" xfId="0" applyFont="1" applyAlignment="1">
      <alignment horizontal="center" vertical="center"/>
    </xf>
    <xf numFmtId="0" fontId="2" fillId="0" borderId="0" xfId="0" applyFont="1" applyAlignment="1"/>
    <xf numFmtId="0" fontId="3" fillId="0" borderId="0" xfId="0" applyFont="1" applyAlignment="1">
      <alignment vertical="center" wrapText="1"/>
    </xf>
    <xf numFmtId="0" fontId="3" fillId="0" borderId="0" xfId="0" applyFont="1" applyAlignment="1">
      <alignment wrapText="1"/>
    </xf>
    <xf numFmtId="0" fontId="6" fillId="0" borderId="13" xfId="0" applyFont="1" applyBorder="1" applyAlignment="1" applyProtection="1">
      <alignment horizontal="center"/>
      <protection locked="0"/>
    </xf>
    <xf numFmtId="0" fontId="6" fillId="5" borderId="3" xfId="0" applyFont="1" applyFill="1" applyBorder="1" applyAlignment="1">
      <alignment horizontal="right"/>
    </xf>
    <xf numFmtId="0" fontId="3" fillId="5" borderId="3" xfId="0" applyFont="1" applyFill="1" applyBorder="1"/>
    <xf numFmtId="49" fontId="7" fillId="5" borderId="2" xfId="0" applyNumberFormat="1" applyFont="1" applyFill="1" applyBorder="1"/>
    <xf numFmtId="0" fontId="6" fillId="0" borderId="27" xfId="0" applyFont="1" applyBorder="1" applyAlignment="1" applyProtection="1">
      <protection locked="0"/>
    </xf>
    <xf numFmtId="0" fontId="8" fillId="0" borderId="28" xfId="0" applyFont="1" applyBorder="1" applyAlignment="1" applyProtection="1">
      <protection locked="0"/>
    </xf>
    <xf numFmtId="0" fontId="2" fillId="0" borderId="11" xfId="0" applyFont="1" applyBorder="1" applyAlignment="1" applyProtection="1">
      <protection locked="0"/>
    </xf>
    <xf numFmtId="0" fontId="0" fillId="0" borderId="0" xfId="0"/>
    <xf numFmtId="0" fontId="4" fillId="0" borderId="0" xfId="0" applyFont="1"/>
    <xf numFmtId="1" fontId="4" fillId="0" borderId="0" xfId="1" applyNumberFormat="1" applyFont="1" applyAlignment="1"/>
    <xf numFmtId="0" fontId="0" fillId="7" borderId="0" xfId="0" applyFill="1"/>
    <xf numFmtId="167" fontId="0" fillId="0" borderId="0" xfId="0" applyNumberFormat="1"/>
    <xf numFmtId="0" fontId="6" fillId="0" borderId="23" xfId="0" applyFont="1" applyBorder="1" applyAlignment="1" applyProtection="1">
      <alignment horizontal="center"/>
      <protection locked="0"/>
    </xf>
    <xf numFmtId="0" fontId="6" fillId="0" borderId="14" xfId="0" applyFont="1" applyBorder="1" applyAlignment="1">
      <alignment horizontal="center"/>
    </xf>
    <xf numFmtId="167" fontId="0" fillId="0" borderId="0" xfId="2" applyNumberFormat="1" applyFont="1"/>
    <xf numFmtId="164" fontId="0" fillId="0" borderId="0" xfId="0" applyNumberFormat="1" applyFont="1" applyAlignment="1"/>
    <xf numFmtId="9" fontId="2" fillId="0" borderId="16" xfId="0" applyNumberFormat="1" applyFont="1" applyBorder="1" applyAlignment="1">
      <alignment horizontal="center"/>
    </xf>
    <xf numFmtId="9" fontId="2" fillId="0" borderId="18" xfId="0" applyNumberFormat="1" applyFont="1" applyBorder="1" applyAlignment="1">
      <alignment horizontal="center"/>
    </xf>
    <xf numFmtId="171" fontId="7" fillId="0" borderId="15" xfId="0" applyNumberFormat="1" applyFont="1" applyBorder="1" applyAlignment="1">
      <alignment vertical="center"/>
    </xf>
    <xf numFmtId="171" fontId="7" fillId="0" borderId="17" xfId="0" applyNumberFormat="1" applyFont="1" applyBorder="1" applyAlignment="1">
      <alignment vertical="center"/>
    </xf>
    <xf numFmtId="0" fontId="2" fillId="0" borderId="0" xfId="0" applyFont="1" applyAlignment="1">
      <alignment horizontal="left" indent="1"/>
    </xf>
    <xf numFmtId="167" fontId="6" fillId="0" borderId="0" xfId="0" applyNumberFormat="1" applyFont="1"/>
    <xf numFmtId="0" fontId="2" fillId="0" borderId="0" xfId="0" applyFont="1"/>
    <xf numFmtId="0" fontId="16" fillId="0" borderId="14" xfId="0" applyFont="1" applyBorder="1" applyAlignment="1">
      <alignment horizontal="center" vertical="center"/>
    </xf>
    <xf numFmtId="0" fontId="7" fillId="0" borderId="15" xfId="0" applyFont="1" applyBorder="1" applyAlignment="1">
      <alignment vertical="center"/>
    </xf>
    <xf numFmtId="0" fontId="2" fillId="0" borderId="11" xfId="0" applyFont="1" applyBorder="1" applyAlignment="1">
      <alignment vertical="center"/>
    </xf>
    <xf numFmtId="172" fontId="7" fillId="0" borderId="16" xfId="0" applyNumberFormat="1" applyFont="1" applyBorder="1" applyAlignment="1">
      <alignment vertical="center"/>
    </xf>
    <xf numFmtId="0" fontId="2" fillId="0" borderId="15" xfId="0" applyFont="1" applyBorder="1" applyAlignment="1">
      <alignment vertical="center"/>
    </xf>
    <xf numFmtId="9" fontId="2" fillId="0" borderId="16" xfId="0" applyNumberFormat="1" applyFont="1" applyBorder="1" applyAlignment="1">
      <alignment vertical="center"/>
    </xf>
    <xf numFmtId="10" fontId="2" fillId="0" borderId="16" xfId="0" applyNumberFormat="1" applyFont="1" applyBorder="1" applyAlignment="1">
      <alignment vertical="center"/>
    </xf>
    <xf numFmtId="167" fontId="2" fillId="0" borderId="16" xfId="0" applyNumberFormat="1" applyFont="1" applyBorder="1" applyAlignment="1">
      <alignment vertical="center"/>
    </xf>
    <xf numFmtId="0" fontId="2" fillId="0" borderId="17" xfId="0" applyFont="1" applyBorder="1" applyAlignment="1">
      <alignment vertical="center"/>
    </xf>
    <xf numFmtId="0" fontId="2" fillId="0" borderId="24" xfId="0" applyFont="1" applyBorder="1" applyAlignment="1">
      <alignment vertical="center"/>
    </xf>
    <xf numFmtId="167" fontId="2" fillId="5" borderId="18" xfId="0" applyNumberFormat="1" applyFont="1" applyFill="1" applyBorder="1" applyAlignment="1">
      <alignment vertical="center"/>
    </xf>
    <xf numFmtId="0" fontId="6" fillId="2" borderId="35" xfId="0" applyFont="1" applyFill="1" applyBorder="1"/>
    <xf numFmtId="167" fontId="2" fillId="0" borderId="10" xfId="0" applyNumberFormat="1" applyFont="1" applyBorder="1"/>
    <xf numFmtId="167" fontId="2" fillId="0" borderId="11" xfId="0" applyNumberFormat="1" applyFont="1" applyBorder="1"/>
    <xf numFmtId="0" fontId="6" fillId="2" borderId="36" xfId="0" applyFont="1" applyFill="1" applyBorder="1" applyAlignment="1">
      <alignment horizontal="left"/>
    </xf>
    <xf numFmtId="0" fontId="2" fillId="2" borderId="36" xfId="0" applyFont="1" applyFill="1" applyBorder="1" applyAlignment="1">
      <alignment horizontal="center"/>
    </xf>
    <xf numFmtId="0" fontId="2" fillId="0" borderId="16" xfId="0" applyFont="1" applyBorder="1"/>
    <xf numFmtId="0" fontId="2" fillId="0" borderId="11" xfId="0" applyFont="1" applyBorder="1"/>
    <xf numFmtId="9" fontId="2" fillId="2" borderId="37" xfId="0" applyNumberFormat="1" applyFont="1" applyFill="1" applyBorder="1" applyAlignment="1">
      <alignment horizontal="center"/>
    </xf>
    <xf numFmtId="167" fontId="2" fillId="0" borderId="32" xfId="0" applyNumberFormat="1" applyFont="1" applyBorder="1" applyAlignment="1">
      <alignment horizontal="center"/>
    </xf>
    <xf numFmtId="9" fontId="2" fillId="2" borderId="36" xfId="0" applyNumberFormat="1" applyFont="1" applyFill="1" applyBorder="1" applyAlignment="1">
      <alignment horizontal="center"/>
    </xf>
    <xf numFmtId="167" fontId="2" fillId="0" borderId="11" xfId="0" applyNumberFormat="1" applyFont="1" applyBorder="1" applyAlignment="1">
      <alignment horizontal="center"/>
    </xf>
    <xf numFmtId="9" fontId="2" fillId="2" borderId="38" xfId="0" applyNumberFormat="1" applyFont="1" applyFill="1" applyBorder="1" applyAlignment="1">
      <alignment horizontal="center"/>
    </xf>
    <xf numFmtId="167" fontId="2" fillId="0" borderId="11" xfId="0" applyNumberFormat="1" applyFont="1" applyBorder="1" applyAlignment="1">
      <alignment horizontal="right"/>
    </xf>
    <xf numFmtId="9" fontId="2" fillId="2" borderId="39" xfId="0" applyNumberFormat="1" applyFont="1" applyFill="1" applyBorder="1" applyAlignment="1">
      <alignment horizontal="center"/>
    </xf>
    <xf numFmtId="167" fontId="2" fillId="0" borderId="23" xfId="0" applyNumberFormat="1" applyFont="1" applyBorder="1" applyAlignment="1">
      <alignment horizontal="center"/>
    </xf>
    <xf numFmtId="167" fontId="2" fillId="0" borderId="23" xfId="0" applyNumberFormat="1" applyFont="1" applyBorder="1"/>
    <xf numFmtId="167" fontId="2" fillId="0" borderId="23" xfId="0" applyNumberFormat="1" applyFont="1" applyBorder="1" applyAlignment="1">
      <alignment horizontal="right"/>
    </xf>
    <xf numFmtId="167" fontId="2" fillId="0" borderId="14" xfId="0" applyNumberFormat="1" applyFont="1" applyBorder="1"/>
    <xf numFmtId="9" fontId="2" fillId="2" borderId="40" xfId="0" applyNumberFormat="1" applyFont="1" applyFill="1" applyBorder="1" applyAlignment="1">
      <alignment horizontal="center"/>
    </xf>
    <xf numFmtId="167" fontId="2" fillId="0" borderId="24" xfId="0" applyNumberFormat="1" applyFont="1" applyBorder="1" applyAlignment="1">
      <alignment horizontal="center"/>
    </xf>
    <xf numFmtId="167" fontId="2" fillId="0" borderId="24" xfId="0" applyNumberFormat="1" applyFont="1" applyBorder="1"/>
    <xf numFmtId="167" fontId="2" fillId="0" borderId="24" xfId="0" applyNumberFormat="1" applyFont="1" applyBorder="1" applyAlignment="1">
      <alignment horizontal="right"/>
    </xf>
    <xf numFmtId="168" fontId="2" fillId="2" borderId="36" xfId="0" applyNumberFormat="1" applyFont="1" applyFill="1" applyBorder="1" applyAlignment="1">
      <alignment horizontal="center"/>
    </xf>
    <xf numFmtId="167" fontId="6" fillId="0" borderId="11" xfId="0" applyNumberFormat="1" applyFont="1" applyBorder="1" applyAlignment="1">
      <alignment horizontal="center"/>
    </xf>
    <xf numFmtId="167" fontId="6" fillId="0" borderId="16" xfId="0" applyNumberFormat="1" applyFont="1" applyBorder="1" applyAlignment="1">
      <alignment horizontal="center"/>
    </xf>
    <xf numFmtId="10" fontId="2" fillId="8" borderId="36" xfId="0" applyNumberFormat="1" applyFont="1" applyFill="1" applyBorder="1" applyAlignment="1">
      <alignment horizontal="center"/>
    </xf>
    <xf numFmtId="169" fontId="2" fillId="4" borderId="11" xfId="0" applyNumberFormat="1" applyFont="1" applyFill="1" applyBorder="1" applyAlignment="1">
      <alignment horizontal="center"/>
    </xf>
    <xf numFmtId="169" fontId="2" fillId="4" borderId="16" xfId="0" applyNumberFormat="1" applyFont="1" applyFill="1" applyBorder="1" applyAlignment="1">
      <alignment horizontal="center"/>
    </xf>
    <xf numFmtId="9" fontId="2" fillId="2" borderId="41" xfId="0" applyNumberFormat="1" applyFont="1" applyFill="1" applyBorder="1" applyAlignment="1">
      <alignment horizontal="center"/>
    </xf>
    <xf numFmtId="167" fontId="6" fillId="0" borderId="24" xfId="0" applyNumberFormat="1" applyFont="1" applyBorder="1" applyAlignment="1">
      <alignment horizontal="center"/>
    </xf>
    <xf numFmtId="0" fontId="6" fillId="0" borderId="25" xfId="0" applyFont="1" applyBorder="1" applyAlignment="1">
      <alignment horizontal="center"/>
    </xf>
    <xf numFmtId="167" fontId="6" fillId="5" borderId="26" xfId="2" applyNumberFormat="1" applyFont="1" applyFill="1" applyBorder="1" applyAlignment="1">
      <alignment horizontal="left"/>
    </xf>
    <xf numFmtId="167" fontId="2" fillId="0" borderId="11" xfId="0" applyNumberFormat="1" applyFont="1" applyFill="1" applyBorder="1"/>
    <xf numFmtId="167" fontId="2" fillId="0" borderId="11" xfId="0" applyNumberFormat="1" applyFont="1" applyFill="1" applyBorder="1" applyAlignment="1" applyProtection="1">
      <alignment horizontal="center"/>
      <protection locked="0"/>
    </xf>
    <xf numFmtId="167" fontId="2" fillId="0" borderId="11" xfId="0" applyNumberFormat="1" applyFont="1" applyFill="1" applyBorder="1" applyProtection="1">
      <protection locked="0"/>
    </xf>
    <xf numFmtId="0" fontId="2" fillId="0" borderId="11" xfId="0" applyFont="1" applyFill="1" applyBorder="1"/>
    <xf numFmtId="0" fontId="2" fillId="0" borderId="11" xfId="0" applyFont="1" applyFill="1" applyBorder="1" applyAlignment="1"/>
    <xf numFmtId="167" fontId="2" fillId="0" borderId="11" xfId="0" applyNumberFormat="1" applyFont="1" applyFill="1" applyBorder="1" applyAlignment="1" applyProtection="1">
      <alignment horizontal="right"/>
      <protection locked="0"/>
    </xf>
    <xf numFmtId="167" fontId="2" fillId="0" borderId="11" xfId="0" applyNumberFormat="1" applyFont="1" applyFill="1" applyBorder="1" applyAlignment="1">
      <alignment horizontal="center"/>
    </xf>
    <xf numFmtId="9" fontId="2" fillId="0" borderId="0" xfId="0" applyNumberFormat="1" applyFont="1"/>
    <xf numFmtId="0" fontId="6" fillId="2" borderId="42" xfId="0" applyFont="1" applyFill="1" applyBorder="1" applyAlignment="1">
      <alignment horizontal="center"/>
    </xf>
    <xf numFmtId="0" fontId="6" fillId="0" borderId="43" xfId="0" applyFont="1" applyBorder="1" applyAlignment="1">
      <alignment horizontal="center"/>
    </xf>
    <xf numFmtId="0" fontId="6" fillId="0" borderId="23" xfId="0" applyFont="1" applyBorder="1" applyAlignment="1">
      <alignment horizontal="center"/>
    </xf>
    <xf numFmtId="167" fontId="2" fillId="0" borderId="11" xfId="2" applyNumberFormat="1" applyFont="1" applyBorder="1" applyAlignment="1">
      <alignment horizontal="center"/>
    </xf>
    <xf numFmtId="0" fontId="6" fillId="2" borderId="1" xfId="0" applyFont="1" applyFill="1" applyBorder="1"/>
    <xf numFmtId="0" fontId="6" fillId="2" borderId="1" xfId="0" applyFont="1" applyFill="1" applyBorder="1" applyAlignment="1">
      <alignment horizontal="left"/>
    </xf>
    <xf numFmtId="167" fontId="6" fillId="0" borderId="23" xfId="0" applyNumberFormat="1" applyFont="1" applyBorder="1" applyAlignment="1">
      <alignment horizontal="center"/>
    </xf>
    <xf numFmtId="167" fontId="6" fillId="0" borderId="14" xfId="0" applyNumberFormat="1" applyFont="1" applyBorder="1" applyAlignment="1">
      <alignment horizontal="center"/>
    </xf>
    <xf numFmtId="10" fontId="6" fillId="3" borderId="14" xfId="0" applyNumberFormat="1" applyFont="1" applyFill="1" applyBorder="1"/>
    <xf numFmtId="0" fontId="6" fillId="2" borderId="45" xfId="0" applyFont="1" applyFill="1" applyBorder="1" applyAlignment="1">
      <alignment horizontal="left"/>
    </xf>
    <xf numFmtId="167" fontId="2" fillId="0" borderId="7" xfId="0" applyNumberFormat="1" applyFont="1" applyBorder="1"/>
    <xf numFmtId="0" fontId="6" fillId="2" borderId="41" xfId="0" applyFont="1" applyFill="1" applyBorder="1" applyAlignment="1">
      <alignment horizontal="left"/>
    </xf>
    <xf numFmtId="0" fontId="2" fillId="0" borderId="11" xfId="0" applyFont="1" applyBorder="1" applyAlignment="1"/>
    <xf numFmtId="0" fontId="1" fillId="0" borderId="0" xfId="0" applyFont="1"/>
    <xf numFmtId="167" fontId="2" fillId="0" borderId="0" xfId="0" applyNumberFormat="1" applyFont="1" applyAlignment="1"/>
    <xf numFmtId="0" fontId="2" fillId="0" borderId="23" xfId="0" applyFont="1" applyBorder="1" applyAlignment="1" applyProtection="1">
      <protection locked="0"/>
    </xf>
    <xf numFmtId="0" fontId="2" fillId="0" borderId="14" xfId="0" applyFont="1" applyBorder="1" applyAlignment="1" applyProtection="1">
      <protection locked="0"/>
    </xf>
    <xf numFmtId="0" fontId="2" fillId="0" borderId="15" xfId="0" applyFont="1" applyBorder="1" applyAlignment="1" applyProtection="1">
      <protection locked="0"/>
    </xf>
    <xf numFmtId="167" fontId="2" fillId="0" borderId="11" xfId="2" applyNumberFormat="1" applyFont="1" applyBorder="1" applyAlignment="1" applyProtection="1">
      <protection locked="0"/>
    </xf>
    <xf numFmtId="10" fontId="2" fillId="0" borderId="16" xfId="3" applyNumberFormat="1" applyFont="1" applyBorder="1" applyAlignment="1" applyProtection="1">
      <protection locked="0"/>
    </xf>
    <xf numFmtId="0" fontId="2" fillId="0" borderId="16" xfId="0" applyFont="1" applyBorder="1" applyAlignment="1" applyProtection="1">
      <protection locked="0"/>
    </xf>
    <xf numFmtId="164" fontId="2" fillId="0" borderId="0" xfId="0" applyNumberFormat="1" applyFont="1" applyAlignment="1"/>
    <xf numFmtId="0" fontId="2" fillId="0" borderId="14" xfId="0" applyFont="1" applyBorder="1" applyAlignment="1"/>
    <xf numFmtId="167" fontId="2" fillId="0" borderId="11" xfId="0" applyNumberFormat="1" applyFont="1" applyBorder="1" applyAlignment="1" applyProtection="1">
      <protection locked="0"/>
    </xf>
    <xf numFmtId="0" fontId="2" fillId="0" borderId="15" xfId="0" applyFont="1" applyBorder="1" applyAlignment="1"/>
    <xf numFmtId="0" fontId="2" fillId="0" borderId="16" xfId="0" applyFont="1" applyBorder="1" applyAlignment="1"/>
    <xf numFmtId="164" fontId="2" fillId="0" borderId="11" xfId="2" applyFont="1" applyBorder="1" applyAlignment="1" applyProtection="1">
      <protection locked="0"/>
    </xf>
    <xf numFmtId="167" fontId="2" fillId="0" borderId="16" xfId="2" applyNumberFormat="1" applyFont="1" applyBorder="1" applyAlignment="1" applyProtection="1">
      <protection locked="0"/>
    </xf>
    <xf numFmtId="0" fontId="2" fillId="0" borderId="17" xfId="0" applyFont="1" applyBorder="1" applyAlignment="1"/>
    <xf numFmtId="0" fontId="2" fillId="0" borderId="24" xfId="0" applyFont="1" applyBorder="1" applyAlignment="1"/>
    <xf numFmtId="167" fontId="2" fillId="5" borderId="13" xfId="2" applyNumberFormat="1" applyFont="1" applyFill="1" applyBorder="1" applyAlignment="1" applyProtection="1">
      <protection locked="0"/>
    </xf>
    <xf numFmtId="164" fontId="2" fillId="5" borderId="14" xfId="2" applyFont="1" applyFill="1" applyBorder="1" applyAlignment="1" applyProtection="1">
      <protection locked="0"/>
    </xf>
    <xf numFmtId="167" fontId="2" fillId="5" borderId="15" xfId="2" applyNumberFormat="1" applyFont="1" applyFill="1" applyBorder="1" applyAlignment="1" applyProtection="1">
      <protection locked="0"/>
    </xf>
    <xf numFmtId="164" fontId="2" fillId="5" borderId="16" xfId="2" applyFont="1" applyFill="1" applyBorder="1" applyAlignment="1" applyProtection="1">
      <protection locked="0"/>
    </xf>
    <xf numFmtId="167" fontId="2" fillId="5" borderId="17" xfId="2" applyNumberFormat="1" applyFont="1" applyFill="1" applyBorder="1" applyAlignment="1" applyProtection="1">
      <protection locked="0"/>
    </xf>
    <xf numFmtId="164" fontId="2" fillId="5" borderId="18" xfId="2" applyFont="1" applyFill="1" applyBorder="1" applyAlignment="1" applyProtection="1">
      <protection locked="0"/>
    </xf>
    <xf numFmtId="0" fontId="2" fillId="0" borderId="24" xfId="0" applyFont="1" applyBorder="1" applyAlignment="1" applyProtection="1">
      <protection locked="0"/>
    </xf>
    <xf numFmtId="0" fontId="2" fillId="0" borderId="18" xfId="0" applyFont="1" applyBorder="1" applyAlignment="1" applyProtection="1">
      <protection locked="0"/>
    </xf>
    <xf numFmtId="0" fontId="2" fillId="0" borderId="0" xfId="0" applyFont="1" applyAlignment="1">
      <alignment horizontal="center" vertical="center"/>
    </xf>
    <xf numFmtId="166" fontId="2" fillId="0" borderId="13" xfId="0" applyNumberFormat="1" applyFont="1" applyFill="1" applyBorder="1" applyAlignment="1" applyProtection="1">
      <alignment horizontal="center"/>
      <protection locked="0"/>
    </xf>
    <xf numFmtId="0" fontId="2" fillId="0" borderId="23" xfId="0" applyFont="1" applyFill="1" applyBorder="1" applyAlignment="1"/>
    <xf numFmtId="166" fontId="2" fillId="0" borderId="23" xfId="0" applyNumberFormat="1" applyFont="1" applyFill="1" applyBorder="1" applyAlignment="1" applyProtection="1">
      <alignment horizontal="center"/>
      <protection locked="0"/>
    </xf>
    <xf numFmtId="166" fontId="2" fillId="0" borderId="14" xfId="0" applyNumberFormat="1" applyFont="1" applyFill="1" applyBorder="1" applyAlignment="1" applyProtection="1">
      <alignment horizontal="center"/>
      <protection locked="0"/>
    </xf>
    <xf numFmtId="167" fontId="2" fillId="0" borderId="13" xfId="0" applyNumberFormat="1" applyFont="1" applyBorder="1" applyAlignment="1" applyProtection="1">
      <alignment horizontal="center"/>
      <protection locked="0"/>
    </xf>
    <xf numFmtId="0" fontId="2" fillId="0" borderId="23" xfId="0" applyFont="1" applyBorder="1" applyAlignment="1"/>
    <xf numFmtId="167" fontId="2" fillId="0" borderId="15" xfId="0" applyNumberFormat="1" applyFont="1" applyBorder="1" applyAlignment="1" applyProtection="1">
      <alignment horizontal="center"/>
      <protection locked="0"/>
    </xf>
    <xf numFmtId="167" fontId="2" fillId="0" borderId="11" xfId="0" applyNumberFormat="1" applyFont="1" applyBorder="1" applyProtection="1">
      <protection locked="0"/>
    </xf>
    <xf numFmtId="167" fontId="2" fillId="0" borderId="16" xfId="0" applyNumberFormat="1" applyFont="1" applyFill="1" applyBorder="1"/>
    <xf numFmtId="0" fontId="2" fillId="0" borderId="13" xfId="0" applyFont="1" applyBorder="1" applyAlignment="1"/>
    <xf numFmtId="167" fontId="2" fillId="5" borderId="14" xfId="0" applyNumberFormat="1" applyFont="1" applyFill="1" applyBorder="1" applyAlignment="1">
      <alignment vertical="center"/>
    </xf>
    <xf numFmtId="0" fontId="16" fillId="0" borderId="47" xfId="0" applyFont="1" applyBorder="1" applyAlignment="1">
      <alignment horizontal="center" vertical="center"/>
    </xf>
    <xf numFmtId="167" fontId="2" fillId="0" borderId="48" xfId="0" applyNumberFormat="1" applyFont="1" applyBorder="1" applyAlignment="1">
      <alignment vertical="center"/>
    </xf>
    <xf numFmtId="9" fontId="2" fillId="0" borderId="48" xfId="0" applyNumberFormat="1" applyFont="1" applyBorder="1" applyAlignment="1">
      <alignment vertical="center"/>
    </xf>
    <xf numFmtId="10" fontId="2" fillId="0" borderId="48" xfId="0" applyNumberFormat="1" applyFont="1" applyBorder="1" applyAlignment="1">
      <alignment vertical="center"/>
    </xf>
    <xf numFmtId="167" fontId="2" fillId="5" borderId="47" xfId="0" applyNumberFormat="1" applyFont="1" applyFill="1" applyBorder="1" applyAlignment="1">
      <alignment vertical="center"/>
    </xf>
    <xf numFmtId="167" fontId="2" fillId="5" borderId="49" xfId="0" applyNumberFormat="1" applyFont="1" applyFill="1" applyBorder="1" applyAlignment="1">
      <alignment vertical="center"/>
    </xf>
    <xf numFmtId="167" fontId="2" fillId="0" borderId="23" xfId="0" applyNumberFormat="1" applyFont="1" applyFill="1" applyBorder="1" applyAlignment="1" applyProtection="1">
      <alignment horizontal="center"/>
      <protection locked="0"/>
    </xf>
    <xf numFmtId="167" fontId="2" fillId="0" borderId="14" xfId="0" applyNumberFormat="1" applyFont="1" applyFill="1" applyBorder="1" applyAlignment="1" applyProtection="1">
      <alignment horizontal="center"/>
      <protection locked="0"/>
    </xf>
    <xf numFmtId="167" fontId="2" fillId="0" borderId="16" xfId="0" applyNumberFormat="1" applyFont="1" applyFill="1" applyBorder="1" applyAlignment="1" applyProtection="1">
      <alignment horizontal="center"/>
      <protection locked="0"/>
    </xf>
    <xf numFmtId="167" fontId="2" fillId="0" borderId="16" xfId="0" applyNumberFormat="1" applyFont="1" applyFill="1" applyBorder="1" applyProtection="1">
      <protection locked="0"/>
    </xf>
    <xf numFmtId="167" fontId="7" fillId="0" borderId="11" xfId="0" applyNumberFormat="1" applyFont="1" applyFill="1" applyBorder="1" applyProtection="1">
      <protection locked="0"/>
    </xf>
    <xf numFmtId="167" fontId="7" fillId="0" borderId="16" xfId="0" applyNumberFormat="1" applyFont="1" applyFill="1" applyBorder="1" applyProtection="1">
      <protection locked="0"/>
    </xf>
    <xf numFmtId="167" fontId="7" fillId="0" borderId="10" xfId="0" applyNumberFormat="1" applyFont="1" applyFill="1" applyBorder="1"/>
    <xf numFmtId="167" fontId="7" fillId="0" borderId="31" xfId="0" applyNumberFormat="1" applyFont="1" applyFill="1" applyBorder="1"/>
    <xf numFmtId="167" fontId="7" fillId="0" borderId="16" xfId="0" applyNumberFormat="1" applyFont="1" applyFill="1" applyBorder="1"/>
    <xf numFmtId="167" fontId="7" fillId="0" borderId="24" xfId="0" applyNumberFormat="1" applyFont="1" applyFill="1" applyBorder="1"/>
    <xf numFmtId="167" fontId="7" fillId="0" borderId="18" xfId="0" applyNumberFormat="1" applyFont="1" applyFill="1" applyBorder="1"/>
    <xf numFmtId="167" fontId="7" fillId="0" borderId="8" xfId="0" applyNumberFormat="1" applyFont="1" applyFill="1" applyBorder="1"/>
    <xf numFmtId="167" fontId="7" fillId="0" borderId="46" xfId="0" applyNumberFormat="1" applyFont="1" applyFill="1" applyBorder="1"/>
    <xf numFmtId="0" fontId="2" fillId="0" borderId="16" xfId="0" applyFont="1" applyFill="1" applyBorder="1"/>
    <xf numFmtId="167" fontId="2" fillId="0" borderId="32" xfId="0" applyNumberFormat="1" applyFont="1" applyFill="1" applyBorder="1"/>
    <xf numFmtId="0" fontId="2" fillId="0" borderId="22" xfId="0" applyFont="1" applyFill="1" applyBorder="1"/>
    <xf numFmtId="167" fontId="2" fillId="0" borderId="11" xfId="0" applyNumberFormat="1" applyFont="1" applyFill="1" applyBorder="1" applyAlignment="1">
      <alignment horizontal="right"/>
    </xf>
    <xf numFmtId="167" fontId="2" fillId="0" borderId="5" xfId="0" applyNumberFormat="1" applyFont="1" applyFill="1" applyBorder="1" applyAlignment="1">
      <alignment horizontal="center"/>
    </xf>
    <xf numFmtId="167" fontId="2" fillId="0" borderId="15" xfId="0" applyNumberFormat="1" applyFont="1" applyFill="1" applyBorder="1" applyAlignment="1" applyProtection="1">
      <alignment horizontal="right"/>
      <protection locked="0"/>
    </xf>
    <xf numFmtId="167" fontId="2" fillId="0" borderId="17" xfId="0" applyNumberFormat="1" applyFont="1" applyFill="1" applyBorder="1" applyProtection="1">
      <protection locked="0"/>
    </xf>
    <xf numFmtId="0" fontId="2" fillId="0" borderId="24" xfId="0" applyFont="1" applyFill="1" applyBorder="1" applyAlignment="1"/>
    <xf numFmtId="167" fontId="2" fillId="0" borderId="25" xfId="0" applyNumberFormat="1" applyFont="1" applyFill="1" applyBorder="1"/>
    <xf numFmtId="167" fontId="2" fillId="0" borderId="33" xfId="2" applyNumberFormat="1" applyFont="1" applyFill="1" applyBorder="1" applyAlignment="1">
      <alignment horizontal="center"/>
    </xf>
    <xf numFmtId="167" fontId="2" fillId="0" borderId="11" xfId="2" applyNumberFormat="1" applyFont="1" applyFill="1" applyBorder="1" applyAlignment="1">
      <alignment horizontal="center"/>
    </xf>
    <xf numFmtId="167" fontId="2" fillId="0" borderId="16" xfId="2" applyNumberFormat="1" applyFont="1" applyFill="1" applyBorder="1" applyAlignment="1">
      <alignment horizontal="center"/>
    </xf>
    <xf numFmtId="167" fontId="2" fillId="0" borderId="5" xfId="0" applyNumberFormat="1" applyFont="1" applyFill="1" applyBorder="1" applyAlignment="1">
      <alignment horizontal="right"/>
    </xf>
    <xf numFmtId="167" fontId="2" fillId="0" borderId="32" xfId="0" applyNumberFormat="1" applyFont="1" applyFill="1" applyBorder="1" applyAlignment="1">
      <alignment horizontal="center"/>
    </xf>
    <xf numFmtId="167" fontId="2" fillId="0" borderId="22" xfId="0" applyNumberFormat="1" applyFont="1" applyFill="1" applyBorder="1" applyAlignment="1">
      <alignment horizontal="center"/>
    </xf>
    <xf numFmtId="167" fontId="2" fillId="0" borderId="23" xfId="0" applyNumberFormat="1" applyFont="1" applyFill="1" applyBorder="1" applyAlignment="1">
      <alignment horizontal="center"/>
    </xf>
    <xf numFmtId="167" fontId="2" fillId="0" borderId="14" xfId="0" applyNumberFormat="1" applyFont="1" applyFill="1" applyBorder="1" applyAlignment="1">
      <alignment horizontal="center"/>
    </xf>
    <xf numFmtId="168" fontId="2" fillId="2" borderId="39" xfId="0" applyNumberFormat="1" applyFont="1" applyFill="1" applyBorder="1" applyAlignment="1">
      <alignment horizontal="center"/>
    </xf>
    <xf numFmtId="10" fontId="2" fillId="8" borderId="38" xfId="0" applyNumberFormat="1" applyFont="1" applyFill="1" applyBorder="1" applyAlignment="1">
      <alignment horizontal="center"/>
    </xf>
    <xf numFmtId="173" fontId="2" fillId="5" borderId="34" xfId="0" applyNumberFormat="1" applyFont="1" applyFill="1" applyBorder="1" applyAlignment="1"/>
    <xf numFmtId="164" fontId="0" fillId="0" borderId="0" xfId="2" applyNumberFormat="1" applyFont="1"/>
    <xf numFmtId="167" fontId="0" fillId="9" borderId="0" xfId="2" applyNumberFormat="1" applyFont="1" applyFill="1"/>
    <xf numFmtId="0" fontId="1" fillId="0" borderId="15" xfId="0" applyFont="1" applyBorder="1" applyProtection="1">
      <protection locked="0"/>
    </xf>
    <xf numFmtId="0" fontId="1" fillId="0" borderId="11" xfId="0" applyFont="1" applyBorder="1" applyProtection="1">
      <protection locked="0"/>
    </xf>
    <xf numFmtId="0" fontId="1" fillId="0" borderId="16" xfId="0" applyFont="1" applyBorder="1" applyProtection="1">
      <protection locked="0"/>
    </xf>
    <xf numFmtId="0" fontId="1" fillId="0" borderId="17" xfId="0" applyFont="1" applyBorder="1" applyProtection="1">
      <protection locked="0"/>
    </xf>
    <xf numFmtId="0" fontId="1" fillId="0" borderId="24" xfId="0" applyFont="1" applyBorder="1" applyProtection="1">
      <protection locked="0"/>
    </xf>
    <xf numFmtId="0" fontId="1" fillId="0" borderId="18" xfId="0" applyFont="1" applyBorder="1" applyProtection="1">
      <protection locked="0"/>
    </xf>
    <xf numFmtId="44" fontId="2" fillId="0" borderId="11" xfId="0" applyNumberFormat="1" applyFont="1" applyBorder="1" applyAlignment="1" applyProtection="1">
      <protection locked="0"/>
    </xf>
    <xf numFmtId="174" fontId="2" fillId="0" borderId="11" xfId="3" applyNumberFormat="1" applyFont="1" applyBorder="1" applyAlignment="1">
      <alignment vertical="center"/>
    </xf>
    <xf numFmtId="164" fontId="2" fillId="0" borderId="15" xfId="2" applyFont="1" applyBorder="1" applyAlignment="1">
      <alignment vertical="center"/>
    </xf>
    <xf numFmtId="167" fontId="2" fillId="0" borderId="23" xfId="2" applyNumberFormat="1" applyFont="1" applyFill="1" applyBorder="1" applyAlignment="1"/>
    <xf numFmtId="0" fontId="13" fillId="0" borderId="0" xfId="0" applyFont="1" applyAlignment="1">
      <alignment horizontal="left"/>
    </xf>
    <xf numFmtId="0" fontId="14" fillId="6" borderId="0" xfId="0" applyFont="1" applyFill="1" applyAlignment="1">
      <alignment horizontal="center"/>
    </xf>
    <xf numFmtId="0" fontId="12" fillId="0" borderId="0" xfId="0" applyFont="1" applyAlignment="1">
      <alignment horizontal="center"/>
    </xf>
    <xf numFmtId="0" fontId="12" fillId="0" borderId="0" xfId="0" applyFont="1" applyAlignment="1">
      <alignment horizontal="left"/>
    </xf>
    <xf numFmtId="0" fontId="11" fillId="0" borderId="0" xfId="0" applyFont="1" applyAlignment="1">
      <alignment horizontal="center" wrapText="1"/>
    </xf>
    <xf numFmtId="0" fontId="10" fillId="0" borderId="0" xfId="0" applyFont="1" applyAlignment="1">
      <alignment horizontal="center" vertical="center"/>
    </xf>
    <xf numFmtId="0" fontId="12" fillId="0" borderId="11" xfId="0" applyFont="1" applyBorder="1" applyAlignment="1">
      <alignment horizontal="center" vertical="center"/>
    </xf>
    <xf numFmtId="0" fontId="4" fillId="0" borderId="11" xfId="0" applyFont="1" applyBorder="1" applyAlignment="1">
      <alignment horizontal="center" vertical="center"/>
    </xf>
    <xf numFmtId="0" fontId="11" fillId="5" borderId="11" xfId="0" applyFont="1" applyFill="1" applyBorder="1" applyAlignment="1">
      <alignment horizontal="center"/>
    </xf>
    <xf numFmtId="0" fontId="10" fillId="0" borderId="11" xfId="0" applyFont="1" applyBorder="1" applyAlignment="1">
      <alignment horizontal="center" vertical="center"/>
    </xf>
    <xf numFmtId="0" fontId="2" fillId="0" borderId="0" xfId="0" applyFont="1" applyAlignment="1">
      <alignment horizontal="left" vertical="top" wrapText="1"/>
    </xf>
    <xf numFmtId="0" fontId="17" fillId="10" borderId="13" xfId="0" applyFont="1" applyFill="1" applyBorder="1" applyAlignment="1">
      <alignment horizontal="center" vertical="center"/>
    </xf>
    <xf numFmtId="0" fontId="17" fillId="10" borderId="23" xfId="0" applyFont="1" applyFill="1" applyBorder="1" applyAlignment="1">
      <alignment horizontal="center" vertical="center"/>
    </xf>
    <xf numFmtId="0" fontId="17" fillId="10" borderId="14" xfId="0" applyFont="1" applyFill="1" applyBorder="1" applyAlignment="1">
      <alignment horizontal="center" vertical="center"/>
    </xf>
    <xf numFmtId="0" fontId="17" fillId="10" borderId="17" xfId="0" applyFont="1" applyFill="1" applyBorder="1" applyAlignment="1">
      <alignment horizontal="center" vertical="center"/>
    </xf>
    <xf numFmtId="0" fontId="17" fillId="10" borderId="24" xfId="0" applyFont="1" applyFill="1" applyBorder="1" applyAlignment="1">
      <alignment horizontal="center" vertical="center"/>
    </xf>
    <xf numFmtId="0" fontId="17" fillId="10" borderId="18" xfId="0" applyFont="1" applyFill="1" applyBorder="1" applyAlignment="1">
      <alignment horizontal="center" vertical="center"/>
    </xf>
    <xf numFmtId="0" fontId="6" fillId="0" borderId="15" xfId="0" applyFont="1" applyBorder="1" applyAlignment="1" applyProtection="1">
      <alignment horizontal="left"/>
      <protection locked="0"/>
    </xf>
    <xf numFmtId="0" fontId="6" fillId="0" borderId="6" xfId="0" applyFont="1" applyBorder="1" applyAlignment="1" applyProtection="1">
      <alignment horizontal="left"/>
      <protection locked="0"/>
    </xf>
    <xf numFmtId="0" fontId="6" fillId="0" borderId="44" xfId="0" applyFont="1" applyBorder="1" applyAlignment="1" applyProtection="1">
      <alignment horizontal="left"/>
      <protection locked="0"/>
    </xf>
    <xf numFmtId="0" fontId="6" fillId="0" borderId="46" xfId="0" applyFont="1" applyBorder="1" applyAlignment="1" applyProtection="1">
      <alignment horizontal="left"/>
      <protection locked="0"/>
    </xf>
    <xf numFmtId="0" fontId="7" fillId="0" borderId="15" xfId="0" applyFont="1" applyBorder="1" applyAlignment="1">
      <alignment horizontal="left"/>
    </xf>
    <xf numFmtId="0" fontId="7" fillId="0" borderId="11" xfId="0" applyFont="1" applyBorder="1" applyAlignment="1">
      <alignment horizontal="left"/>
    </xf>
    <xf numFmtId="0" fontId="2" fillId="0" borderId="0" xfId="0" applyFont="1" applyAlignment="1">
      <alignment horizontal="left"/>
    </xf>
    <xf numFmtId="0" fontId="2" fillId="0" borderId="0" xfId="0" applyFont="1" applyAlignment="1">
      <alignment horizontal="left" vertical="center" wrapText="1" indent="1"/>
    </xf>
    <xf numFmtId="0" fontId="2" fillId="0" borderId="0" xfId="0" applyFont="1" applyAlignment="1">
      <alignment horizontal="left" wrapText="1" indent="1"/>
    </xf>
    <xf numFmtId="0" fontId="7" fillId="0" borderId="0" xfId="0" applyFont="1" applyAlignment="1">
      <alignment horizontal="left" vertical="center" wrapText="1"/>
    </xf>
    <xf numFmtId="0" fontId="7" fillId="0" borderId="0" xfId="0" applyFont="1" applyAlignment="1">
      <alignment horizontal="left" vertical="center"/>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16" xfId="0" applyFont="1" applyBorder="1" applyAlignment="1">
      <alignment horizontal="center" vertical="center"/>
    </xf>
    <xf numFmtId="0" fontId="2" fillId="0" borderId="20" xfId="0" applyFont="1" applyBorder="1" applyAlignment="1">
      <alignment horizontal="center" vertical="center"/>
    </xf>
    <xf numFmtId="0" fontId="2" fillId="0" borderId="13" xfId="0" applyFont="1" applyBorder="1" applyAlignment="1">
      <alignment horizontal="left" vertical="top" wrapText="1"/>
    </xf>
    <xf numFmtId="0" fontId="2" fillId="0" borderId="23" xfId="0" applyFont="1" applyBorder="1" applyAlignment="1">
      <alignment horizontal="left" vertical="top"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2" fillId="0" borderId="11" xfId="0" applyFont="1" applyBorder="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24" xfId="0" applyFont="1" applyBorder="1" applyAlignment="1">
      <alignment horizontal="left" vertical="top" wrapText="1"/>
    </xf>
    <xf numFmtId="0" fontId="2" fillId="0" borderId="18" xfId="0" applyFont="1" applyBorder="1" applyAlignment="1">
      <alignment horizontal="left" vertical="top" wrapText="1"/>
    </xf>
    <xf numFmtId="0" fontId="6" fillId="0" borderId="17" xfId="0" applyFont="1" applyBorder="1" applyAlignment="1">
      <alignment horizontal="left" vertical="top"/>
    </xf>
    <xf numFmtId="0" fontId="2" fillId="0" borderId="24" xfId="0" applyFont="1" applyBorder="1"/>
    <xf numFmtId="0" fontId="6" fillId="0" borderId="15" xfId="0" applyFont="1" applyBorder="1" applyAlignment="1">
      <alignment vertical="top"/>
    </xf>
    <xf numFmtId="0" fontId="8" fillId="0" borderId="11" xfId="0" applyFont="1" applyBorder="1"/>
    <xf numFmtId="0" fontId="2" fillId="0" borderId="11" xfId="0" applyFont="1" applyBorder="1"/>
    <xf numFmtId="0" fontId="6" fillId="0" borderId="17" xfId="0" applyFont="1" applyBorder="1" applyAlignment="1">
      <alignment vertical="top"/>
    </xf>
    <xf numFmtId="0" fontId="8" fillId="0" borderId="24" xfId="0" applyFont="1" applyBorder="1"/>
    <xf numFmtId="0" fontId="6" fillId="0" borderId="25" xfId="0" applyFont="1" applyBorder="1" applyAlignment="1">
      <alignment horizontal="left"/>
    </xf>
    <xf numFmtId="0" fontId="6" fillId="0" borderId="33" xfId="0" applyFont="1" applyBorder="1" applyAlignment="1">
      <alignment horizontal="left"/>
    </xf>
    <xf numFmtId="0" fontId="6" fillId="0" borderId="13" xfId="0" applyFont="1" applyBorder="1" applyAlignment="1">
      <alignment horizontal="left" vertical="top"/>
    </xf>
    <xf numFmtId="0" fontId="8" fillId="0" borderId="23" xfId="0" applyFont="1" applyBorder="1"/>
    <xf numFmtId="0" fontId="6" fillId="0" borderId="15" xfId="0" applyFont="1" applyBorder="1" applyAlignment="1">
      <alignment horizontal="left" vertical="top"/>
    </xf>
    <xf numFmtId="0" fontId="15" fillId="0" borderId="13" xfId="0" applyFont="1" applyBorder="1" applyAlignment="1">
      <alignment horizontal="left" vertical="center"/>
    </xf>
    <xf numFmtId="0" fontId="15" fillId="0" borderId="23" xfId="0" applyFont="1" applyBorder="1" applyAlignment="1">
      <alignment horizontal="left" vertical="center"/>
    </xf>
    <xf numFmtId="0" fontId="6" fillId="0" borderId="30" xfId="0" applyFont="1" applyBorder="1" applyAlignment="1">
      <alignment vertical="top"/>
    </xf>
    <xf numFmtId="0" fontId="8" fillId="0" borderId="12" xfId="0" applyFont="1" applyBorder="1"/>
    <xf numFmtId="0" fontId="6" fillId="0" borderId="51" xfId="0" applyFont="1" applyBorder="1" applyAlignment="1" applyProtection="1">
      <alignment horizontal="left"/>
      <protection locked="0"/>
    </xf>
    <xf numFmtId="0" fontId="6" fillId="0" borderId="52" xfId="0" applyFont="1" applyBorder="1" applyAlignment="1" applyProtection="1">
      <alignment horizontal="left"/>
      <protection locked="0"/>
    </xf>
    <xf numFmtId="0" fontId="6" fillId="0" borderId="13" xfId="0" applyFont="1" applyBorder="1" applyAlignment="1" applyProtection="1">
      <alignment horizontal="left"/>
      <protection locked="0"/>
    </xf>
    <xf numFmtId="0" fontId="6" fillId="0" borderId="50" xfId="0" applyFont="1" applyBorder="1" applyAlignment="1" applyProtection="1">
      <alignment horizontal="left"/>
      <protection locked="0"/>
    </xf>
    <xf numFmtId="0" fontId="6" fillId="0" borderId="27" xfId="0" applyFont="1" applyBorder="1" applyAlignment="1">
      <alignment vertical="top"/>
    </xf>
    <xf numFmtId="0" fontId="8" fillId="0" borderId="28" xfId="0" applyFont="1" applyBorder="1"/>
    <xf numFmtId="0" fontId="6" fillId="0" borderId="21" xfId="0" applyFont="1" applyBorder="1" applyAlignment="1">
      <alignment vertical="top"/>
    </xf>
    <xf numFmtId="0" fontId="8" fillId="0" borderId="32" xfId="0" applyFont="1" applyBorder="1"/>
    <xf numFmtId="49" fontId="2" fillId="5" borderId="2" xfId="0" applyNumberFormat="1" applyFont="1" applyFill="1" applyBorder="1" applyAlignment="1">
      <alignment horizontal="center"/>
    </xf>
    <xf numFmtId="0" fontId="8" fillId="5" borderId="4" xfId="0" applyFont="1" applyFill="1" applyBorder="1"/>
    <xf numFmtId="0" fontId="6" fillId="0" borderId="44" xfId="0" applyFont="1" applyBorder="1" applyAlignment="1">
      <alignment vertical="top"/>
    </xf>
    <xf numFmtId="0" fontId="8" fillId="0" borderId="8" xfId="0" applyFont="1" applyBorder="1"/>
    <xf numFmtId="0" fontId="16" fillId="0" borderId="9" xfId="0" applyFont="1" applyBorder="1" applyAlignment="1">
      <alignment horizontal="center" vertical="center"/>
    </xf>
    <xf numFmtId="0" fontId="7" fillId="0" borderId="11" xfId="0" applyFont="1" applyBorder="1" applyAlignment="1">
      <alignment horizontal="left" vertical="center" wrapText="1"/>
    </xf>
    <xf numFmtId="165" fontId="2" fillId="0" borderId="13" xfId="1" applyFont="1" applyBorder="1" applyAlignment="1" applyProtection="1">
      <protection locked="0"/>
    </xf>
    <xf numFmtId="164" fontId="2" fillId="0" borderId="23" xfId="2" applyFont="1" applyBorder="1" applyAlignment="1" applyProtection="1">
      <protection locked="0"/>
    </xf>
    <xf numFmtId="165" fontId="2" fillId="0" borderId="23" xfId="1" applyFont="1" applyBorder="1" applyAlignment="1" applyProtection="1">
      <protection locked="0"/>
    </xf>
    <xf numFmtId="165" fontId="2" fillId="0" borderId="15" xfId="1" applyFont="1" applyBorder="1" applyAlignment="1" applyProtection="1">
      <protection locked="0"/>
    </xf>
    <xf numFmtId="165" fontId="2" fillId="0" borderId="11" xfId="1" applyFont="1" applyBorder="1" applyAlignment="1" applyProtection="1">
      <protection locked="0"/>
    </xf>
    <xf numFmtId="9" fontId="2" fillId="0" borderId="11" xfId="3" applyFont="1" applyBorder="1" applyAlignment="1" applyProtection="1">
      <alignment horizontal="right"/>
      <protection locked="0"/>
    </xf>
    <xf numFmtId="165" fontId="2" fillId="0" borderId="11" xfId="1" applyFont="1" applyBorder="1" applyAlignment="1" applyProtection="1">
      <alignment horizontal="right"/>
      <protection locked="0"/>
    </xf>
    <xf numFmtId="165" fontId="2" fillId="0" borderId="15" xfId="1" applyFont="1" applyBorder="1" applyAlignment="1" applyProtection="1">
      <alignment horizontal="left"/>
      <protection locked="0"/>
    </xf>
    <xf numFmtId="167" fontId="2" fillId="0" borderId="15" xfId="0" applyNumberFormat="1" applyFont="1" applyFill="1" applyBorder="1" applyAlignment="1"/>
    <xf numFmtId="0" fontId="2" fillId="5" borderId="3" xfId="0" applyFont="1" applyFill="1" applyBorder="1"/>
    <xf numFmtId="167" fontId="7" fillId="0" borderId="11" xfId="2" applyNumberFormat="1" applyFont="1" applyFill="1" applyBorder="1"/>
    <xf numFmtId="167" fontId="3" fillId="0" borderId="0" xfId="0" applyNumberFormat="1" applyFont="1" applyAlignment="1"/>
    <xf numFmtId="167" fontId="3" fillId="0" borderId="16" xfId="0" applyNumberFormat="1" applyFont="1" applyBorder="1" applyAlignment="1"/>
    <xf numFmtId="164" fontId="2" fillId="0" borderId="16" xfId="2" applyNumberFormat="1" applyFont="1" applyFill="1" applyBorder="1" applyAlignment="1"/>
    <xf numFmtId="44" fontId="2" fillId="0" borderId="18" xfId="0" applyNumberFormat="1" applyFon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904F-79CC-C34E-A4AA-70ABE97091DA}">
  <dimension ref="A1:P29"/>
  <sheetViews>
    <sheetView zoomScale="67" zoomScaleNormal="67" workbookViewId="0">
      <selection activeCell="A18" sqref="A18:M18"/>
    </sheetView>
  </sheetViews>
  <sheetFormatPr defaultColWidth="11.83203125" defaultRowHeight="14.25" x14ac:dyDescent="0.65"/>
  <sheetData>
    <row r="1" spans="1:16" x14ac:dyDescent="0.65">
      <c r="A1" s="215" t="s">
        <v>21</v>
      </c>
      <c r="B1" s="215"/>
      <c r="C1" s="215"/>
      <c r="D1" s="215"/>
      <c r="E1" s="215"/>
      <c r="F1" s="215"/>
      <c r="G1" s="215"/>
      <c r="H1" s="215"/>
      <c r="I1" s="215"/>
      <c r="J1" s="215"/>
      <c r="K1" s="215"/>
      <c r="L1" s="215"/>
      <c r="M1" s="215"/>
      <c r="N1" s="215"/>
      <c r="O1" s="215"/>
    </row>
    <row r="2" spans="1:16" x14ac:dyDescent="0.65">
      <c r="A2" s="215"/>
      <c r="B2" s="215"/>
      <c r="C2" s="215"/>
      <c r="D2" s="215"/>
      <c r="E2" s="215"/>
      <c r="F2" s="215"/>
      <c r="G2" s="215"/>
      <c r="H2" s="215"/>
      <c r="I2" s="215"/>
      <c r="J2" s="215"/>
      <c r="K2" s="215"/>
      <c r="L2" s="215"/>
      <c r="M2" s="215"/>
      <c r="N2" s="215"/>
      <c r="O2" s="215"/>
    </row>
    <row r="3" spans="1:16" ht="30.25" x14ac:dyDescent="0.65">
      <c r="A3" s="31"/>
      <c r="B3" s="31"/>
      <c r="C3" s="31"/>
      <c r="D3" s="31"/>
      <c r="E3" s="31"/>
      <c r="F3" s="31"/>
      <c r="G3" s="31"/>
      <c r="H3" s="31"/>
      <c r="I3" s="31"/>
      <c r="J3" s="31"/>
      <c r="K3" s="31"/>
      <c r="L3" s="31"/>
      <c r="M3" s="31"/>
      <c r="N3" s="31"/>
      <c r="O3" s="31"/>
    </row>
    <row r="4" spans="1:16" ht="30.25" x14ac:dyDescent="0.65">
      <c r="A4" s="219" t="s">
        <v>40</v>
      </c>
      <c r="B4" s="219"/>
      <c r="C4" s="219"/>
      <c r="D4" s="219"/>
      <c r="E4" s="219"/>
      <c r="F4" s="219"/>
      <c r="G4" s="219"/>
      <c r="H4" s="219"/>
      <c r="I4" s="219"/>
      <c r="J4" s="219"/>
      <c r="K4" s="219"/>
      <c r="L4" s="219"/>
      <c r="M4" s="219"/>
      <c r="N4" s="219"/>
      <c r="O4" s="219"/>
    </row>
    <row r="6" spans="1:16" ht="15.25" x14ac:dyDescent="0.65">
      <c r="A6" s="28" t="s">
        <v>22</v>
      </c>
      <c r="B6" s="28"/>
      <c r="C6" s="28"/>
      <c r="D6" s="28"/>
      <c r="E6" s="28"/>
      <c r="F6" s="28"/>
      <c r="G6" s="28"/>
      <c r="H6" s="28"/>
      <c r="I6" s="28"/>
      <c r="J6" s="28"/>
    </row>
    <row r="7" spans="1:16" ht="15.25" x14ac:dyDescent="0.65">
      <c r="A7" s="28" t="s">
        <v>23</v>
      </c>
      <c r="B7" s="28"/>
      <c r="C7" s="28"/>
      <c r="D7" s="28"/>
      <c r="E7" s="28"/>
      <c r="F7" s="28"/>
      <c r="G7" s="28"/>
      <c r="H7" s="28"/>
      <c r="I7" s="28"/>
      <c r="J7" s="28"/>
    </row>
    <row r="8" spans="1:16" ht="15.25" x14ac:dyDescent="0.65">
      <c r="A8" s="28" t="s">
        <v>94</v>
      </c>
      <c r="B8" s="28"/>
      <c r="C8" s="28"/>
      <c r="D8" s="28"/>
      <c r="E8" s="28"/>
      <c r="F8" s="28"/>
      <c r="G8" s="28"/>
      <c r="H8" s="28"/>
      <c r="I8" s="28"/>
      <c r="J8" s="28"/>
    </row>
    <row r="9" spans="1:16" ht="15.25" x14ac:dyDescent="0.65">
      <c r="A9" s="216" t="s">
        <v>27</v>
      </c>
      <c r="B9" s="213" t="s">
        <v>28</v>
      </c>
      <c r="C9" s="213"/>
      <c r="D9" s="213"/>
      <c r="E9" s="213"/>
      <c r="F9" s="213"/>
      <c r="G9" s="213"/>
      <c r="H9" s="213"/>
      <c r="I9" s="213"/>
      <c r="J9" s="213"/>
      <c r="K9" s="213"/>
      <c r="L9" s="213"/>
      <c r="M9" s="213"/>
    </row>
    <row r="10" spans="1:16" x14ac:dyDescent="0.65">
      <c r="A10" s="217"/>
      <c r="B10" s="218" t="s">
        <v>93</v>
      </c>
      <c r="C10" s="218"/>
      <c r="D10" s="218"/>
      <c r="E10" s="218"/>
      <c r="F10" s="218"/>
      <c r="G10" s="218"/>
      <c r="H10" s="216" t="s">
        <v>29</v>
      </c>
      <c r="I10" s="216"/>
      <c r="J10" s="216"/>
      <c r="K10" s="216"/>
      <c r="L10" s="216"/>
      <c r="M10" s="216"/>
    </row>
    <row r="11" spans="1:16" x14ac:dyDescent="0.65">
      <c r="A11" s="217"/>
      <c r="B11" s="218"/>
      <c r="C11" s="218"/>
      <c r="D11" s="218"/>
      <c r="E11" s="218"/>
      <c r="F11" s="218"/>
      <c r="G11" s="218"/>
      <c r="H11" s="216"/>
      <c r="I11" s="216"/>
      <c r="J11" s="216"/>
      <c r="K11" s="216"/>
      <c r="L11" s="216"/>
      <c r="M11" s="216"/>
    </row>
    <row r="12" spans="1:16" x14ac:dyDescent="0.65">
      <c r="A12" s="214" t="s">
        <v>30</v>
      </c>
      <c r="B12" s="214"/>
      <c r="C12" s="214"/>
      <c r="D12" s="214"/>
      <c r="E12" s="214"/>
      <c r="F12" s="214"/>
      <c r="G12" s="214"/>
      <c r="H12" s="214"/>
      <c r="I12" s="214"/>
      <c r="J12" s="214"/>
      <c r="K12" s="214"/>
      <c r="L12" s="214"/>
      <c r="M12" s="214"/>
      <c r="N12" s="214"/>
      <c r="O12" s="214"/>
      <c r="P12" s="214"/>
    </row>
    <row r="13" spans="1:16" x14ac:dyDescent="0.65">
      <c r="A13" s="214"/>
      <c r="B13" s="214"/>
      <c r="C13" s="214"/>
      <c r="D13" s="214"/>
      <c r="E13" s="214"/>
      <c r="F13" s="214"/>
      <c r="G13" s="214"/>
      <c r="H13" s="214"/>
      <c r="I13" s="214"/>
      <c r="J13" s="214"/>
      <c r="K13" s="214"/>
      <c r="L13" s="214"/>
      <c r="M13" s="214"/>
      <c r="N13" s="214"/>
      <c r="O13" s="214"/>
      <c r="P13" s="214"/>
    </row>
    <row r="15" spans="1:16" ht="15.5" x14ac:dyDescent="0.7">
      <c r="A15" s="210" t="s">
        <v>24</v>
      </c>
      <c r="B15" s="210"/>
      <c r="C15" s="210"/>
      <c r="D15" s="28"/>
      <c r="E15" s="28"/>
      <c r="F15" s="28"/>
      <c r="G15" s="28"/>
      <c r="H15" s="28"/>
      <c r="I15" s="28"/>
      <c r="J15" s="28"/>
      <c r="K15" s="28"/>
    </row>
    <row r="16" spans="1:16" ht="15.25" x14ac:dyDescent="0.65">
      <c r="A16" s="213" t="s">
        <v>31</v>
      </c>
      <c r="B16" s="213"/>
      <c r="C16" s="213"/>
      <c r="D16" s="213"/>
      <c r="E16" s="213"/>
      <c r="F16" s="213"/>
      <c r="G16" s="213"/>
      <c r="H16" s="213"/>
      <c r="I16" s="213"/>
      <c r="J16" s="213"/>
      <c r="K16" s="213"/>
      <c r="L16" s="213"/>
      <c r="M16" s="213"/>
    </row>
    <row r="17" spans="1:13" ht="15.25" x14ac:dyDescent="0.65">
      <c r="A17" s="213" t="s">
        <v>38</v>
      </c>
      <c r="B17" s="213"/>
      <c r="C17" s="213"/>
      <c r="D17" s="213"/>
      <c r="E17" s="213"/>
      <c r="F17" s="30"/>
      <c r="G17" s="28"/>
      <c r="H17" s="28"/>
      <c r="I17" s="28"/>
      <c r="J17" s="28"/>
      <c r="K17" s="28"/>
    </row>
    <row r="18" spans="1:13" ht="15.25" x14ac:dyDescent="0.65">
      <c r="A18" s="213" t="s">
        <v>39</v>
      </c>
      <c r="B18" s="213"/>
      <c r="C18" s="213"/>
      <c r="D18" s="213"/>
      <c r="E18" s="213"/>
      <c r="F18" s="213"/>
      <c r="G18" s="213"/>
      <c r="H18" s="213"/>
      <c r="I18" s="213"/>
      <c r="J18" s="213"/>
      <c r="K18" s="213"/>
      <c r="L18" s="213"/>
      <c r="M18" s="213"/>
    </row>
    <row r="19" spans="1:13" ht="15.25" x14ac:dyDescent="0.65">
      <c r="A19" s="213" t="s">
        <v>32</v>
      </c>
      <c r="B19" s="213"/>
      <c r="C19" s="213"/>
      <c r="D19" s="213"/>
      <c r="E19" s="213"/>
      <c r="F19" s="213"/>
      <c r="G19" s="213"/>
      <c r="H19" s="213"/>
      <c r="I19" s="213"/>
      <c r="J19" s="213"/>
      <c r="K19" s="213"/>
      <c r="L19" s="213"/>
      <c r="M19" s="213"/>
    </row>
    <row r="20" spans="1:13" ht="15.25" x14ac:dyDescent="0.65">
      <c r="A20" s="213" t="s">
        <v>33</v>
      </c>
      <c r="B20" s="213"/>
      <c r="C20" s="213"/>
      <c r="D20" s="213"/>
      <c r="E20" s="213"/>
      <c r="F20" s="213"/>
      <c r="G20" s="213"/>
      <c r="H20" s="213"/>
      <c r="I20" s="213"/>
      <c r="J20" s="213"/>
      <c r="K20" s="213"/>
      <c r="L20" s="213"/>
      <c r="M20" s="213"/>
    </row>
    <row r="21" spans="1:13" ht="15.25" x14ac:dyDescent="0.65">
      <c r="A21" s="213" t="s">
        <v>34</v>
      </c>
      <c r="B21" s="213"/>
      <c r="C21" s="213"/>
      <c r="D21" s="213"/>
      <c r="E21" s="213"/>
      <c r="F21" s="213"/>
      <c r="G21" s="213"/>
      <c r="H21" s="213"/>
      <c r="I21" s="213"/>
      <c r="J21" s="213"/>
      <c r="K21" s="213"/>
      <c r="L21" s="213"/>
      <c r="M21" s="213"/>
    </row>
    <row r="22" spans="1:13" ht="15.25" x14ac:dyDescent="0.65">
      <c r="A22" s="213" t="s">
        <v>35</v>
      </c>
      <c r="B22" s="213"/>
      <c r="C22" s="213"/>
      <c r="D22" s="213"/>
      <c r="E22" s="213"/>
      <c r="F22" s="213"/>
      <c r="G22" s="213"/>
      <c r="H22" s="213"/>
      <c r="I22" s="213"/>
      <c r="J22" s="213"/>
      <c r="K22" s="213"/>
      <c r="L22" s="213"/>
      <c r="M22" s="213"/>
    </row>
    <row r="23" spans="1:13" ht="15.25" x14ac:dyDescent="0.65">
      <c r="A23" s="213" t="s">
        <v>37</v>
      </c>
      <c r="B23" s="213"/>
      <c r="C23" s="213"/>
      <c r="D23" s="213"/>
      <c r="E23" s="213"/>
      <c r="F23" s="213"/>
      <c r="G23" s="213"/>
      <c r="H23" s="213"/>
      <c r="I23" s="213"/>
      <c r="J23" s="213"/>
      <c r="K23" s="213"/>
      <c r="L23" s="213"/>
      <c r="M23" s="213"/>
    </row>
    <row r="24" spans="1:13" ht="15.25" x14ac:dyDescent="0.65">
      <c r="A24" s="29"/>
      <c r="B24" s="29"/>
      <c r="C24" s="29"/>
      <c r="D24" s="29"/>
      <c r="E24" s="29"/>
      <c r="F24" s="29"/>
      <c r="G24" s="29"/>
      <c r="H24" s="29"/>
      <c r="I24" s="29"/>
      <c r="J24" s="29"/>
      <c r="K24" s="29"/>
      <c r="L24" s="29"/>
      <c r="M24" s="29"/>
    </row>
    <row r="25" spans="1:13" ht="15.5" x14ac:dyDescent="0.7">
      <c r="A25" s="210" t="s">
        <v>36</v>
      </c>
      <c r="B25" s="210"/>
      <c r="C25" s="210"/>
      <c r="D25" s="210"/>
      <c r="E25" s="210"/>
      <c r="F25" s="210"/>
      <c r="G25" s="210"/>
      <c r="H25" s="210"/>
      <c r="I25" s="210"/>
      <c r="J25" s="210"/>
      <c r="K25" s="210"/>
      <c r="L25" s="210"/>
      <c r="M25" s="210"/>
    </row>
    <row r="26" spans="1:13" ht="15.25" x14ac:dyDescent="0.65">
      <c r="A26" s="28"/>
      <c r="B26" s="28"/>
      <c r="C26" s="28"/>
      <c r="D26" s="28"/>
      <c r="E26" s="28"/>
      <c r="F26" s="28"/>
      <c r="G26" s="28"/>
      <c r="H26" s="28"/>
      <c r="I26" s="28"/>
      <c r="J26" s="28"/>
      <c r="K26" s="28"/>
    </row>
    <row r="27" spans="1:13" ht="15.5" x14ac:dyDescent="0.7">
      <c r="A27" s="211" t="s">
        <v>25</v>
      </c>
      <c r="B27" s="211"/>
      <c r="C27" s="211"/>
      <c r="D27" s="211"/>
      <c r="E27" s="211"/>
      <c r="F27" s="211"/>
      <c r="G27" s="28"/>
      <c r="H27" s="28"/>
      <c r="I27" s="28"/>
      <c r="J27" s="28"/>
      <c r="K27" s="28"/>
    </row>
    <row r="28" spans="1:13" ht="15.25" x14ac:dyDescent="0.65">
      <c r="A28" s="28"/>
      <c r="B28" s="28"/>
      <c r="C28" s="28"/>
      <c r="D28" s="28"/>
      <c r="E28" s="28"/>
      <c r="F28" s="28"/>
      <c r="G28" s="28"/>
      <c r="H28" s="28"/>
      <c r="I28" s="28"/>
      <c r="J28" s="28"/>
      <c r="K28" s="28"/>
    </row>
    <row r="29" spans="1:13" ht="15.25" x14ac:dyDescent="0.65">
      <c r="A29" s="212" t="s">
        <v>26</v>
      </c>
      <c r="B29" s="212"/>
      <c r="C29" s="212"/>
      <c r="D29" s="28"/>
      <c r="E29" s="28"/>
      <c r="F29" s="28"/>
      <c r="G29" s="28"/>
      <c r="H29" s="28"/>
      <c r="I29" s="28"/>
      <c r="J29" s="28"/>
      <c r="K29" s="28"/>
    </row>
  </sheetData>
  <mergeCells count="19">
    <mergeCell ref="A1:O2"/>
    <mergeCell ref="A9:A11"/>
    <mergeCell ref="B9:M9"/>
    <mergeCell ref="B10:G11"/>
    <mergeCell ref="H10:M11"/>
    <mergeCell ref="A4:O4"/>
    <mergeCell ref="A12:P13"/>
    <mergeCell ref="A15:C15"/>
    <mergeCell ref="A16:M16"/>
    <mergeCell ref="A17:E17"/>
    <mergeCell ref="A18:M18"/>
    <mergeCell ref="A25:M25"/>
    <mergeCell ref="A27:F27"/>
    <mergeCell ref="A29:C29"/>
    <mergeCell ref="A19:M19"/>
    <mergeCell ref="A20:M20"/>
    <mergeCell ref="A21:M21"/>
    <mergeCell ref="A22:M22"/>
    <mergeCell ref="A23:M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9D01-7089-D84C-BEFD-4A2CC3A41F3F}">
  <dimension ref="B1:AH162"/>
  <sheetViews>
    <sheetView tabSelected="1" topLeftCell="K7" zoomScale="40" zoomScaleNormal="40" workbookViewId="0">
      <selection activeCell="U17" sqref="U17"/>
    </sheetView>
  </sheetViews>
  <sheetFormatPr defaultColWidth="10.83203125" defaultRowHeight="16" x14ac:dyDescent="0.8"/>
  <cols>
    <col min="1" max="2" width="10.83203125" style="2"/>
    <col min="3" max="3" width="11" style="2" bestFit="1" customWidth="1"/>
    <col min="4" max="4" width="12.33203125" style="2" customWidth="1"/>
    <col min="5" max="5" width="11" style="2" bestFit="1" customWidth="1"/>
    <col min="6" max="6" width="11.83203125" style="2" customWidth="1"/>
    <col min="7" max="7" width="10.83203125" style="2"/>
    <col min="8" max="8" width="20.83203125" style="2" customWidth="1"/>
    <col min="9" max="10" width="10.83203125" style="2"/>
    <col min="11" max="11" width="17.6640625" style="2" customWidth="1"/>
    <col min="12" max="12" width="13.5" style="2" bestFit="1" customWidth="1"/>
    <col min="13" max="13" width="21" style="2" customWidth="1"/>
    <col min="14" max="14" width="13" style="2" bestFit="1" customWidth="1"/>
    <col min="15" max="15" width="12.83203125" style="2" bestFit="1" customWidth="1"/>
    <col min="16" max="16" width="15" style="2" bestFit="1" customWidth="1"/>
    <col min="17" max="17" width="12" style="2" bestFit="1" customWidth="1"/>
    <col min="18" max="18" width="15.33203125" style="2" bestFit="1" customWidth="1"/>
    <col min="19" max="19" width="15.25" style="2" customWidth="1"/>
    <col min="20" max="20" width="15.9140625" style="2" customWidth="1"/>
    <col min="21" max="21" width="12" style="2" customWidth="1"/>
    <col min="22" max="22" width="16.08203125" style="2" customWidth="1"/>
    <col min="23" max="16384" width="10.83203125" style="2"/>
  </cols>
  <sheetData>
    <row r="1" spans="2:34" ht="16.75" thickBot="1" x14ac:dyDescent="0.95">
      <c r="B1" s="3" t="s">
        <v>0</v>
      </c>
      <c r="C1" s="38" t="s">
        <v>95</v>
      </c>
      <c r="D1" s="4" t="s">
        <v>3</v>
      </c>
      <c r="E1" s="279" t="s">
        <v>96</v>
      </c>
      <c r="F1" s="280"/>
      <c r="G1" s="5" t="s">
        <v>4</v>
      </c>
      <c r="H1" s="37">
        <v>1947025</v>
      </c>
      <c r="I1" s="6" t="s">
        <v>5</v>
      </c>
      <c r="J1" s="36">
        <v>4</v>
      </c>
      <c r="X1" s="122"/>
      <c r="Y1" s="122"/>
      <c r="Z1" s="122"/>
      <c r="AA1" s="122"/>
      <c r="AB1" s="122"/>
      <c r="AC1" s="122"/>
      <c r="AD1" s="122"/>
      <c r="AE1" s="122"/>
      <c r="AF1" s="122"/>
      <c r="AG1" s="122"/>
      <c r="AH1" s="122"/>
    </row>
    <row r="2" spans="2:34" ht="15.5" customHeight="1" x14ac:dyDescent="0.8">
      <c r="B2" s="3" t="s">
        <v>0</v>
      </c>
      <c r="C2" s="38" t="s">
        <v>97</v>
      </c>
      <c r="D2" s="4" t="s">
        <v>3</v>
      </c>
      <c r="E2" s="279" t="s">
        <v>98</v>
      </c>
      <c r="F2" s="280"/>
      <c r="G2" s="5" t="s">
        <v>4</v>
      </c>
      <c r="H2" s="37">
        <v>1949477</v>
      </c>
      <c r="I2" s="6" t="s">
        <v>5</v>
      </c>
      <c r="J2" s="36">
        <v>4</v>
      </c>
      <c r="K2" s="1"/>
      <c r="X2" s="221" t="s">
        <v>89</v>
      </c>
      <c r="Y2" s="222"/>
      <c r="Z2" s="222"/>
      <c r="AA2" s="222"/>
      <c r="AB2" s="222"/>
      <c r="AC2" s="222"/>
      <c r="AD2" s="222"/>
      <c r="AE2" s="222"/>
      <c r="AF2" s="222"/>
      <c r="AG2" s="222"/>
      <c r="AH2" s="223"/>
    </row>
    <row r="3" spans="2:34" ht="16" customHeight="1" thickBot="1" x14ac:dyDescent="0.95">
      <c r="B3" s="3" t="s">
        <v>0</v>
      </c>
      <c r="C3" s="38" t="s">
        <v>99</v>
      </c>
      <c r="D3" s="4" t="s">
        <v>3</v>
      </c>
      <c r="E3" s="279" t="s">
        <v>100</v>
      </c>
      <c r="F3" s="280"/>
      <c r="G3" s="5" t="s">
        <v>4</v>
      </c>
      <c r="H3" s="294">
        <v>2050874</v>
      </c>
      <c r="I3" s="6" t="s">
        <v>5</v>
      </c>
      <c r="J3" s="36">
        <v>4</v>
      </c>
      <c r="X3" s="224"/>
      <c r="Y3" s="225"/>
      <c r="Z3" s="225"/>
      <c r="AA3" s="225"/>
      <c r="AB3" s="225"/>
      <c r="AC3" s="225"/>
      <c r="AD3" s="225"/>
      <c r="AE3" s="225"/>
      <c r="AF3" s="225"/>
      <c r="AG3" s="225"/>
      <c r="AH3" s="226"/>
    </row>
    <row r="4" spans="2:34" ht="14" customHeight="1" thickBot="1" x14ac:dyDescent="0.95">
      <c r="B4" s="283" t="s">
        <v>75</v>
      </c>
      <c r="C4" s="283"/>
      <c r="D4" s="283"/>
      <c r="E4" s="283"/>
      <c r="F4" s="283"/>
      <c r="G4" s="283" t="s">
        <v>41</v>
      </c>
      <c r="H4" s="283"/>
      <c r="I4" s="7"/>
      <c r="K4" s="1" t="s">
        <v>7</v>
      </c>
      <c r="L4" s="32"/>
      <c r="M4" s="32"/>
      <c r="N4" s="32"/>
      <c r="O4" s="32"/>
      <c r="P4" s="32"/>
      <c r="Q4" s="32"/>
      <c r="R4" s="123"/>
      <c r="S4" s="32"/>
      <c r="T4" s="32"/>
      <c r="U4" s="32"/>
      <c r="V4" s="32"/>
      <c r="X4" s="200"/>
      <c r="Y4" s="201"/>
      <c r="Z4" s="201"/>
      <c r="AA4" s="201"/>
      <c r="AB4" s="201"/>
      <c r="AC4" s="201"/>
      <c r="AD4" s="201"/>
      <c r="AE4" s="201"/>
      <c r="AF4" s="201"/>
      <c r="AG4" s="201"/>
      <c r="AH4" s="202"/>
    </row>
    <row r="5" spans="2:34" ht="14" customHeight="1" thickBot="1" x14ac:dyDescent="0.95">
      <c r="B5" s="236" t="s">
        <v>43</v>
      </c>
      <c r="C5" s="236"/>
      <c r="D5" s="236"/>
      <c r="E5" s="236"/>
      <c r="F5" s="236"/>
      <c r="G5" s="236"/>
      <c r="H5" s="236"/>
      <c r="K5" s="285" t="s">
        <v>111</v>
      </c>
      <c r="L5" s="286">
        <v>258000</v>
      </c>
      <c r="M5" s="287"/>
      <c r="N5" s="287"/>
      <c r="O5" s="287"/>
      <c r="P5" s="124"/>
      <c r="Q5" s="125"/>
      <c r="R5" s="32"/>
      <c r="S5" s="1" t="s">
        <v>80</v>
      </c>
      <c r="T5" s="32"/>
      <c r="U5" s="32"/>
      <c r="V5" s="32"/>
      <c r="X5" s="200"/>
      <c r="Y5" s="201"/>
      <c r="Z5" s="201"/>
      <c r="AA5" s="201"/>
      <c r="AB5" s="201"/>
      <c r="AC5" s="201"/>
      <c r="AD5" s="201"/>
      <c r="AE5" s="201"/>
      <c r="AF5" s="201"/>
      <c r="AG5" s="201"/>
      <c r="AH5" s="202"/>
    </row>
    <row r="6" spans="2:34" ht="14" customHeight="1" x14ac:dyDescent="0.8">
      <c r="B6" s="236"/>
      <c r="C6" s="236"/>
      <c r="D6" s="236"/>
      <c r="E6" s="236"/>
      <c r="F6" s="236"/>
      <c r="G6" s="236"/>
      <c r="H6" s="236"/>
      <c r="K6" s="288" t="s">
        <v>12</v>
      </c>
      <c r="L6" s="289">
        <v>387000</v>
      </c>
      <c r="M6" s="289"/>
      <c r="N6" s="289"/>
      <c r="O6" s="289"/>
      <c r="P6" s="127"/>
      <c r="Q6" s="128"/>
      <c r="R6" s="32"/>
      <c r="S6" s="157"/>
      <c r="T6" s="153"/>
      <c r="U6" s="153"/>
      <c r="V6" s="131"/>
      <c r="X6" s="200"/>
      <c r="Y6" s="201"/>
      <c r="Z6" s="201"/>
      <c r="AA6" s="201"/>
      <c r="AB6" s="201"/>
      <c r="AC6" s="201"/>
      <c r="AD6" s="201"/>
      <c r="AE6" s="201"/>
      <c r="AF6" s="201"/>
      <c r="AG6" s="201"/>
      <c r="AH6" s="202"/>
    </row>
    <row r="7" spans="2:34" ht="14" customHeight="1" x14ac:dyDescent="0.8">
      <c r="B7" s="236"/>
      <c r="C7" s="236"/>
      <c r="D7" s="236"/>
      <c r="E7" s="236"/>
      <c r="F7" s="236"/>
      <c r="G7" s="236"/>
      <c r="H7" s="236"/>
      <c r="K7" s="288" t="s">
        <v>112</v>
      </c>
      <c r="L7" s="289">
        <f>L6+L5</f>
        <v>645000</v>
      </c>
      <c r="M7" s="289" t="s">
        <v>113</v>
      </c>
      <c r="N7" s="289">
        <v>25</v>
      </c>
      <c r="O7" s="289"/>
      <c r="P7" s="127"/>
      <c r="Q7" s="128"/>
      <c r="R7" s="32"/>
      <c r="S7" s="133"/>
      <c r="T7" s="121"/>
      <c r="U7" s="121"/>
      <c r="V7" s="134"/>
      <c r="X7" s="200"/>
      <c r="Y7" s="201"/>
      <c r="Z7" s="201"/>
      <c r="AA7" s="201"/>
      <c r="AB7" s="201"/>
      <c r="AC7" s="201"/>
      <c r="AD7" s="201"/>
      <c r="AE7" s="201"/>
      <c r="AF7" s="201"/>
      <c r="AG7" s="201"/>
      <c r="AH7" s="202"/>
    </row>
    <row r="8" spans="2:34" ht="14" customHeight="1" thickBot="1" x14ac:dyDescent="0.95">
      <c r="B8" s="236"/>
      <c r="C8" s="236"/>
      <c r="D8" s="236"/>
      <c r="E8" s="236"/>
      <c r="F8" s="236"/>
      <c r="G8" s="236"/>
      <c r="H8" s="236"/>
      <c r="K8" s="288" t="s">
        <v>114</v>
      </c>
      <c r="L8" s="290">
        <f>L5/L7</f>
        <v>0.4</v>
      </c>
      <c r="M8" s="289" t="s">
        <v>115</v>
      </c>
      <c r="N8" s="289">
        <v>476000</v>
      </c>
      <c r="O8" s="291"/>
      <c r="P8" s="132"/>
      <c r="Q8" s="129"/>
      <c r="R8" s="130"/>
      <c r="S8" s="133" t="s">
        <v>109</v>
      </c>
      <c r="T8" s="121">
        <f>D43*E43+D44*E44+D45*E45+D46*E46+D47*E47</f>
        <v>46.4</v>
      </c>
      <c r="U8" s="121"/>
      <c r="V8" s="134"/>
      <c r="X8" s="200"/>
      <c r="Y8" s="201"/>
      <c r="Z8" s="201"/>
      <c r="AA8" s="201"/>
      <c r="AB8" s="201"/>
      <c r="AC8" s="201"/>
      <c r="AD8" s="201"/>
      <c r="AE8" s="201"/>
      <c r="AF8" s="201"/>
      <c r="AG8" s="201"/>
      <c r="AH8" s="202"/>
    </row>
    <row r="9" spans="2:34" ht="16.75" thickBot="1" x14ac:dyDescent="0.95">
      <c r="B9" s="236"/>
      <c r="C9" s="236"/>
      <c r="D9" s="236"/>
      <c r="E9" s="236"/>
      <c r="F9" s="236"/>
      <c r="G9" s="236"/>
      <c r="H9" s="236"/>
      <c r="K9" s="292" t="s">
        <v>116</v>
      </c>
      <c r="L9" s="290">
        <f>L6/L7</f>
        <v>0.6</v>
      </c>
      <c r="M9" s="289" t="s">
        <v>117</v>
      </c>
      <c r="N9" s="289">
        <v>26000</v>
      </c>
      <c r="O9" s="289"/>
      <c r="P9" s="127"/>
      <c r="Q9" s="129"/>
      <c r="R9" s="32"/>
      <c r="S9" s="137"/>
      <c r="T9" s="138"/>
      <c r="U9" s="138"/>
      <c r="V9" s="197">
        <f>T8</f>
        <v>46.4</v>
      </c>
      <c r="X9" s="200"/>
      <c r="Y9" s="201"/>
      <c r="Z9" s="201"/>
      <c r="AA9" s="201"/>
      <c r="AB9" s="201"/>
      <c r="AC9" s="201"/>
      <c r="AD9" s="201"/>
      <c r="AE9" s="201"/>
      <c r="AF9" s="201"/>
      <c r="AG9" s="201"/>
      <c r="AH9" s="202"/>
    </row>
    <row r="10" spans="2:34" x14ac:dyDescent="0.8">
      <c r="B10" s="236"/>
      <c r="C10" s="236"/>
      <c r="D10" s="236"/>
      <c r="E10" s="236"/>
      <c r="F10" s="236"/>
      <c r="G10" s="236"/>
      <c r="H10" s="236"/>
      <c r="K10" s="288" t="s">
        <v>118</v>
      </c>
      <c r="L10" s="135">
        <v>834000</v>
      </c>
      <c r="M10" s="289" t="s">
        <v>119</v>
      </c>
      <c r="N10" s="289">
        <f>(N8-N9)/N7</f>
        <v>18000</v>
      </c>
      <c r="O10" s="289"/>
      <c r="P10" s="41"/>
      <c r="Q10" s="129"/>
      <c r="R10" s="32"/>
      <c r="S10" s="32"/>
      <c r="T10" s="32"/>
      <c r="U10" s="32"/>
      <c r="V10" s="32"/>
      <c r="X10" s="200"/>
      <c r="Y10" s="201"/>
      <c r="Z10" s="201"/>
      <c r="AA10" s="201"/>
      <c r="AB10" s="201"/>
      <c r="AC10" s="201"/>
      <c r="AD10" s="201"/>
      <c r="AE10" s="201"/>
      <c r="AF10" s="201"/>
      <c r="AG10" s="201"/>
      <c r="AH10" s="202"/>
    </row>
    <row r="11" spans="2:34" ht="16" customHeight="1" thickBot="1" x14ac:dyDescent="0.95">
      <c r="B11" s="236"/>
      <c r="C11" s="236"/>
      <c r="D11" s="236"/>
      <c r="E11" s="236"/>
      <c r="F11" s="236"/>
      <c r="G11" s="236"/>
      <c r="H11" s="236"/>
      <c r="K11" s="288" t="s">
        <v>102</v>
      </c>
      <c r="L11" s="289">
        <v>11250</v>
      </c>
      <c r="M11" s="289" t="s">
        <v>120</v>
      </c>
      <c r="N11" s="289">
        <v>690000</v>
      </c>
      <c r="O11" s="289"/>
      <c r="P11" s="41"/>
      <c r="Q11" s="129"/>
      <c r="R11" s="32"/>
      <c r="S11" s="56" t="s">
        <v>90</v>
      </c>
      <c r="T11" s="57"/>
      <c r="U11" s="57"/>
      <c r="V11" s="57"/>
      <c r="X11" s="200"/>
      <c r="Y11" s="201"/>
      <c r="Z11" s="201"/>
      <c r="AA11" s="201"/>
      <c r="AB11" s="201"/>
      <c r="AC11" s="201"/>
      <c r="AD11" s="201"/>
      <c r="AE11" s="201"/>
      <c r="AF11" s="201"/>
      <c r="AG11" s="201"/>
      <c r="AH11" s="202"/>
    </row>
    <row r="12" spans="2:34" x14ac:dyDescent="0.8">
      <c r="B12" s="236"/>
      <c r="C12" s="236"/>
      <c r="D12" s="236"/>
      <c r="E12" s="236"/>
      <c r="F12" s="236"/>
      <c r="G12" s="236"/>
      <c r="H12" s="236"/>
      <c r="K12" s="288" t="s">
        <v>103</v>
      </c>
      <c r="L12" s="289">
        <v>19350</v>
      </c>
      <c r="M12" s="289" t="s">
        <v>121</v>
      </c>
      <c r="N12" s="289">
        <f>(L13-N11)/L15</f>
        <v>-43020</v>
      </c>
      <c r="O12" s="289"/>
      <c r="P12" s="41"/>
      <c r="Q12" s="129"/>
      <c r="R12" s="32"/>
      <c r="S12" s="267" t="s">
        <v>66</v>
      </c>
      <c r="T12" s="268"/>
      <c r="U12" s="159" t="s">
        <v>11</v>
      </c>
      <c r="V12" s="58" t="s">
        <v>67</v>
      </c>
      <c r="X12" s="200"/>
      <c r="Y12" s="201"/>
      <c r="Z12" s="201"/>
      <c r="AA12" s="201"/>
      <c r="AB12" s="201"/>
      <c r="AC12" s="201"/>
      <c r="AD12" s="201"/>
      <c r="AE12" s="201"/>
      <c r="AF12" s="201"/>
      <c r="AG12" s="201"/>
      <c r="AH12" s="202"/>
    </row>
    <row r="13" spans="2:34" x14ac:dyDescent="0.8">
      <c r="B13" s="236" t="s">
        <v>44</v>
      </c>
      <c r="C13" s="236"/>
      <c r="D13" s="236"/>
      <c r="E13" s="236"/>
      <c r="F13" s="236"/>
      <c r="G13" s="236"/>
      <c r="H13" s="236"/>
      <c r="K13" s="288" t="s">
        <v>122</v>
      </c>
      <c r="L13" s="289">
        <f>L8*SUM(L10:L12)</f>
        <v>345840</v>
      </c>
      <c r="M13" s="289"/>
      <c r="N13" s="289"/>
      <c r="O13" s="289"/>
      <c r="P13" s="41"/>
      <c r="Q13" s="129"/>
      <c r="R13" s="32"/>
      <c r="S13" s="59"/>
      <c r="T13" s="60"/>
      <c r="U13" s="160"/>
      <c r="V13" s="61"/>
      <c r="X13" s="200"/>
      <c r="Y13" s="201"/>
      <c r="Z13" s="201"/>
      <c r="AA13" s="201"/>
      <c r="AB13" s="201"/>
      <c r="AC13" s="201"/>
      <c r="AD13" s="201"/>
      <c r="AE13" s="201"/>
      <c r="AF13" s="201"/>
      <c r="AG13" s="201"/>
      <c r="AH13" s="202"/>
    </row>
    <row r="14" spans="2:34" x14ac:dyDescent="0.8">
      <c r="B14" s="236"/>
      <c r="C14" s="236"/>
      <c r="D14" s="236"/>
      <c r="E14" s="236"/>
      <c r="F14" s="236"/>
      <c r="G14" s="236"/>
      <c r="H14" s="236"/>
      <c r="K14" s="288" t="s">
        <v>101</v>
      </c>
      <c r="L14" s="289">
        <f>L9*SUM(L10:L12)</f>
        <v>518760</v>
      </c>
      <c r="M14" s="289"/>
      <c r="N14" s="289"/>
      <c r="O14" s="289"/>
      <c r="P14" s="41"/>
      <c r="Q14" s="129"/>
      <c r="R14" s="32"/>
      <c r="S14" s="62" t="s">
        <v>105</v>
      </c>
      <c r="T14" s="60"/>
      <c r="U14" s="161">
        <v>0.04</v>
      </c>
      <c r="V14" s="63">
        <v>0.2</v>
      </c>
      <c r="X14" s="200"/>
      <c r="Y14" s="201"/>
      <c r="Z14" s="201"/>
      <c r="AA14" s="201"/>
      <c r="AB14" s="201"/>
      <c r="AC14" s="201"/>
      <c r="AD14" s="201"/>
      <c r="AE14" s="201"/>
      <c r="AF14" s="201"/>
      <c r="AG14" s="201"/>
      <c r="AH14" s="202"/>
    </row>
    <row r="15" spans="2:34" x14ac:dyDescent="0.8">
      <c r="B15" s="236"/>
      <c r="C15" s="236"/>
      <c r="D15" s="236"/>
      <c r="E15" s="236"/>
      <c r="F15" s="236"/>
      <c r="G15" s="236"/>
      <c r="H15" s="236"/>
      <c r="K15" s="288" t="s">
        <v>123</v>
      </c>
      <c r="L15" s="289">
        <v>8</v>
      </c>
      <c r="M15" s="289"/>
      <c r="N15" s="289"/>
      <c r="O15" s="289"/>
      <c r="P15" s="41"/>
      <c r="Q15" s="136"/>
      <c r="R15" s="32"/>
      <c r="S15" s="62" t="s">
        <v>106</v>
      </c>
      <c r="T15" s="207">
        <v>6.5000000000000002E-2</v>
      </c>
      <c r="U15" s="162"/>
      <c r="V15" s="64"/>
      <c r="X15" s="200"/>
      <c r="Y15" s="201"/>
      <c r="Z15" s="201"/>
      <c r="AA15" s="201"/>
      <c r="AB15" s="201"/>
      <c r="AC15" s="201"/>
      <c r="AD15" s="201"/>
      <c r="AE15" s="201"/>
      <c r="AF15" s="201"/>
      <c r="AG15" s="201"/>
      <c r="AH15" s="202"/>
    </row>
    <row r="16" spans="2:34" x14ac:dyDescent="0.8">
      <c r="B16" s="236"/>
      <c r="C16" s="236"/>
      <c r="D16" s="236"/>
      <c r="E16" s="236"/>
      <c r="F16" s="236"/>
      <c r="G16" s="236"/>
      <c r="H16" s="236"/>
      <c r="K16" s="126" t="s">
        <v>104</v>
      </c>
      <c r="L16" s="206">
        <f>L14-(L15*8)</f>
        <v>518696</v>
      </c>
      <c r="M16" s="41"/>
      <c r="N16" s="41"/>
      <c r="O16" s="41"/>
      <c r="P16" s="41"/>
      <c r="Q16" s="136"/>
      <c r="R16" s="32"/>
      <c r="S16" s="62" t="s">
        <v>107</v>
      </c>
      <c r="T16" s="207">
        <v>0.22600000000000001</v>
      </c>
      <c r="U16" s="162"/>
      <c r="V16" s="64"/>
      <c r="X16" s="200"/>
      <c r="Y16" s="201"/>
      <c r="Z16" s="201"/>
      <c r="AA16" s="201"/>
      <c r="AB16" s="201"/>
      <c r="AC16" s="201"/>
      <c r="AD16" s="201"/>
      <c r="AE16" s="201"/>
      <c r="AF16" s="201"/>
      <c r="AG16" s="201"/>
      <c r="AH16" s="202"/>
    </row>
    <row r="17" spans="2:34" ht="16" customHeight="1" thickBot="1" x14ac:dyDescent="0.95">
      <c r="B17" s="236"/>
      <c r="C17" s="236"/>
      <c r="D17" s="236"/>
      <c r="E17" s="236"/>
      <c r="F17" s="236"/>
      <c r="G17" s="236"/>
      <c r="H17" s="236"/>
      <c r="K17" s="126"/>
      <c r="L17" s="41"/>
      <c r="M17" s="41"/>
      <c r="N17" s="41"/>
      <c r="O17" s="41"/>
      <c r="P17" s="41"/>
      <c r="Q17" s="129"/>
      <c r="R17" s="32"/>
      <c r="S17" s="62" t="s">
        <v>108</v>
      </c>
      <c r="T17" s="60"/>
      <c r="U17" s="160">
        <f>L20*(1-U14/2)*((1-U14)^6)</f>
        <v>618929.08913755417</v>
      </c>
      <c r="V17" s="65">
        <f>L19*(1-(V14/2))*((1-V14)^6)</f>
        <v>112302.48960000006</v>
      </c>
      <c r="X17" s="200"/>
      <c r="Y17" s="201"/>
      <c r="Z17" s="201"/>
      <c r="AA17" s="201"/>
      <c r="AB17" s="201"/>
      <c r="AC17" s="201"/>
      <c r="AD17" s="201"/>
      <c r="AE17" s="201"/>
      <c r="AF17" s="201"/>
      <c r="AG17" s="201"/>
      <c r="AH17" s="202"/>
    </row>
    <row r="18" spans="2:34" ht="16" customHeight="1" thickBot="1" x14ac:dyDescent="0.95">
      <c r="B18" s="236"/>
      <c r="C18" s="236"/>
      <c r="D18" s="236"/>
      <c r="E18" s="236"/>
      <c r="F18" s="236"/>
      <c r="G18" s="236"/>
      <c r="H18" s="236"/>
      <c r="K18" s="126"/>
      <c r="L18" s="26" t="s">
        <v>19</v>
      </c>
      <c r="M18" s="27" t="s">
        <v>18</v>
      </c>
      <c r="N18" s="41"/>
      <c r="O18" s="41"/>
      <c r="P18" s="41"/>
      <c r="Q18" s="129"/>
      <c r="R18" s="32"/>
      <c r="S18" s="208">
        <f>MIN(M20,L20)*((T16*U14)/(T15+U14))*PV(T15,8,,-1)</f>
        <v>35894.785295356996</v>
      </c>
      <c r="T18" s="60"/>
      <c r="U18" s="160"/>
      <c r="V18" s="65"/>
      <c r="X18" s="200"/>
      <c r="Y18" s="201"/>
      <c r="Z18" s="201"/>
      <c r="AA18" s="201"/>
      <c r="AB18" s="201"/>
      <c r="AC18" s="201"/>
      <c r="AD18" s="201"/>
      <c r="AE18" s="201"/>
      <c r="AF18" s="201"/>
      <c r="AG18" s="201"/>
      <c r="AH18" s="202"/>
    </row>
    <row r="19" spans="2:34" ht="14" customHeight="1" thickBot="1" x14ac:dyDescent="0.95">
      <c r="B19" s="284" t="s">
        <v>45</v>
      </c>
      <c r="C19" s="284"/>
      <c r="D19" s="284"/>
      <c r="E19" s="284"/>
      <c r="F19" s="284"/>
      <c r="G19" s="284"/>
      <c r="H19" s="284"/>
      <c r="K19" s="23" t="s">
        <v>67</v>
      </c>
      <c r="L19" s="139">
        <v>476000</v>
      </c>
      <c r="M19" s="140">
        <f>N8-(N10*7)</f>
        <v>350000</v>
      </c>
      <c r="N19" s="41"/>
      <c r="O19" s="41"/>
      <c r="P19" s="41"/>
      <c r="Q19" s="129"/>
      <c r="R19" s="32"/>
      <c r="S19" s="62"/>
      <c r="T19" s="60"/>
      <c r="U19" s="160"/>
      <c r="V19" s="65"/>
      <c r="X19" s="200"/>
      <c r="Y19" s="201"/>
      <c r="Z19" s="201"/>
      <c r="AA19" s="201"/>
      <c r="AB19" s="201"/>
      <c r="AC19" s="201"/>
      <c r="AD19" s="201"/>
      <c r="AE19" s="201"/>
      <c r="AF19" s="201"/>
      <c r="AG19" s="201"/>
      <c r="AH19" s="202"/>
    </row>
    <row r="20" spans="2:34" ht="16" customHeight="1" x14ac:dyDescent="0.8">
      <c r="B20" s="284"/>
      <c r="C20" s="284"/>
      <c r="D20" s="284"/>
      <c r="E20" s="284"/>
      <c r="F20" s="284"/>
      <c r="G20" s="284"/>
      <c r="H20" s="284"/>
      <c r="K20" s="24" t="s">
        <v>11</v>
      </c>
      <c r="L20" s="141">
        <f>L13+461000</f>
        <v>806840</v>
      </c>
      <c r="M20" s="142">
        <f>N11</f>
        <v>690000</v>
      </c>
      <c r="N20" s="41"/>
      <c r="O20" s="41"/>
      <c r="P20" s="41"/>
      <c r="Q20" s="129"/>
      <c r="R20" s="32"/>
      <c r="S20" s="62" t="s">
        <v>68</v>
      </c>
      <c r="T20" s="60"/>
      <c r="U20" s="163">
        <f>(U17-MIN(L20,M20))*T16</f>
        <v>-16062.025854912757</v>
      </c>
      <c r="V20" s="158">
        <f>(V17-MIN(L19,M19))*T16</f>
        <v>-53719.637350399986</v>
      </c>
      <c r="X20" s="200"/>
      <c r="Y20" s="201"/>
      <c r="Z20" s="201"/>
      <c r="AA20" s="201"/>
      <c r="AB20" s="201"/>
      <c r="AC20" s="201"/>
      <c r="AD20" s="201"/>
      <c r="AE20" s="201"/>
      <c r="AF20" s="201"/>
      <c r="AG20" s="201"/>
      <c r="AH20" s="202"/>
    </row>
    <row r="21" spans="2:34" ht="16.75" thickBot="1" x14ac:dyDescent="0.95">
      <c r="B21" s="284"/>
      <c r="C21" s="284"/>
      <c r="D21" s="284"/>
      <c r="E21" s="284"/>
      <c r="F21" s="284"/>
      <c r="G21" s="284"/>
      <c r="H21" s="284"/>
      <c r="K21" s="25" t="s">
        <v>12</v>
      </c>
      <c r="L21" s="143">
        <f>L14</f>
        <v>518760</v>
      </c>
      <c r="M21" s="144">
        <f>FV(0.03,8,,-L14)</f>
        <v>657149.64742063964</v>
      </c>
      <c r="N21" s="145"/>
      <c r="O21" s="145"/>
      <c r="P21" s="145"/>
      <c r="Q21" s="146"/>
      <c r="R21" s="32"/>
      <c r="S21" s="66" t="s">
        <v>69</v>
      </c>
      <c r="T21" s="67"/>
      <c r="U21" s="164">
        <f>(U17-MIN(L20,M20))*((T16*U14)/(T15+U14))</f>
        <v>-6118.8669923477173</v>
      </c>
      <c r="V21" s="68">
        <f>(V17-MIN(L19,M19))*((T16*V14)/(T15+V14))</f>
        <v>-40543.122528603759</v>
      </c>
      <c r="X21" s="200"/>
      <c r="Y21" s="201"/>
      <c r="Z21" s="201"/>
      <c r="AA21" s="201"/>
      <c r="AB21" s="201"/>
      <c r="AC21" s="201"/>
      <c r="AD21" s="201"/>
      <c r="AE21" s="201"/>
      <c r="AF21" s="201"/>
      <c r="AG21" s="201"/>
      <c r="AH21" s="202"/>
    </row>
    <row r="22" spans="2:34" ht="15.5" customHeight="1" x14ac:dyDescent="0.8">
      <c r="B22" s="236" t="s">
        <v>47</v>
      </c>
      <c r="C22" s="236"/>
      <c r="D22" s="236"/>
      <c r="E22" s="236"/>
      <c r="F22" s="236"/>
      <c r="G22" s="236"/>
      <c r="H22" s="236"/>
      <c r="K22" s="32"/>
      <c r="L22" s="32"/>
      <c r="M22" s="32"/>
      <c r="N22" s="32"/>
      <c r="O22" s="32"/>
      <c r="P22" s="32"/>
      <c r="Q22" s="32"/>
      <c r="R22" s="32"/>
      <c r="S22" s="32"/>
      <c r="T22" s="32"/>
      <c r="U22" s="32"/>
      <c r="V22" s="32"/>
      <c r="X22" s="200"/>
      <c r="Y22" s="201"/>
      <c r="Z22" s="201"/>
      <c r="AA22" s="201"/>
      <c r="AB22" s="201"/>
      <c r="AC22" s="201"/>
      <c r="AD22" s="201"/>
      <c r="AE22" s="201"/>
      <c r="AF22" s="201"/>
      <c r="AG22" s="201"/>
      <c r="AH22" s="202"/>
    </row>
    <row r="23" spans="2:34" ht="16.75" thickBot="1" x14ac:dyDescent="0.95">
      <c r="B23" s="236"/>
      <c r="C23" s="236"/>
      <c r="D23" s="236"/>
      <c r="E23" s="236"/>
      <c r="F23" s="236"/>
      <c r="G23" s="236"/>
      <c r="H23" s="236"/>
      <c r="K23" s="14" t="s">
        <v>17</v>
      </c>
      <c r="L23" s="14"/>
      <c r="M23" s="14"/>
      <c r="N23" s="57"/>
      <c r="O23" s="147"/>
      <c r="P23" s="57"/>
      <c r="Q23" s="57"/>
      <c r="R23" s="57"/>
      <c r="S23" s="57"/>
      <c r="T23" s="57"/>
      <c r="U23" s="57"/>
      <c r="V23" s="32"/>
      <c r="X23" s="200"/>
      <c r="Y23" s="201"/>
      <c r="Z23" s="201"/>
      <c r="AA23" s="201"/>
      <c r="AB23" s="201"/>
      <c r="AC23" s="201"/>
      <c r="AD23" s="201"/>
      <c r="AE23" s="201"/>
      <c r="AF23" s="201"/>
      <c r="AG23" s="201"/>
      <c r="AH23" s="202"/>
    </row>
    <row r="24" spans="2:34" ht="16" customHeight="1" thickBot="1" x14ac:dyDescent="0.95">
      <c r="B24" s="236" t="s">
        <v>48</v>
      </c>
      <c r="C24" s="236"/>
      <c r="D24" s="236"/>
      <c r="E24" s="236"/>
      <c r="F24" s="236"/>
      <c r="G24" s="236"/>
      <c r="H24" s="236"/>
      <c r="K24" s="39" t="s">
        <v>1</v>
      </c>
      <c r="L24" s="40"/>
      <c r="M24" s="22" t="s">
        <v>2</v>
      </c>
      <c r="N24" s="35">
        <v>0</v>
      </c>
      <c r="O24" s="47">
        <v>1</v>
      </c>
      <c r="P24" s="47">
        <v>2</v>
      </c>
      <c r="Q24" s="47">
        <v>3</v>
      </c>
      <c r="R24" s="47">
        <v>4</v>
      </c>
      <c r="S24" s="47">
        <v>5</v>
      </c>
      <c r="T24" s="47">
        <v>6</v>
      </c>
      <c r="U24" s="47">
        <v>7</v>
      </c>
      <c r="V24" s="48">
        <v>8</v>
      </c>
      <c r="W24" s="8"/>
      <c r="X24" s="200"/>
      <c r="Y24" s="201"/>
      <c r="Z24" s="201"/>
      <c r="AA24" s="201"/>
      <c r="AB24" s="201"/>
      <c r="AC24" s="201"/>
      <c r="AD24" s="201"/>
      <c r="AE24" s="201"/>
      <c r="AF24" s="201"/>
      <c r="AG24" s="201"/>
      <c r="AH24" s="202"/>
    </row>
    <row r="25" spans="2:34" ht="14" customHeight="1" thickBot="1" x14ac:dyDescent="0.95">
      <c r="B25" s="236"/>
      <c r="C25" s="236"/>
      <c r="D25" s="236"/>
      <c r="E25" s="236"/>
      <c r="F25" s="236"/>
      <c r="G25" s="236"/>
      <c r="H25" s="236"/>
      <c r="K25" s="271" t="s">
        <v>6</v>
      </c>
      <c r="L25" s="272"/>
      <c r="M25" s="69"/>
      <c r="N25" s="148"/>
      <c r="O25" s="149"/>
      <c r="P25" s="150">
        <v>21000</v>
      </c>
      <c r="Q25" s="150">
        <v>21000</v>
      </c>
      <c r="R25" s="150">
        <v>21000</v>
      </c>
      <c r="S25" s="150">
        <v>21000</v>
      </c>
      <c r="T25" s="150">
        <v>29000</v>
      </c>
      <c r="U25" s="150">
        <v>29000</v>
      </c>
      <c r="V25" s="151">
        <v>29000</v>
      </c>
      <c r="W25" s="9"/>
      <c r="X25" s="200"/>
      <c r="Y25" s="201"/>
      <c r="Z25" s="201"/>
      <c r="AA25" s="201"/>
      <c r="AB25" s="201"/>
      <c r="AC25" s="201"/>
      <c r="AD25" s="201"/>
      <c r="AE25" s="201"/>
      <c r="AF25" s="201"/>
      <c r="AG25" s="201"/>
      <c r="AH25" s="202"/>
    </row>
    <row r="26" spans="2:34" ht="14" customHeight="1" x14ac:dyDescent="0.8">
      <c r="B26" s="236" t="s">
        <v>46</v>
      </c>
      <c r="C26" s="236"/>
      <c r="D26" s="236"/>
      <c r="E26" s="236"/>
      <c r="F26" s="236"/>
      <c r="G26" s="236"/>
      <c r="H26" s="236"/>
      <c r="K26" s="273" t="s">
        <v>110</v>
      </c>
      <c r="L26" s="274"/>
      <c r="M26" s="73"/>
      <c r="N26" s="152"/>
      <c r="O26" s="209"/>
      <c r="P26" s="165">
        <v>99000</v>
      </c>
      <c r="Q26" s="165">
        <v>99000</v>
      </c>
      <c r="R26" s="165">
        <v>99000</v>
      </c>
      <c r="S26" s="165">
        <v>99000</v>
      </c>
      <c r="T26" s="165">
        <v>178000</v>
      </c>
      <c r="U26" s="165">
        <v>178000</v>
      </c>
      <c r="V26" s="166">
        <v>178000</v>
      </c>
      <c r="W26" s="10"/>
      <c r="X26" s="200"/>
      <c r="Y26" s="201"/>
      <c r="Z26" s="201"/>
      <c r="AA26" s="201"/>
      <c r="AB26" s="201"/>
      <c r="AC26" s="201"/>
      <c r="AD26" s="201"/>
      <c r="AE26" s="201"/>
      <c r="AF26" s="201"/>
      <c r="AG26" s="201"/>
      <c r="AH26" s="202"/>
    </row>
    <row r="27" spans="2:34" ht="14" customHeight="1" x14ac:dyDescent="0.8">
      <c r="B27" s="236"/>
      <c r="C27" s="236"/>
      <c r="D27" s="236"/>
      <c r="E27" s="236"/>
      <c r="F27" s="236"/>
      <c r="G27" s="236"/>
      <c r="H27" s="236"/>
      <c r="K27" s="227" t="s">
        <v>135</v>
      </c>
      <c r="L27" s="228"/>
      <c r="M27" s="73"/>
      <c r="N27" s="154"/>
      <c r="O27" s="105"/>
      <c r="P27" s="103">
        <f>V9*P25</f>
        <v>974400</v>
      </c>
      <c r="Q27" s="102">
        <f>V9*Q25</f>
        <v>974400</v>
      </c>
      <c r="R27" s="102">
        <f>V9*R25</f>
        <v>974400</v>
      </c>
      <c r="S27" s="102">
        <f>V9*S25</f>
        <v>974400</v>
      </c>
      <c r="T27" s="102">
        <f>V9*T25</f>
        <v>1345600</v>
      </c>
      <c r="U27" s="102">
        <f>V9*U25</f>
        <v>1345600</v>
      </c>
      <c r="V27" s="167">
        <f>V9*V25</f>
        <v>1345600</v>
      </c>
      <c r="W27" s="11"/>
      <c r="X27" s="200"/>
      <c r="Y27" s="201"/>
      <c r="Z27" s="201"/>
      <c r="AA27" s="201"/>
      <c r="AB27" s="201"/>
      <c r="AC27" s="201"/>
      <c r="AD27" s="201"/>
      <c r="AE27" s="201"/>
      <c r="AF27" s="201"/>
      <c r="AG27" s="201"/>
      <c r="AH27" s="202"/>
    </row>
    <row r="28" spans="2:34" x14ac:dyDescent="0.8">
      <c r="B28" s="236"/>
      <c r="C28" s="236"/>
      <c r="D28" s="236"/>
      <c r="E28" s="236"/>
      <c r="F28" s="236"/>
      <c r="G28" s="236"/>
      <c r="H28" s="236"/>
      <c r="K28" s="227" t="s">
        <v>136</v>
      </c>
      <c r="L28" s="228"/>
      <c r="M28" s="73"/>
      <c r="N28" s="154"/>
      <c r="O28" s="105"/>
      <c r="P28" s="103">
        <f>19*P25</f>
        <v>399000</v>
      </c>
      <c r="Q28" s="103">
        <f>19*Q25</f>
        <v>399000</v>
      </c>
      <c r="R28" s="103">
        <f>19*R25</f>
        <v>399000</v>
      </c>
      <c r="S28" s="103">
        <f>19*S25</f>
        <v>399000</v>
      </c>
      <c r="T28" s="103">
        <f>19*T25</f>
        <v>551000</v>
      </c>
      <c r="U28" s="103">
        <f>19*U25</f>
        <v>551000</v>
      </c>
      <c r="V28" s="168">
        <f>19*V25</f>
        <v>551000</v>
      </c>
      <c r="W28" s="11"/>
      <c r="X28" s="200"/>
      <c r="Y28" s="201"/>
      <c r="Z28" s="201"/>
      <c r="AA28" s="201"/>
      <c r="AB28" s="201"/>
      <c r="AC28" s="201"/>
      <c r="AD28" s="201"/>
      <c r="AE28" s="201"/>
      <c r="AF28" s="201"/>
      <c r="AG28" s="201"/>
      <c r="AH28" s="202"/>
    </row>
    <row r="29" spans="2:34" ht="16" customHeight="1" thickBot="1" x14ac:dyDescent="0.95">
      <c r="B29" s="236"/>
      <c r="C29" s="236"/>
      <c r="D29" s="236"/>
      <c r="E29" s="236"/>
      <c r="F29" s="236"/>
      <c r="G29" s="236"/>
      <c r="H29" s="236"/>
      <c r="K29" s="229"/>
      <c r="L29" s="230"/>
      <c r="M29" s="80"/>
      <c r="N29" s="155"/>
      <c r="O29" s="105"/>
      <c r="P29" s="169"/>
      <c r="Q29" s="169"/>
      <c r="R29" s="169"/>
      <c r="S29" s="169"/>
      <c r="T29" s="169"/>
      <c r="U29" s="169"/>
      <c r="V29" s="170"/>
      <c r="W29" s="12"/>
      <c r="X29" s="200"/>
      <c r="Y29" s="201"/>
      <c r="Z29" s="201"/>
      <c r="AA29" s="201"/>
      <c r="AB29" s="201"/>
      <c r="AC29" s="201"/>
      <c r="AD29" s="201"/>
      <c r="AE29" s="201"/>
      <c r="AF29" s="201"/>
      <c r="AG29" s="201"/>
      <c r="AH29" s="202"/>
    </row>
    <row r="30" spans="2:34" ht="14" customHeight="1" thickBot="1" x14ac:dyDescent="0.95">
      <c r="B30" s="236"/>
      <c r="C30" s="236"/>
      <c r="D30" s="236"/>
      <c r="E30" s="236"/>
      <c r="F30" s="236"/>
      <c r="G30" s="236"/>
      <c r="H30" s="236"/>
      <c r="K30" s="269" t="s">
        <v>9</v>
      </c>
      <c r="L30" s="270"/>
      <c r="M30" s="69"/>
      <c r="N30" s="70"/>
      <c r="O30" s="171"/>
      <c r="P30" s="171">
        <f>P27-P26-P28</f>
        <v>476400</v>
      </c>
      <c r="Q30" s="171">
        <f>Q27-Q26-Q28</f>
        <v>476400</v>
      </c>
      <c r="R30" s="171">
        <f t="shared" ref="R30:V30" si="0">R27-R26-R28</f>
        <v>476400</v>
      </c>
      <c r="S30" s="171">
        <f t="shared" si="0"/>
        <v>476400</v>
      </c>
      <c r="T30" s="171">
        <f t="shared" si="0"/>
        <v>616600</v>
      </c>
      <c r="U30" s="171">
        <f t="shared" si="0"/>
        <v>616600</v>
      </c>
      <c r="V30" s="172">
        <f t="shared" si="0"/>
        <v>616600</v>
      </c>
      <c r="W30" s="13"/>
      <c r="X30" s="200"/>
      <c r="Y30" s="201"/>
      <c r="Z30" s="201"/>
      <c r="AA30" s="201"/>
      <c r="AB30" s="201"/>
      <c r="AC30" s="201"/>
      <c r="AD30" s="201"/>
      <c r="AE30" s="201"/>
      <c r="AF30" s="201"/>
      <c r="AG30" s="201"/>
      <c r="AH30" s="202"/>
    </row>
    <row r="31" spans="2:34" ht="14" customHeight="1" x14ac:dyDescent="0.8">
      <c r="B31" s="236" t="s">
        <v>57</v>
      </c>
      <c r="C31" s="236"/>
      <c r="D31" s="236"/>
      <c r="E31" s="236"/>
      <c r="F31" s="236"/>
      <c r="G31" s="236"/>
      <c r="H31" s="236"/>
      <c r="K31" s="257" t="s">
        <v>87</v>
      </c>
      <c r="L31" s="259"/>
      <c r="M31" s="72"/>
      <c r="N31" s="71"/>
      <c r="O31" s="12"/>
      <c r="P31" s="12"/>
      <c r="Q31" s="12"/>
      <c r="R31" s="12"/>
      <c r="S31" s="12"/>
      <c r="T31" s="12"/>
      <c r="U31" s="12"/>
      <c r="V31" s="173"/>
      <c r="W31" s="13"/>
      <c r="X31" s="200"/>
      <c r="Y31" s="201"/>
      <c r="Z31" s="201"/>
      <c r="AA31" s="201"/>
      <c r="AB31" s="201"/>
      <c r="AC31" s="201"/>
      <c r="AD31" s="201"/>
      <c r="AE31" s="201"/>
      <c r="AF31" s="201"/>
      <c r="AG31" s="201"/>
      <c r="AH31" s="202"/>
    </row>
    <row r="32" spans="2:34" ht="14" customHeight="1" x14ac:dyDescent="0.8">
      <c r="B32" s="236"/>
      <c r="C32" s="236"/>
      <c r="D32" s="236"/>
      <c r="E32" s="236"/>
      <c r="F32" s="236"/>
      <c r="G32" s="236"/>
      <c r="H32" s="236"/>
      <c r="K32" s="257" t="s">
        <v>126</v>
      </c>
      <c r="L32" s="259"/>
      <c r="M32" s="72"/>
      <c r="N32" s="71"/>
      <c r="O32" s="12"/>
      <c r="P32" s="295">
        <f>(L13+461000)*U14*0.5</f>
        <v>16136.800000000001</v>
      </c>
      <c r="Q32" s="12">
        <f>L20*U14*(1-U14/2)*(1-U14)^(Q24-2)</f>
        <v>30363.00288</v>
      </c>
      <c r="R32" s="12">
        <f>L20*U14*(1-U14/2)*(1-U14)^(R24-2)</f>
        <v>29148.482764799999</v>
      </c>
      <c r="S32" s="12">
        <f>L20*U14*(1-U14/2)*(1-U14)^(S24-2)</f>
        <v>27982.543454208</v>
      </c>
      <c r="T32" s="12">
        <f>L20*U14*(1-U14/2)*(1-U14)^(T24-2)</f>
        <v>26863.24171603968</v>
      </c>
      <c r="U32" s="12">
        <f>L20*U14*(1-U14/2)*(1-U14)^(U24-2)</f>
        <v>25788.712047398094</v>
      </c>
      <c r="V32" s="173">
        <f>L20*U14*(1-U14/2)*(1-U14)^(V24-2)</f>
        <v>24757.163565502167</v>
      </c>
      <c r="W32" s="13"/>
      <c r="X32" s="200"/>
      <c r="Y32" s="201"/>
      <c r="Z32" s="201"/>
      <c r="AA32" s="201"/>
      <c r="AB32" s="201"/>
      <c r="AC32" s="201"/>
      <c r="AD32" s="201"/>
      <c r="AE32" s="201"/>
      <c r="AF32" s="201"/>
      <c r="AG32" s="201"/>
      <c r="AH32" s="202"/>
    </row>
    <row r="33" spans="2:34" ht="14" customHeight="1" x14ac:dyDescent="0.8">
      <c r="B33" s="236"/>
      <c r="C33" s="236"/>
      <c r="D33" s="236"/>
      <c r="E33" s="236"/>
      <c r="F33" s="236"/>
      <c r="G33" s="236"/>
      <c r="H33" s="236"/>
      <c r="K33" s="257" t="s">
        <v>125</v>
      </c>
      <c r="L33" s="259"/>
      <c r="M33" s="72"/>
      <c r="N33" s="71"/>
      <c r="O33" s="12"/>
      <c r="P33" s="12">
        <f>N8*V14*0.5</f>
        <v>47600</v>
      </c>
      <c r="Q33" s="12">
        <f>(L19*V14*(1-V14/2)*(1-V14)^(Q24-2))</f>
        <v>68544</v>
      </c>
      <c r="R33" s="12">
        <f>(L19*V14*(1-V14/2)*(1-V14)^(R24-2))</f>
        <v>54835.200000000012</v>
      </c>
      <c r="S33" s="12">
        <f>(L19*V14*(1-V14/2)*(1-V14)^(S24-2))</f>
        <v>43868.160000000011</v>
      </c>
      <c r="T33" s="12">
        <f>(L19*V14*(1-V14/2)*(1-V14)^(T24-2))</f>
        <v>35094.528000000013</v>
      </c>
      <c r="U33" s="12">
        <f>(L19*V14*(1-V14/2)*(1-V14)^(U24-2))</f>
        <v>28075.622400000015</v>
      </c>
      <c r="V33" s="173">
        <f>(L19*V14*(1-V14/2)*(1-V14)^(V24-2))</f>
        <v>22460.497920000013</v>
      </c>
      <c r="W33" s="13"/>
      <c r="X33" s="200"/>
      <c r="Y33" s="201"/>
      <c r="Z33" s="201"/>
      <c r="AA33" s="201"/>
      <c r="AB33" s="201"/>
      <c r="AC33" s="201"/>
      <c r="AD33" s="201"/>
      <c r="AE33" s="201"/>
      <c r="AF33" s="201"/>
      <c r="AG33" s="201"/>
      <c r="AH33" s="202"/>
    </row>
    <row r="34" spans="2:34" x14ac:dyDescent="0.8">
      <c r="B34" s="236"/>
      <c r="C34" s="236"/>
      <c r="D34" s="236"/>
      <c r="E34" s="236"/>
      <c r="F34" s="236"/>
      <c r="G34" s="236"/>
      <c r="H34" s="236"/>
      <c r="K34" s="32" t="s">
        <v>137</v>
      </c>
      <c r="M34" s="73"/>
      <c r="N34" s="71"/>
      <c r="O34" s="12"/>
      <c r="P34" s="296">
        <f>P30-P32-P33</f>
        <v>412663.2</v>
      </c>
      <c r="Q34" s="296">
        <f t="shared" ref="Q34:V34" si="1">Q30-Q32-Q33</f>
        <v>377492.99712000001</v>
      </c>
      <c r="R34" s="296">
        <f t="shared" si="1"/>
        <v>392416.31723519997</v>
      </c>
      <c r="S34" s="296">
        <f t="shared" si="1"/>
        <v>404549.29654579196</v>
      </c>
      <c r="T34" s="296">
        <f t="shared" si="1"/>
        <v>554642.23028396023</v>
      </c>
      <c r="U34" s="296">
        <f t="shared" si="1"/>
        <v>562735.66555260192</v>
      </c>
      <c r="V34" s="297">
        <f t="shared" si="1"/>
        <v>569382.33851449785</v>
      </c>
      <c r="W34" s="13"/>
      <c r="X34" s="200"/>
      <c r="Y34" s="201"/>
      <c r="Z34" s="201"/>
      <c r="AA34" s="201"/>
      <c r="AB34" s="201"/>
      <c r="AC34" s="201"/>
      <c r="AD34" s="201"/>
      <c r="AE34" s="201"/>
      <c r="AF34" s="201"/>
      <c r="AG34" s="201"/>
      <c r="AH34" s="202"/>
    </row>
    <row r="35" spans="2:34" ht="16.75" thickBot="1" x14ac:dyDescent="0.95">
      <c r="B35" s="236"/>
      <c r="C35" s="236"/>
      <c r="D35" s="236"/>
      <c r="E35" s="236"/>
      <c r="F35" s="236"/>
      <c r="G35" s="236"/>
      <c r="H35" s="236"/>
      <c r="K35" s="260" t="s">
        <v>127</v>
      </c>
      <c r="L35" s="256"/>
      <c r="M35" s="120"/>
      <c r="N35" s="89"/>
      <c r="O35" s="174"/>
      <c r="P35" s="174">
        <f>T16*P34</f>
        <v>93261.883200000011</v>
      </c>
      <c r="Q35" s="174">
        <f>T16*Q34</f>
        <v>85313.417349120005</v>
      </c>
      <c r="R35" s="174">
        <f>T16*R34</f>
        <v>88686.087695155191</v>
      </c>
      <c r="S35" s="174">
        <f>T16*S34</f>
        <v>91428.141019348986</v>
      </c>
      <c r="T35" s="174">
        <f>T16*T34</f>
        <v>125349.14404417502</v>
      </c>
      <c r="U35" s="174">
        <f>T16*U34</f>
        <v>127178.26041488803</v>
      </c>
      <c r="V35" s="175">
        <f>T16*V34</f>
        <v>128680.40850427652</v>
      </c>
      <c r="W35" s="13"/>
      <c r="X35" s="200"/>
      <c r="Y35" s="201"/>
      <c r="Z35" s="201"/>
      <c r="AA35" s="201"/>
      <c r="AB35" s="201"/>
      <c r="AC35" s="201"/>
      <c r="AD35" s="201"/>
      <c r="AE35" s="201"/>
      <c r="AF35" s="201"/>
      <c r="AG35" s="201"/>
      <c r="AH35" s="202"/>
    </row>
    <row r="36" spans="2:34" ht="16" customHeight="1" thickBot="1" x14ac:dyDescent="0.95">
      <c r="B36" s="236"/>
      <c r="C36" s="236"/>
      <c r="D36" s="236"/>
      <c r="E36" s="236"/>
      <c r="F36" s="236"/>
      <c r="G36" s="236"/>
      <c r="H36" s="236"/>
      <c r="K36" s="281" t="s">
        <v>70</v>
      </c>
      <c r="L36" s="282"/>
      <c r="M36" s="118"/>
      <c r="N36" s="119"/>
      <c r="O36" s="176"/>
      <c r="P36" s="176">
        <f>P30-P35</f>
        <v>383138.11679999996</v>
      </c>
      <c r="Q36" s="176">
        <f t="shared" ref="Q36:V36" si="2">Q30-Q35</f>
        <v>391086.58265087998</v>
      </c>
      <c r="R36" s="176">
        <f t="shared" si="2"/>
        <v>387713.91230484482</v>
      </c>
      <c r="S36" s="176">
        <f t="shared" si="2"/>
        <v>384971.85898065101</v>
      </c>
      <c r="T36" s="176">
        <f t="shared" si="2"/>
        <v>491250.85595582495</v>
      </c>
      <c r="U36" s="176">
        <f t="shared" si="2"/>
        <v>489421.73958511197</v>
      </c>
      <c r="V36" s="177">
        <f t="shared" si="2"/>
        <v>487919.59149572346</v>
      </c>
      <c r="W36" s="13"/>
      <c r="X36" s="200"/>
      <c r="Y36" s="201"/>
      <c r="Z36" s="201"/>
      <c r="AA36" s="201"/>
      <c r="AB36" s="201"/>
      <c r="AC36" s="201"/>
      <c r="AD36" s="201"/>
      <c r="AE36" s="201"/>
      <c r="AF36" s="201"/>
      <c r="AG36" s="201"/>
      <c r="AH36" s="202"/>
    </row>
    <row r="37" spans="2:34" ht="14" customHeight="1" thickBot="1" x14ac:dyDescent="0.95">
      <c r="B37" s="105"/>
      <c r="C37" s="32"/>
      <c r="D37" s="32"/>
      <c r="E37" s="32"/>
      <c r="F37" s="32"/>
      <c r="G37" s="105"/>
      <c r="H37" s="105"/>
      <c r="K37" s="257" t="s">
        <v>10</v>
      </c>
      <c r="L37" s="259"/>
      <c r="M37" s="73"/>
      <c r="N37" s="182"/>
      <c r="O37" s="101"/>
      <c r="P37" s="101"/>
      <c r="Q37" s="101"/>
      <c r="R37" s="101"/>
      <c r="S37" s="101"/>
      <c r="T37" s="101"/>
      <c r="U37" s="101"/>
      <c r="V37" s="178"/>
      <c r="W37" s="16"/>
      <c r="X37" s="200"/>
      <c r="Y37" s="201"/>
      <c r="Z37" s="201"/>
      <c r="AA37" s="201"/>
      <c r="AB37" s="201"/>
      <c r="AC37" s="201"/>
      <c r="AD37" s="201"/>
      <c r="AE37" s="201"/>
      <c r="AF37" s="201"/>
      <c r="AG37" s="201"/>
      <c r="AH37" s="202"/>
    </row>
    <row r="38" spans="2:34" x14ac:dyDescent="0.8">
      <c r="B38" s="105"/>
      <c r="C38" s="32"/>
      <c r="D38" s="238" t="s">
        <v>59</v>
      </c>
      <c r="E38" s="239"/>
      <c r="F38" s="32"/>
      <c r="G38" s="105"/>
      <c r="H38" s="105"/>
      <c r="K38" s="257" t="s">
        <v>128</v>
      </c>
      <c r="L38" s="259"/>
      <c r="M38" s="73"/>
      <c r="N38" s="293"/>
      <c r="O38" s="106">
        <f>-476000</f>
        <v>-476000</v>
      </c>
      <c r="P38" s="101"/>
      <c r="Q38" s="101"/>
      <c r="R38" s="101"/>
      <c r="S38" s="101"/>
      <c r="T38" s="101"/>
      <c r="U38" s="101"/>
      <c r="V38" s="178"/>
      <c r="W38" s="16"/>
      <c r="X38" s="200"/>
      <c r="Y38" s="201"/>
      <c r="Z38" s="201"/>
      <c r="AA38" s="201"/>
      <c r="AB38" s="201"/>
      <c r="AC38" s="201"/>
      <c r="AD38" s="201"/>
      <c r="AE38" s="201"/>
      <c r="AF38" s="201"/>
      <c r="AG38" s="201"/>
      <c r="AH38" s="202"/>
    </row>
    <row r="39" spans="2:34" ht="16.75" thickBot="1" x14ac:dyDescent="0.95">
      <c r="B39" s="105"/>
      <c r="C39" s="32"/>
      <c r="D39" s="240"/>
      <c r="E39" s="241"/>
      <c r="F39" s="32"/>
      <c r="G39" s="105"/>
      <c r="H39" s="105"/>
      <c r="K39" s="257" t="s">
        <v>11</v>
      </c>
      <c r="L39" s="259"/>
      <c r="M39" s="73"/>
      <c r="N39" s="183">
        <f>-L13</f>
        <v>-345840</v>
      </c>
      <c r="O39" s="106">
        <f>-461000</f>
        <v>-461000</v>
      </c>
      <c r="P39" s="101"/>
      <c r="Q39" s="101"/>
      <c r="R39" s="101"/>
      <c r="S39" s="101"/>
      <c r="T39" s="101"/>
      <c r="U39" s="101"/>
      <c r="V39" s="178"/>
      <c r="W39" s="16"/>
      <c r="X39" s="200"/>
      <c r="Y39" s="201"/>
      <c r="Z39" s="201"/>
      <c r="AA39" s="201"/>
      <c r="AB39" s="201"/>
      <c r="AC39" s="201"/>
      <c r="AD39" s="201"/>
      <c r="AE39" s="201"/>
      <c r="AF39" s="201"/>
      <c r="AG39" s="201"/>
      <c r="AH39" s="202"/>
    </row>
    <row r="40" spans="2:34" x14ac:dyDescent="0.8">
      <c r="B40" s="105"/>
      <c r="C40" s="32"/>
      <c r="D40" s="242" t="s">
        <v>58</v>
      </c>
      <c r="E40" s="244" t="s">
        <v>56</v>
      </c>
      <c r="F40" s="32"/>
      <c r="G40" s="105"/>
      <c r="H40" s="105"/>
      <c r="K40" s="257" t="s">
        <v>12</v>
      </c>
      <c r="L40" s="259"/>
      <c r="M40" s="73"/>
      <c r="N40" s="183">
        <f>-L21</f>
        <v>-518760</v>
      </c>
      <c r="O40" s="103"/>
      <c r="P40" s="101"/>
      <c r="Q40" s="101"/>
      <c r="R40" s="101"/>
      <c r="S40" s="101"/>
      <c r="T40" s="101"/>
      <c r="U40" s="101"/>
      <c r="V40" s="178"/>
      <c r="W40" s="16"/>
      <c r="X40" s="200"/>
      <c r="Y40" s="201"/>
      <c r="Z40" s="201"/>
      <c r="AA40" s="201"/>
      <c r="AB40" s="201"/>
      <c r="AC40" s="201"/>
      <c r="AD40" s="201"/>
      <c r="AE40" s="201"/>
      <c r="AF40" s="201"/>
      <c r="AG40" s="201"/>
      <c r="AH40" s="202"/>
    </row>
    <row r="41" spans="2:34" x14ac:dyDescent="0.8">
      <c r="B41" s="105"/>
      <c r="C41" s="32"/>
      <c r="D41" s="242"/>
      <c r="E41" s="244"/>
      <c r="F41" s="32"/>
      <c r="G41" s="105"/>
      <c r="H41" s="105"/>
      <c r="K41" s="257" t="s">
        <v>129</v>
      </c>
      <c r="L41" s="258"/>
      <c r="M41" s="73"/>
      <c r="N41" s="183">
        <f>-17000</f>
        <v>-17000</v>
      </c>
      <c r="O41" s="103"/>
      <c r="P41" s="101"/>
      <c r="Q41" s="101"/>
      <c r="R41" s="101"/>
      <c r="S41" s="103">
        <f>-25000</f>
        <v>-25000</v>
      </c>
      <c r="T41" s="101"/>
      <c r="U41" s="101"/>
      <c r="V41" s="178"/>
      <c r="W41" s="13"/>
      <c r="X41" s="200"/>
      <c r="Y41" s="201"/>
      <c r="Z41" s="201"/>
      <c r="AA41" s="201"/>
      <c r="AB41" s="201"/>
      <c r="AC41" s="201"/>
      <c r="AD41" s="201"/>
      <c r="AE41" s="201"/>
      <c r="AF41" s="201"/>
      <c r="AG41" s="201"/>
      <c r="AH41" s="202"/>
    </row>
    <row r="42" spans="2:34" x14ac:dyDescent="0.8">
      <c r="B42" s="105"/>
      <c r="C42" s="32"/>
      <c r="D42" s="243"/>
      <c r="E42" s="245"/>
      <c r="F42" s="32"/>
      <c r="G42" s="105"/>
      <c r="H42" s="32"/>
      <c r="K42" s="257"/>
      <c r="L42" s="258"/>
      <c r="M42" s="73"/>
      <c r="N42" s="104"/>
      <c r="O42" s="104"/>
      <c r="P42" s="104"/>
      <c r="Q42" s="104"/>
      <c r="R42" s="104"/>
      <c r="S42" s="101"/>
      <c r="T42" s="101"/>
      <c r="U42" s="101"/>
      <c r="V42" s="178"/>
      <c r="W42" s="19"/>
      <c r="X42" s="200"/>
      <c r="Y42" s="201"/>
      <c r="Z42" s="201"/>
      <c r="AA42" s="201"/>
      <c r="AB42" s="201"/>
      <c r="AC42" s="201"/>
      <c r="AD42" s="201"/>
      <c r="AE42" s="201"/>
      <c r="AF42" s="201"/>
      <c r="AG42" s="201"/>
      <c r="AH42" s="202"/>
    </row>
    <row r="43" spans="2:34" x14ac:dyDescent="0.8">
      <c r="B43" s="32"/>
      <c r="C43" s="32"/>
      <c r="D43" s="53">
        <v>41</v>
      </c>
      <c r="E43" s="51">
        <v>0.1</v>
      </c>
      <c r="F43" s="32"/>
      <c r="G43" s="32"/>
      <c r="H43" s="32"/>
      <c r="K43" s="277" t="s">
        <v>13</v>
      </c>
      <c r="L43" s="278"/>
      <c r="M43" s="76"/>
      <c r="N43" s="77"/>
      <c r="O43" s="179"/>
      <c r="P43" s="179"/>
      <c r="Q43" s="179"/>
      <c r="R43" s="179"/>
      <c r="S43" s="179"/>
      <c r="T43" s="179"/>
      <c r="U43" s="179"/>
      <c r="V43" s="180"/>
      <c r="W43" s="20"/>
      <c r="X43" s="200"/>
      <c r="Y43" s="201"/>
      <c r="Z43" s="201"/>
      <c r="AA43" s="201"/>
      <c r="AB43" s="201"/>
      <c r="AC43" s="201"/>
      <c r="AD43" s="201"/>
      <c r="AE43" s="201"/>
      <c r="AF43" s="201"/>
      <c r="AG43" s="201"/>
      <c r="AH43" s="202"/>
    </row>
    <row r="44" spans="2:34" x14ac:dyDescent="0.8">
      <c r="B44" s="32"/>
      <c r="C44" s="32"/>
      <c r="D44" s="53">
        <v>43</v>
      </c>
      <c r="E44" s="51">
        <v>0.35</v>
      </c>
      <c r="F44" s="32"/>
      <c r="G44" s="32"/>
      <c r="H44" s="32"/>
      <c r="K44" s="257" t="s">
        <v>128</v>
      </c>
      <c r="L44" s="259"/>
      <c r="M44" s="78"/>
      <c r="N44" s="79"/>
      <c r="O44" s="101"/>
      <c r="P44" s="101"/>
      <c r="Q44" s="101"/>
      <c r="R44" s="101"/>
      <c r="S44" s="101"/>
      <c r="T44" s="101"/>
      <c r="U44" s="101"/>
      <c r="V44" s="156">
        <f>M19</f>
        <v>350000</v>
      </c>
      <c r="W44" s="17"/>
      <c r="X44" s="200"/>
      <c r="Y44" s="201"/>
      <c r="Z44" s="201"/>
      <c r="AA44" s="201"/>
      <c r="AB44" s="201"/>
      <c r="AC44" s="201"/>
      <c r="AD44" s="201"/>
      <c r="AE44" s="201"/>
      <c r="AF44" s="201"/>
      <c r="AG44" s="201"/>
      <c r="AH44" s="202"/>
    </row>
    <row r="45" spans="2:34" ht="16" customHeight="1" thickBot="1" x14ac:dyDescent="0.95">
      <c r="B45" s="32"/>
      <c r="C45" s="32"/>
      <c r="D45" s="53">
        <v>47</v>
      </c>
      <c r="E45" s="51">
        <v>0.3</v>
      </c>
      <c r="F45" s="32"/>
      <c r="G45" s="32"/>
      <c r="H45" s="32"/>
      <c r="K45" s="257" t="s">
        <v>11</v>
      </c>
      <c r="L45" s="259"/>
      <c r="M45" s="78"/>
      <c r="N45" s="79"/>
      <c r="O45" s="101"/>
      <c r="P45" s="101"/>
      <c r="Q45" s="101"/>
      <c r="R45" s="101"/>
      <c r="S45" s="101"/>
      <c r="T45" s="101"/>
      <c r="U45" s="101"/>
      <c r="V45" s="156">
        <f>M20</f>
        <v>690000</v>
      </c>
      <c r="W45" s="15"/>
      <c r="X45" s="203"/>
      <c r="Y45" s="204"/>
      <c r="Z45" s="204"/>
      <c r="AA45" s="204"/>
      <c r="AB45" s="204"/>
      <c r="AC45" s="204"/>
      <c r="AD45" s="204"/>
      <c r="AE45" s="204"/>
      <c r="AF45" s="204"/>
      <c r="AG45" s="204"/>
      <c r="AH45" s="205"/>
    </row>
    <row r="46" spans="2:34" ht="14" customHeight="1" x14ac:dyDescent="0.8">
      <c r="B46" s="32"/>
      <c r="C46" s="32"/>
      <c r="D46" s="53">
        <v>52</v>
      </c>
      <c r="E46" s="51">
        <v>0.2</v>
      </c>
      <c r="F46" s="32"/>
      <c r="G46" s="32"/>
      <c r="H46" s="32"/>
      <c r="K46" s="257" t="s">
        <v>12</v>
      </c>
      <c r="L46" s="259"/>
      <c r="M46" s="78"/>
      <c r="N46" s="79"/>
      <c r="O46" s="101"/>
      <c r="P46" s="101"/>
      <c r="Q46" s="101"/>
      <c r="R46" s="101"/>
      <c r="S46" s="101"/>
      <c r="T46" s="101"/>
      <c r="U46" s="101"/>
      <c r="V46" s="156">
        <f>M21</f>
        <v>657149.64742063964</v>
      </c>
      <c r="W46" s="15"/>
    </row>
    <row r="47" spans="2:34" ht="14" customHeight="1" thickBot="1" x14ac:dyDescent="0.95">
      <c r="B47" s="32"/>
      <c r="C47" s="32"/>
      <c r="D47" s="54">
        <v>55</v>
      </c>
      <c r="E47" s="52">
        <v>0.05</v>
      </c>
      <c r="F47" s="32"/>
      <c r="G47" s="32"/>
      <c r="H47" s="32"/>
      <c r="K47" s="257" t="s">
        <v>130</v>
      </c>
      <c r="L47" s="259"/>
      <c r="M47" s="80"/>
      <c r="N47" s="79"/>
      <c r="O47" s="101"/>
      <c r="P47" s="101"/>
      <c r="Q47" s="101"/>
      <c r="R47" s="101"/>
      <c r="S47" s="101"/>
      <c r="T47" s="101"/>
      <c r="U47" s="181"/>
      <c r="V47" s="156">
        <f>17000+25000</f>
        <v>42000</v>
      </c>
      <c r="W47" s="15"/>
    </row>
    <row r="48" spans="2:34" ht="16.75" thickBot="1" x14ac:dyDescent="0.95">
      <c r="B48" s="32"/>
      <c r="C48" s="32"/>
      <c r="D48" s="32"/>
      <c r="E48" s="32"/>
      <c r="F48" s="32"/>
      <c r="G48" s="32"/>
      <c r="H48" s="32"/>
      <c r="K48" s="257"/>
      <c r="L48" s="259"/>
      <c r="M48" s="80"/>
      <c r="N48" s="75"/>
      <c r="O48" s="75"/>
      <c r="P48" s="75"/>
      <c r="Q48" s="75"/>
      <c r="R48" s="75"/>
      <c r="S48" s="75"/>
      <c r="T48" s="75"/>
      <c r="U48" s="75"/>
      <c r="V48" s="74"/>
    </row>
    <row r="49" spans="2:22" ht="16" customHeight="1" x14ac:dyDescent="0.8">
      <c r="B49" s="236" t="s">
        <v>49</v>
      </c>
      <c r="C49" s="236"/>
      <c r="D49" s="236"/>
      <c r="E49" s="236"/>
      <c r="F49" s="236"/>
      <c r="G49" s="236"/>
      <c r="H49" s="236"/>
      <c r="K49" s="264" t="s">
        <v>71</v>
      </c>
      <c r="L49" s="265"/>
      <c r="M49" s="82"/>
      <c r="N49" s="83"/>
      <c r="O49" s="84"/>
      <c r="P49" s="84"/>
      <c r="Q49" s="84"/>
      <c r="R49" s="84"/>
      <c r="S49" s="84"/>
      <c r="T49" s="84"/>
      <c r="U49" s="85"/>
      <c r="V49" s="86"/>
    </row>
    <row r="50" spans="2:22" ht="14" customHeight="1" x14ac:dyDescent="0.8">
      <c r="B50" s="236"/>
      <c r="C50" s="236"/>
      <c r="D50" s="236"/>
      <c r="E50" s="236"/>
      <c r="F50" s="236"/>
      <c r="G50" s="236"/>
      <c r="H50" s="236"/>
      <c r="K50" s="231" t="s">
        <v>131</v>
      </c>
      <c r="L50" s="232"/>
      <c r="M50" s="80"/>
      <c r="N50" s="75"/>
      <c r="O50" s="75"/>
      <c r="P50" s="75"/>
      <c r="Q50" s="75"/>
      <c r="R50" s="75"/>
      <c r="S50" s="75"/>
      <c r="T50" s="75"/>
      <c r="U50" s="75"/>
      <c r="V50" s="156">
        <f>V20</f>
        <v>-53719.637350399986</v>
      </c>
    </row>
    <row r="51" spans="2:22" ht="14" customHeight="1" x14ac:dyDescent="0.8">
      <c r="B51" s="236"/>
      <c r="C51" s="236"/>
      <c r="D51" s="236"/>
      <c r="E51" s="236"/>
      <c r="F51" s="236"/>
      <c r="G51" s="236"/>
      <c r="H51" s="236"/>
      <c r="K51" s="231" t="s">
        <v>132</v>
      </c>
      <c r="L51" s="232"/>
      <c r="M51" s="80"/>
      <c r="N51" s="75"/>
      <c r="O51" s="71"/>
      <c r="P51" s="71"/>
      <c r="Q51" s="71"/>
      <c r="R51" s="71"/>
      <c r="S51" s="71"/>
      <c r="T51" s="71"/>
      <c r="U51" s="81"/>
      <c r="V51" s="156">
        <f>U21</f>
        <v>-6118.8669923477173</v>
      </c>
    </row>
    <row r="52" spans="2:22" ht="14" customHeight="1" x14ac:dyDescent="0.8">
      <c r="B52" s="236"/>
      <c r="C52" s="236"/>
      <c r="D52" s="236"/>
      <c r="E52" s="236"/>
      <c r="F52" s="236"/>
      <c r="G52" s="236"/>
      <c r="H52" s="236"/>
      <c r="K52" s="231"/>
      <c r="L52" s="232"/>
      <c r="M52" s="80"/>
      <c r="N52" s="75"/>
      <c r="O52" s="71"/>
      <c r="P52" s="71"/>
      <c r="Q52" s="71"/>
      <c r="R52" s="71"/>
      <c r="S52" s="71"/>
      <c r="T52" s="71"/>
      <c r="U52" s="81"/>
      <c r="V52" s="156"/>
    </row>
    <row r="53" spans="2:22" x14ac:dyDescent="0.8">
      <c r="B53" s="236" t="s">
        <v>60</v>
      </c>
      <c r="C53" s="236"/>
      <c r="D53" s="236"/>
      <c r="E53" s="236"/>
      <c r="F53" s="236"/>
      <c r="G53" s="236"/>
      <c r="H53" s="236"/>
      <c r="K53" s="231" t="s">
        <v>138</v>
      </c>
      <c r="L53" s="232"/>
      <c r="M53" s="80"/>
      <c r="N53" s="121"/>
      <c r="O53" s="121"/>
      <c r="P53" s="121"/>
      <c r="Q53" s="121"/>
      <c r="R53" s="121"/>
      <c r="S53" s="121"/>
      <c r="T53" s="121"/>
      <c r="U53" s="121"/>
      <c r="V53" s="298">
        <f>-((V50+V44)*0.5*T16)</f>
        <v>-33479.680979404802</v>
      </c>
    </row>
    <row r="54" spans="2:22" ht="16.75" thickBot="1" x14ac:dyDescent="0.95">
      <c r="B54" s="236"/>
      <c r="C54" s="236"/>
      <c r="D54" s="236"/>
      <c r="E54" s="236"/>
      <c r="F54" s="236"/>
      <c r="G54" s="236"/>
      <c r="H54" s="236"/>
      <c r="K54" s="255" t="s">
        <v>139</v>
      </c>
      <c r="L54" s="256"/>
      <c r="M54" s="87"/>
      <c r="N54" s="88"/>
      <c r="O54" s="89"/>
      <c r="P54" s="89"/>
      <c r="Q54" s="89"/>
      <c r="R54" s="89"/>
      <c r="S54" s="89"/>
      <c r="T54" s="89"/>
      <c r="U54" s="90"/>
      <c r="V54" s="299">
        <f>-((V51+V45)*0.5*T16)</f>
        <v>-77278.568029864706</v>
      </c>
    </row>
    <row r="55" spans="2:22" x14ac:dyDescent="0.8">
      <c r="B55" s="236"/>
      <c r="C55" s="236"/>
      <c r="D55" s="236"/>
      <c r="E55" s="236"/>
      <c r="F55" s="236"/>
      <c r="G55" s="236"/>
      <c r="H55" s="236"/>
      <c r="K55" s="257" t="s">
        <v>8</v>
      </c>
      <c r="L55" s="258"/>
      <c r="M55" s="91"/>
      <c r="N55" s="92">
        <f>SUM(N36:N54)</f>
        <v>-881600</v>
      </c>
      <c r="O55" s="92">
        <f>SUM(O36:O54)</f>
        <v>-937000</v>
      </c>
      <c r="P55" s="92">
        <f>SUM(P36:P54)</f>
        <v>383138.11679999996</v>
      </c>
      <c r="Q55" s="92">
        <f>SUM(Q36:Q54)</f>
        <v>391086.58265087998</v>
      </c>
      <c r="R55" s="92">
        <f>SUM(R36:R54)</f>
        <v>387713.91230484482</v>
      </c>
      <c r="S55" s="92">
        <f>SUM(S36:S54)</f>
        <v>359971.85898065101</v>
      </c>
      <c r="T55" s="92">
        <f>SUM(T36:T54)</f>
        <v>491250.85595582495</v>
      </c>
      <c r="U55" s="92">
        <f>SUM(U36:U54)</f>
        <v>489421.73958511197</v>
      </c>
      <c r="V55" s="93">
        <f>V36+SUM(V43:V47)+V53+V54</f>
        <v>2116310.9899070938</v>
      </c>
    </row>
    <row r="56" spans="2:22" x14ac:dyDescent="0.8">
      <c r="B56" s="236"/>
      <c r="C56" s="236"/>
      <c r="D56" s="236"/>
      <c r="E56" s="236"/>
      <c r="F56" s="236"/>
      <c r="G56" s="236"/>
      <c r="H56" s="236"/>
      <c r="K56" s="257" t="s">
        <v>14</v>
      </c>
      <c r="L56" s="259"/>
      <c r="M56" s="94"/>
      <c r="N56" s="95">
        <v>1</v>
      </c>
      <c r="O56" s="95">
        <f>(1+T15)^(-O24)</f>
        <v>0.93896713615023475</v>
      </c>
      <c r="P56" s="95">
        <f>(1+T15)^(-P24)</f>
        <v>0.88165928277017358</v>
      </c>
      <c r="Q56" s="95">
        <f>(1+T15)^(-Q24)</f>
        <v>0.82784909180297994</v>
      </c>
      <c r="R56" s="95">
        <f>(1+T15)^(-R24)</f>
        <v>0.77732309089481699</v>
      </c>
      <c r="S56" s="95">
        <f>(1+T15)^(-S24)</f>
        <v>0.72988083652095492</v>
      </c>
      <c r="T56" s="95">
        <f>(1+T15)^(-T24)</f>
        <v>0.68533411879901873</v>
      </c>
      <c r="U56" s="95">
        <f>(1+T15)^(-U24)</f>
        <v>0.64350621483475945</v>
      </c>
      <c r="V56" s="96">
        <f>(1+T15)^(-V24)</f>
        <v>0.60423118763827188</v>
      </c>
    </row>
    <row r="57" spans="2:22" ht="16.75" thickBot="1" x14ac:dyDescent="0.95">
      <c r="B57" s="236"/>
      <c r="C57" s="236"/>
      <c r="D57" s="236"/>
      <c r="E57" s="236"/>
      <c r="F57" s="236"/>
      <c r="G57" s="236"/>
      <c r="H57" s="236"/>
      <c r="K57" s="260" t="s">
        <v>15</v>
      </c>
      <c r="L57" s="261"/>
      <c r="M57" s="97"/>
      <c r="N57" s="98">
        <f>N56*N55</f>
        <v>-881600</v>
      </c>
      <c r="O57" s="98">
        <f>O55*O56</f>
        <v>-879812.20657276991</v>
      </c>
      <c r="P57" s="98">
        <f>P55*P56</f>
        <v>337797.27725980297</v>
      </c>
      <c r="Q57" s="98">
        <f>Q55*Q56</f>
        <v>323760.67226386204</v>
      </c>
      <c r="R57" s="98">
        <f>R55*R56</f>
        <v>301378.97669572401</v>
      </c>
      <c r="S57" s="98">
        <f>S55*S56</f>
        <v>262736.56155680079</v>
      </c>
      <c r="T57" s="98">
        <f>T55*T56</f>
        <v>336670.97247574897</v>
      </c>
      <c r="U57" s="98">
        <f>U55*U56</f>
        <v>314945.93109825876</v>
      </c>
      <c r="V57" s="18">
        <f>V55*V56</f>
        <v>1278741.1028434902</v>
      </c>
    </row>
    <row r="58" spans="2:22" ht="16.75" thickBot="1" x14ac:dyDescent="0.95">
      <c r="B58" s="32"/>
      <c r="C58" s="32"/>
      <c r="D58" s="32"/>
      <c r="E58" s="32"/>
      <c r="F58" s="32"/>
      <c r="G58" s="32"/>
      <c r="H58" s="32"/>
      <c r="K58" s="99" t="s">
        <v>72</v>
      </c>
      <c r="L58" s="100">
        <f>SUM(N57:V57)</f>
        <v>1394619.2876209179</v>
      </c>
      <c r="M58" s="75"/>
      <c r="N58" s="75"/>
      <c r="O58" s="75"/>
      <c r="P58" s="75"/>
      <c r="Q58" s="75"/>
      <c r="R58" s="75"/>
      <c r="S58" s="75"/>
      <c r="T58" s="75"/>
      <c r="U58" s="75"/>
      <c r="V58" s="75"/>
    </row>
    <row r="59" spans="2:22" x14ac:dyDescent="0.8">
      <c r="B59" s="32"/>
      <c r="C59" s="32"/>
      <c r="D59" s="32"/>
      <c r="E59" s="32"/>
      <c r="F59" s="32"/>
      <c r="G59" s="32"/>
      <c r="H59" s="32"/>
      <c r="K59" s="32"/>
      <c r="L59" s="32"/>
      <c r="M59" s="32"/>
      <c r="N59" s="32"/>
      <c r="O59" s="32"/>
      <c r="P59" s="32"/>
      <c r="Q59" s="32"/>
      <c r="R59" s="32"/>
      <c r="S59" s="32"/>
      <c r="T59" s="32"/>
      <c r="U59" s="32"/>
      <c r="V59" s="32"/>
    </row>
    <row r="60" spans="2:22" ht="16.75" thickBot="1" x14ac:dyDescent="0.95">
      <c r="B60" s="237" t="s">
        <v>73</v>
      </c>
      <c r="C60" s="237"/>
      <c r="D60" s="237"/>
      <c r="E60" s="237"/>
      <c r="F60" s="237"/>
      <c r="G60" s="237"/>
      <c r="H60" s="237"/>
      <c r="K60" s="14" t="s">
        <v>91</v>
      </c>
      <c r="L60" s="57"/>
      <c r="M60" s="57"/>
      <c r="N60" s="108"/>
      <c r="O60" s="57"/>
      <c r="P60" s="57"/>
      <c r="Q60" s="57"/>
      <c r="R60" s="57"/>
      <c r="S60" s="57"/>
      <c r="T60" s="57"/>
      <c r="U60" s="57"/>
      <c r="V60" s="57"/>
    </row>
    <row r="61" spans="2:22" ht="17" customHeight="1" thickBot="1" x14ac:dyDescent="0.95">
      <c r="B61" s="32"/>
      <c r="C61" s="32"/>
      <c r="D61" s="32"/>
      <c r="E61" s="32"/>
      <c r="F61" s="32"/>
      <c r="G61" s="32"/>
      <c r="H61" s="32"/>
      <c r="K61" s="275" t="s">
        <v>1</v>
      </c>
      <c r="L61" s="276"/>
      <c r="M61" s="109" t="s">
        <v>2</v>
      </c>
      <c r="N61" s="110">
        <v>0</v>
      </c>
      <c r="O61" s="111">
        <v>1</v>
      </c>
      <c r="P61" s="111">
        <v>2</v>
      </c>
      <c r="Q61" s="111">
        <v>3</v>
      </c>
      <c r="R61" s="111">
        <v>4</v>
      </c>
      <c r="S61" s="111">
        <v>5</v>
      </c>
      <c r="T61" s="111">
        <v>6</v>
      </c>
      <c r="U61" s="111">
        <v>7</v>
      </c>
      <c r="V61" s="48">
        <v>8</v>
      </c>
    </row>
    <row r="62" spans="2:22" ht="16.75" thickBot="1" x14ac:dyDescent="0.95">
      <c r="B62" s="1" t="s">
        <v>20</v>
      </c>
      <c r="C62" s="32"/>
      <c r="D62" s="32"/>
      <c r="E62" s="32"/>
      <c r="F62" s="32"/>
      <c r="G62" s="32"/>
      <c r="H62" s="32"/>
      <c r="K62" s="271" t="s">
        <v>6</v>
      </c>
      <c r="L62" s="272"/>
      <c r="M62" s="69"/>
      <c r="N62" s="148"/>
      <c r="O62" s="149"/>
      <c r="P62" s="150">
        <v>21000</v>
      </c>
      <c r="Q62" s="150">
        <v>21000</v>
      </c>
      <c r="R62" s="150">
        <v>21000</v>
      </c>
      <c r="S62" s="150">
        <v>21000</v>
      </c>
      <c r="T62" s="150">
        <v>29000</v>
      </c>
      <c r="U62" s="150">
        <v>29000</v>
      </c>
      <c r="V62" s="151">
        <v>29000</v>
      </c>
    </row>
    <row r="63" spans="2:22" x14ac:dyDescent="0.8">
      <c r="B63" s="32"/>
      <c r="C63" s="32"/>
      <c r="D63" s="32"/>
      <c r="E63" s="32"/>
      <c r="F63" s="32"/>
      <c r="G63" s="32"/>
      <c r="H63" s="32"/>
      <c r="K63" s="273" t="s">
        <v>110</v>
      </c>
      <c r="L63" s="274"/>
      <c r="M63" s="73"/>
      <c r="N63" s="152"/>
      <c r="O63" s="209"/>
      <c r="P63" s="165">
        <v>99000</v>
      </c>
      <c r="Q63" s="165">
        <v>99000</v>
      </c>
      <c r="R63" s="165">
        <v>99000</v>
      </c>
      <c r="S63" s="165">
        <v>99000</v>
      </c>
      <c r="T63" s="165">
        <v>178000</v>
      </c>
      <c r="U63" s="165">
        <v>178000</v>
      </c>
      <c r="V63" s="166">
        <v>178000</v>
      </c>
    </row>
    <row r="64" spans="2:22" x14ac:dyDescent="0.8">
      <c r="B64" s="236" t="s">
        <v>61</v>
      </c>
      <c r="C64" s="236"/>
      <c r="D64" s="236"/>
      <c r="E64" s="236"/>
      <c r="F64" s="236"/>
      <c r="G64" s="236"/>
      <c r="H64" s="236"/>
      <c r="K64" s="227" t="s">
        <v>135</v>
      </c>
      <c r="L64" s="228"/>
      <c r="M64" s="73"/>
      <c r="N64" s="154"/>
      <c r="O64" s="105"/>
      <c r="P64" s="103">
        <f>V9*P62*1.1</f>
        <v>1071840</v>
      </c>
      <c r="Q64" s="103">
        <f>V9*Q62*1.1</f>
        <v>1071840</v>
      </c>
      <c r="R64" s="103">
        <f>V9*R62*1.1</f>
        <v>1071840</v>
      </c>
      <c r="S64" s="103">
        <f>V9*S62*1.1</f>
        <v>1071840</v>
      </c>
      <c r="T64" s="103">
        <f>V9*T62*1.1</f>
        <v>1480160.0000000002</v>
      </c>
      <c r="U64" s="103">
        <f>V9*U62*1.1</f>
        <v>1480160.0000000002</v>
      </c>
      <c r="V64" s="168">
        <f>V9*V62*1.1</f>
        <v>1480160.0000000002</v>
      </c>
    </row>
    <row r="65" spans="2:23" x14ac:dyDescent="0.8">
      <c r="B65" s="233" t="s">
        <v>81</v>
      </c>
      <c r="C65" s="233"/>
      <c r="D65" s="233"/>
      <c r="E65" s="233"/>
      <c r="F65" s="233"/>
      <c r="G65" s="233"/>
      <c r="H65" s="233"/>
      <c r="K65" s="227" t="s">
        <v>136</v>
      </c>
      <c r="L65" s="228"/>
      <c r="M65" s="73"/>
      <c r="N65" s="154"/>
      <c r="O65" s="105"/>
      <c r="P65" s="103">
        <f>19*P62</f>
        <v>399000</v>
      </c>
      <c r="Q65" s="103">
        <f>19*Q62</f>
        <v>399000</v>
      </c>
      <c r="R65" s="103">
        <f>19*R62</f>
        <v>399000</v>
      </c>
      <c r="S65" s="103">
        <f>19*S62</f>
        <v>399000</v>
      </c>
      <c r="T65" s="103">
        <f>19*T62</f>
        <v>551000</v>
      </c>
      <c r="U65" s="103">
        <f>19*U62</f>
        <v>551000</v>
      </c>
      <c r="V65" s="168">
        <f>19*V62</f>
        <v>551000</v>
      </c>
    </row>
    <row r="66" spans="2:23" ht="16" customHeight="1" thickBot="1" x14ac:dyDescent="0.95">
      <c r="B66" s="236" t="s">
        <v>76</v>
      </c>
      <c r="C66" s="236"/>
      <c r="D66" s="236"/>
      <c r="E66" s="236"/>
      <c r="F66" s="236"/>
      <c r="G66" s="236"/>
      <c r="H66" s="236"/>
      <c r="K66" s="229"/>
      <c r="L66" s="230"/>
      <c r="M66" s="80"/>
      <c r="N66" s="184"/>
      <c r="O66" s="185"/>
      <c r="P66" s="169"/>
      <c r="Q66" s="169"/>
      <c r="R66" s="169"/>
      <c r="S66" s="169"/>
      <c r="T66" s="169"/>
      <c r="U66" s="169"/>
      <c r="V66" s="170"/>
    </row>
    <row r="67" spans="2:23" ht="16.75" thickBot="1" x14ac:dyDescent="0.95">
      <c r="B67" s="236"/>
      <c r="C67" s="236"/>
      <c r="D67" s="236"/>
      <c r="E67" s="236"/>
      <c r="F67" s="236"/>
      <c r="G67" s="236"/>
      <c r="H67" s="236"/>
      <c r="K67" s="269" t="s">
        <v>9</v>
      </c>
      <c r="L67" s="270"/>
      <c r="M67" s="113"/>
      <c r="N67" s="186"/>
      <c r="O67" s="187"/>
      <c r="P67" s="171">
        <f>P64-P63-P65</f>
        <v>573840</v>
      </c>
      <c r="Q67" s="171">
        <f t="shared" ref="Q67:S67" si="3">Q64-Q63-Q65</f>
        <v>573840</v>
      </c>
      <c r="R67" s="171">
        <f t="shared" si="3"/>
        <v>573840</v>
      </c>
      <c r="S67" s="171">
        <f t="shared" si="3"/>
        <v>573840</v>
      </c>
      <c r="T67" s="171">
        <f>T64-T65-T63</f>
        <v>751160.00000000023</v>
      </c>
      <c r="U67" s="171">
        <f t="shared" ref="U67:V67" si="4">U64-U65-U63</f>
        <v>751160.00000000023</v>
      </c>
      <c r="V67" s="172">
        <f t="shared" si="4"/>
        <v>751160.00000000023</v>
      </c>
    </row>
    <row r="68" spans="2:23" x14ac:dyDescent="0.8">
      <c r="B68" s="233" t="s">
        <v>77</v>
      </c>
      <c r="C68" s="233"/>
      <c r="D68" s="233"/>
      <c r="E68" s="233"/>
      <c r="F68" s="233"/>
      <c r="G68" s="233"/>
      <c r="H68" s="233"/>
      <c r="K68" s="257" t="s">
        <v>124</v>
      </c>
      <c r="L68" s="259"/>
      <c r="M68" s="73"/>
      <c r="N68" s="101"/>
      <c r="O68" s="188"/>
      <c r="P68" s="12"/>
      <c r="Q68" s="12"/>
      <c r="R68" s="12"/>
      <c r="S68" s="12"/>
      <c r="T68" s="12"/>
      <c r="U68" s="12"/>
      <c r="V68" s="173">
        <f>-(M21-L22)*0.5*T16</f>
        <v>-74257.910158532279</v>
      </c>
    </row>
    <row r="69" spans="2:23" x14ac:dyDescent="0.8">
      <c r="B69" s="234" t="s">
        <v>62</v>
      </c>
      <c r="C69" s="234"/>
      <c r="D69" s="234"/>
      <c r="E69" s="234"/>
      <c r="F69" s="234"/>
      <c r="G69" s="234"/>
      <c r="H69" s="234"/>
      <c r="K69" s="257" t="s">
        <v>125</v>
      </c>
      <c r="L69" s="259"/>
      <c r="M69" s="73"/>
      <c r="N69" s="101"/>
      <c r="O69" s="188"/>
      <c r="P69" s="12">
        <f>P33</f>
        <v>47600</v>
      </c>
      <c r="Q69" s="12">
        <f>Q33</f>
        <v>68544</v>
      </c>
      <c r="R69" s="12">
        <f>R33</f>
        <v>54835.200000000012</v>
      </c>
      <c r="S69" s="12">
        <f>S33</f>
        <v>43868.160000000011</v>
      </c>
      <c r="T69" s="12">
        <f>T33</f>
        <v>35094.528000000013</v>
      </c>
      <c r="U69" s="12">
        <f>U33</f>
        <v>28075.622400000015</v>
      </c>
      <c r="V69" s="173">
        <f>V33</f>
        <v>22460.497920000013</v>
      </c>
    </row>
    <row r="70" spans="2:23" x14ac:dyDescent="0.8">
      <c r="B70" s="55" t="s">
        <v>63</v>
      </c>
      <c r="C70" s="55"/>
      <c r="D70" s="55"/>
      <c r="E70" s="55"/>
      <c r="F70" s="55"/>
      <c r="G70" s="55"/>
      <c r="H70" s="55"/>
      <c r="K70" s="257" t="s">
        <v>126</v>
      </c>
      <c r="L70" s="259"/>
      <c r="M70" s="73"/>
      <c r="N70" s="101"/>
      <c r="O70" s="12"/>
      <c r="P70" s="12">
        <f>(L13+461000)*U14*0.5</f>
        <v>16136.800000000001</v>
      </c>
      <c r="Q70" s="12">
        <f>Q32</f>
        <v>30363.00288</v>
      </c>
      <c r="R70" s="12">
        <f>R32</f>
        <v>29148.482764799999</v>
      </c>
      <c r="S70" s="12">
        <f>S32</f>
        <v>27982.543454208</v>
      </c>
      <c r="T70" s="12">
        <f>T32</f>
        <v>26863.24171603968</v>
      </c>
      <c r="U70" s="12">
        <f>U32</f>
        <v>25788.712047398094</v>
      </c>
      <c r="V70" s="173">
        <f>V32</f>
        <v>24757.163565502167</v>
      </c>
    </row>
    <row r="71" spans="2:23" ht="16.75" thickBot="1" x14ac:dyDescent="0.95">
      <c r="B71" s="235" t="s">
        <v>64</v>
      </c>
      <c r="C71" s="235"/>
      <c r="D71" s="235"/>
      <c r="E71" s="235"/>
      <c r="F71" s="235"/>
      <c r="G71" s="235"/>
      <c r="H71" s="235"/>
      <c r="K71" s="260" t="s">
        <v>137</v>
      </c>
      <c r="L71" s="256"/>
      <c r="M71" s="73"/>
      <c r="N71" s="101"/>
      <c r="O71" s="12"/>
      <c r="P71" s="12">
        <f>P67-P69-P70</f>
        <v>510103.2</v>
      </c>
      <c r="Q71" s="12">
        <f t="shared" ref="Q71:V71" si="5">Q67-Q69-Q70</f>
        <v>474932.99712000001</v>
      </c>
      <c r="R71" s="12">
        <f t="shared" si="5"/>
        <v>489856.31723519997</v>
      </c>
      <c r="S71" s="12">
        <f t="shared" si="5"/>
        <v>501989.29654579196</v>
      </c>
      <c r="T71" s="12">
        <f t="shared" si="5"/>
        <v>689202.23028396047</v>
      </c>
      <c r="U71" s="12">
        <f t="shared" si="5"/>
        <v>697295.66555260215</v>
      </c>
      <c r="V71" s="173">
        <f t="shared" si="5"/>
        <v>703942.33851449809</v>
      </c>
    </row>
    <row r="72" spans="2:23" ht="16.75" thickBot="1" x14ac:dyDescent="0.95">
      <c r="B72" s="234" t="s">
        <v>65</v>
      </c>
      <c r="C72" s="234"/>
      <c r="D72" s="234"/>
      <c r="E72" s="234"/>
      <c r="F72" s="234"/>
      <c r="G72" s="234"/>
      <c r="H72" s="234"/>
      <c r="K72" s="260" t="s">
        <v>127</v>
      </c>
      <c r="L72" s="256"/>
      <c r="M72" s="73"/>
      <c r="N72" s="101"/>
      <c r="O72" s="12"/>
      <c r="P72" s="12">
        <f>T16*P71</f>
        <v>115283.3232</v>
      </c>
      <c r="Q72" s="12">
        <f>T16*Q71</f>
        <v>107334.85734912001</v>
      </c>
      <c r="R72" s="12">
        <f>T16*R71</f>
        <v>110707.52769515519</v>
      </c>
      <c r="S72" s="12">
        <f>T16*S71</f>
        <v>113449.58101934899</v>
      </c>
      <c r="T72" s="12">
        <f>T16*T71</f>
        <v>155759.70404417507</v>
      </c>
      <c r="U72" s="12">
        <f>T16*U71</f>
        <v>157588.82041488809</v>
      </c>
      <c r="V72" s="173">
        <f>T16*V71</f>
        <v>159090.96850427656</v>
      </c>
    </row>
    <row r="73" spans="2:23" ht="16.75" thickBot="1" x14ac:dyDescent="0.95">
      <c r="B73" s="234"/>
      <c r="C73" s="234"/>
      <c r="D73" s="234"/>
      <c r="E73" s="234"/>
      <c r="F73" s="234"/>
      <c r="G73" s="234"/>
      <c r="H73" s="234"/>
      <c r="K73" s="281" t="s">
        <v>70</v>
      </c>
      <c r="L73" s="282"/>
      <c r="M73" s="114"/>
      <c r="N73" s="186"/>
      <c r="O73" s="171"/>
      <c r="P73" s="171">
        <f>P67-P72</f>
        <v>458556.67680000002</v>
      </c>
      <c r="Q73" s="171">
        <f t="shared" ref="Q73:V73" si="6">Q67-Q72</f>
        <v>466505.14265087998</v>
      </c>
      <c r="R73" s="171">
        <f t="shared" si="6"/>
        <v>463132.47230484482</v>
      </c>
      <c r="S73" s="171">
        <f t="shared" si="6"/>
        <v>460390.41898065101</v>
      </c>
      <c r="T73" s="171">
        <f t="shared" si="6"/>
        <v>595400.29595582513</v>
      </c>
      <c r="U73" s="171">
        <f t="shared" si="6"/>
        <v>593571.17958511214</v>
      </c>
      <c r="V73" s="172">
        <f t="shared" si="6"/>
        <v>592069.03149572364</v>
      </c>
    </row>
    <row r="74" spans="2:23" x14ac:dyDescent="0.8">
      <c r="B74" s="234"/>
      <c r="C74" s="234"/>
      <c r="D74" s="234"/>
      <c r="E74" s="234"/>
      <c r="F74" s="234"/>
      <c r="G74" s="234"/>
      <c r="H74" s="234"/>
      <c r="K74" s="257" t="s">
        <v>10</v>
      </c>
      <c r="L74" s="259"/>
      <c r="M74" s="73"/>
      <c r="N74" s="182"/>
      <c r="O74" s="188"/>
      <c r="P74" s="188"/>
      <c r="Q74" s="188"/>
      <c r="R74" s="188"/>
      <c r="S74" s="188"/>
      <c r="T74" s="188"/>
      <c r="U74" s="188"/>
      <c r="V74" s="189"/>
    </row>
    <row r="75" spans="2:23" ht="17" customHeight="1" x14ac:dyDescent="0.8">
      <c r="B75" s="234"/>
      <c r="C75" s="234"/>
      <c r="D75" s="234"/>
      <c r="E75" s="234"/>
      <c r="F75" s="234"/>
      <c r="G75" s="234"/>
      <c r="H75" s="234"/>
      <c r="K75" s="257" t="s">
        <v>128</v>
      </c>
      <c r="L75" s="259"/>
      <c r="M75" s="73"/>
      <c r="N75" s="190"/>
      <c r="O75" s="188">
        <f>O38</f>
        <v>-476000</v>
      </c>
      <c r="P75" s="188"/>
      <c r="Q75" s="188"/>
      <c r="R75" s="188"/>
      <c r="S75" s="188"/>
      <c r="T75" s="188"/>
      <c r="U75" s="188"/>
      <c r="V75" s="189"/>
      <c r="W75" s="21"/>
    </row>
    <row r="76" spans="2:23" x14ac:dyDescent="0.8">
      <c r="B76" s="220" t="s">
        <v>78</v>
      </c>
      <c r="C76" s="220"/>
      <c r="D76" s="220"/>
      <c r="E76" s="220"/>
      <c r="F76" s="220"/>
      <c r="G76" s="220"/>
      <c r="H76" s="220"/>
      <c r="K76" s="257" t="s">
        <v>11</v>
      </c>
      <c r="L76" s="259"/>
      <c r="M76" s="73"/>
      <c r="N76" s="183">
        <f>N39</f>
        <v>-345840</v>
      </c>
      <c r="O76" s="188">
        <f>O39</f>
        <v>-461000</v>
      </c>
      <c r="P76" s="188"/>
      <c r="Q76" s="188"/>
      <c r="R76" s="188"/>
      <c r="S76" s="188"/>
      <c r="T76" s="188"/>
      <c r="U76" s="188"/>
      <c r="V76" s="189"/>
    </row>
    <row r="77" spans="2:23" x14ac:dyDescent="0.8">
      <c r="B77" s="220"/>
      <c r="C77" s="220"/>
      <c r="D77" s="220"/>
      <c r="E77" s="220"/>
      <c r="F77" s="220"/>
      <c r="G77" s="220"/>
      <c r="H77" s="220"/>
      <c r="K77" s="257" t="s">
        <v>12</v>
      </c>
      <c r="L77" s="259"/>
      <c r="M77" s="73"/>
      <c r="N77" s="183">
        <f>N40</f>
        <v>-518760</v>
      </c>
      <c r="O77" s="188"/>
      <c r="P77" s="188"/>
      <c r="Q77" s="188"/>
      <c r="R77" s="188"/>
      <c r="S77" s="188"/>
      <c r="T77" s="188"/>
      <c r="U77" s="188"/>
      <c r="V77" s="189"/>
    </row>
    <row r="78" spans="2:23" x14ac:dyDescent="0.8">
      <c r="B78" s="220" t="s">
        <v>79</v>
      </c>
      <c r="C78" s="220"/>
      <c r="D78" s="220"/>
      <c r="E78" s="220"/>
      <c r="F78" s="220"/>
      <c r="G78" s="220"/>
      <c r="H78" s="220"/>
      <c r="K78" s="257" t="s">
        <v>129</v>
      </c>
      <c r="L78" s="258"/>
      <c r="M78" s="73"/>
      <c r="N78" s="183">
        <f>-17000</f>
        <v>-17000</v>
      </c>
      <c r="O78" s="188"/>
      <c r="P78" s="188"/>
      <c r="Q78" s="188"/>
      <c r="R78" s="188"/>
      <c r="S78" s="188">
        <f>S41</f>
        <v>-25000</v>
      </c>
      <c r="T78" s="188"/>
      <c r="U78" s="188"/>
      <c r="V78" s="189"/>
    </row>
    <row r="79" spans="2:23" x14ac:dyDescent="0.8">
      <c r="K79" s="257"/>
      <c r="L79" s="258"/>
      <c r="M79" s="73"/>
      <c r="N79" s="104"/>
      <c r="O79" s="104"/>
      <c r="P79" s="104"/>
      <c r="Q79" s="104"/>
      <c r="R79" s="104"/>
      <c r="S79" s="104"/>
      <c r="T79" s="104"/>
      <c r="U79" s="104"/>
      <c r="V79" s="178"/>
    </row>
    <row r="80" spans="2:23" ht="16" customHeight="1" x14ac:dyDescent="0.8">
      <c r="K80" s="277" t="s">
        <v>13</v>
      </c>
      <c r="L80" s="278"/>
      <c r="M80" s="76"/>
      <c r="N80" s="191"/>
      <c r="O80" s="191"/>
      <c r="P80" s="191"/>
      <c r="Q80" s="191"/>
      <c r="R80" s="191"/>
      <c r="S80" s="191"/>
      <c r="T80" s="191"/>
      <c r="U80" s="191"/>
      <c r="V80" s="192"/>
    </row>
    <row r="81" spans="11:23" ht="14" customHeight="1" x14ac:dyDescent="0.8">
      <c r="K81" s="257" t="s">
        <v>128</v>
      </c>
      <c r="L81" s="259"/>
      <c r="M81" s="78"/>
      <c r="N81" s="107"/>
      <c r="O81" s="188"/>
      <c r="P81" s="188"/>
      <c r="Q81" s="188"/>
      <c r="R81" s="188"/>
      <c r="S81" s="188"/>
      <c r="T81" s="188"/>
      <c r="U81" s="188"/>
      <c r="V81" s="189">
        <f>V44</f>
        <v>350000</v>
      </c>
    </row>
    <row r="82" spans="11:23" ht="15" customHeight="1" x14ac:dyDescent="0.8">
      <c r="K82" s="257" t="s">
        <v>11</v>
      </c>
      <c r="L82" s="259"/>
      <c r="M82" s="78"/>
      <c r="N82" s="107"/>
      <c r="O82" s="188"/>
      <c r="P82" s="188"/>
      <c r="Q82" s="188"/>
      <c r="R82" s="188"/>
      <c r="S82" s="188"/>
      <c r="T82" s="188"/>
      <c r="U82" s="188"/>
      <c r="V82" s="189">
        <f>V45</f>
        <v>690000</v>
      </c>
    </row>
    <row r="83" spans="11:23" x14ac:dyDescent="0.8">
      <c r="K83" s="257" t="s">
        <v>12</v>
      </c>
      <c r="L83" s="259"/>
      <c r="M83" s="78"/>
      <c r="N83" s="107"/>
      <c r="O83" s="188"/>
      <c r="P83" s="188"/>
      <c r="Q83" s="188"/>
      <c r="R83" s="188"/>
      <c r="S83" s="188"/>
      <c r="T83" s="188"/>
      <c r="U83" s="188"/>
      <c r="V83" s="189">
        <f>V46</f>
        <v>657149.64742063964</v>
      </c>
    </row>
    <row r="84" spans="11:23" x14ac:dyDescent="0.8">
      <c r="K84" s="257" t="s">
        <v>130</v>
      </c>
      <c r="L84" s="259"/>
      <c r="M84" s="80"/>
      <c r="N84" s="107"/>
      <c r="O84" s="188"/>
      <c r="P84" s="188"/>
      <c r="Q84" s="188"/>
      <c r="R84" s="188"/>
      <c r="S84" s="188"/>
      <c r="T84" s="188"/>
      <c r="U84" s="188"/>
      <c r="V84" s="189">
        <f>V47</f>
        <v>42000</v>
      </c>
    </row>
    <row r="85" spans="11:23" ht="16.75" thickBot="1" x14ac:dyDescent="0.95">
      <c r="K85" s="257"/>
      <c r="L85" s="259"/>
      <c r="M85" s="80"/>
      <c r="N85" s="104"/>
      <c r="O85" s="104"/>
      <c r="P85" s="104"/>
      <c r="Q85" s="104"/>
      <c r="R85" s="104"/>
      <c r="S85" s="104"/>
      <c r="T85" s="104"/>
      <c r="U85" s="104"/>
      <c r="V85" s="178"/>
    </row>
    <row r="86" spans="11:23" x14ac:dyDescent="0.8">
      <c r="K86" s="264" t="s">
        <v>71</v>
      </c>
      <c r="L86" s="265"/>
      <c r="M86" s="82"/>
      <c r="N86" s="193"/>
      <c r="O86" s="193"/>
      <c r="P86" s="193"/>
      <c r="Q86" s="193"/>
      <c r="R86" s="193"/>
      <c r="S86" s="193"/>
      <c r="T86" s="193"/>
      <c r="U86" s="193"/>
      <c r="V86" s="194"/>
    </row>
    <row r="87" spans="11:23" x14ac:dyDescent="0.8">
      <c r="K87" s="231" t="s">
        <v>133</v>
      </c>
      <c r="L87" s="232"/>
      <c r="M87" s="80"/>
      <c r="N87" s="104"/>
      <c r="O87" s="188"/>
      <c r="P87" s="188"/>
      <c r="Q87" s="188"/>
      <c r="R87" s="188"/>
      <c r="S87" s="188"/>
      <c r="T87" s="188"/>
      <c r="U87" s="188"/>
      <c r="V87" s="156">
        <f>V20</f>
        <v>-53719.637350399986</v>
      </c>
    </row>
    <row r="88" spans="11:23" x14ac:dyDescent="0.8">
      <c r="K88" s="231" t="s">
        <v>134</v>
      </c>
      <c r="L88" s="232"/>
      <c r="M88" s="80"/>
      <c r="N88" s="104"/>
      <c r="O88" s="188"/>
      <c r="P88" s="188"/>
      <c r="Q88" s="188"/>
      <c r="R88" s="188"/>
      <c r="S88" s="188"/>
      <c r="T88" s="188"/>
      <c r="U88" s="188"/>
      <c r="V88" s="156">
        <f>U21</f>
        <v>-6118.8669923477173</v>
      </c>
      <c r="W88" s="15"/>
    </row>
    <row r="89" spans="11:23" x14ac:dyDescent="0.8">
      <c r="K89" s="231"/>
      <c r="L89" s="232"/>
      <c r="M89" s="80"/>
      <c r="N89" s="104"/>
      <c r="O89" s="188"/>
      <c r="P89" s="188"/>
      <c r="Q89" s="188"/>
      <c r="R89" s="188"/>
      <c r="S89" s="188"/>
      <c r="T89" s="188"/>
      <c r="U89" s="188"/>
      <c r="V89" s="156"/>
    </row>
    <row r="90" spans="11:23" x14ac:dyDescent="0.8">
      <c r="K90" s="266"/>
      <c r="L90" s="259"/>
      <c r="M90" s="80"/>
      <c r="N90" s="107"/>
      <c r="O90" s="188"/>
      <c r="P90" s="188"/>
      <c r="Q90" s="188"/>
      <c r="R90" s="188"/>
      <c r="S90" s="188"/>
      <c r="T90" s="188"/>
      <c r="U90" s="188"/>
      <c r="V90" s="298">
        <f>V53</f>
        <v>-33479.680979404802</v>
      </c>
    </row>
    <row r="91" spans="11:23" ht="16.75" thickBot="1" x14ac:dyDescent="0.95">
      <c r="K91" s="255"/>
      <c r="L91" s="256"/>
      <c r="M91" s="87"/>
      <c r="N91" s="79"/>
      <c r="O91" s="112"/>
      <c r="P91" s="112"/>
      <c r="Q91" s="112"/>
      <c r="R91" s="112"/>
      <c r="S91" s="112"/>
      <c r="T91" s="112"/>
      <c r="U91" s="112"/>
      <c r="V91" s="299">
        <f>V54</f>
        <v>-77278.568029864706</v>
      </c>
    </row>
    <row r="92" spans="11:23" x14ac:dyDescent="0.8">
      <c r="K92" s="257" t="s">
        <v>8</v>
      </c>
      <c r="L92" s="258"/>
      <c r="M92" s="195"/>
      <c r="N92" s="115">
        <f>SUM(N73:N91)</f>
        <v>-881600</v>
      </c>
      <c r="O92" s="115">
        <f>SUM(O73:O91)</f>
        <v>-937000</v>
      </c>
      <c r="P92" s="115">
        <f>SUM(P73:P90)</f>
        <v>458556.67680000002</v>
      </c>
      <c r="Q92" s="115">
        <f>SUM(Q73:Q90)</f>
        <v>466505.14265087998</v>
      </c>
      <c r="R92" s="115">
        <f>SUM(R73:R91)</f>
        <v>463132.47230484482</v>
      </c>
      <c r="S92" s="115">
        <f>SUM(S73:S91)</f>
        <v>435390.41898065101</v>
      </c>
      <c r="T92" s="115">
        <f>SUM(T73:T91)</f>
        <v>595400.29595582513</v>
      </c>
      <c r="U92" s="115">
        <f>SUM(U73:U90)</f>
        <v>593571.17958511214</v>
      </c>
      <c r="V92" s="116">
        <f>SUM(V73:V84)+V90+V91</f>
        <v>2220460.4299070938</v>
      </c>
    </row>
    <row r="93" spans="11:23" x14ac:dyDescent="0.8">
      <c r="K93" s="257" t="s">
        <v>14</v>
      </c>
      <c r="L93" s="259"/>
      <c r="M93" s="196"/>
      <c r="N93" s="95">
        <v>1</v>
      </c>
      <c r="O93" s="95">
        <f>(1+T15)^(-O61)</f>
        <v>0.93896713615023475</v>
      </c>
      <c r="P93" s="95">
        <f>(1+T15)^(-P24)</f>
        <v>0.88165928277017358</v>
      </c>
      <c r="Q93" s="95">
        <f>(1+T15)^(-Q24)</f>
        <v>0.82784909180297994</v>
      </c>
      <c r="R93" s="95">
        <f>(1+T15)^(-R24)</f>
        <v>0.77732309089481699</v>
      </c>
      <c r="S93" s="95">
        <f>(1+T15)^(-S24)</f>
        <v>0.72988083652095492</v>
      </c>
      <c r="T93" s="95">
        <f>(1+T15)^(-T24)</f>
        <v>0.68533411879901873</v>
      </c>
      <c r="U93" s="95">
        <f>(1+T15)^(-U24)</f>
        <v>0.64350621483475945</v>
      </c>
      <c r="V93" s="96">
        <f>(1+T15)^(-V24)</f>
        <v>0.60423118763827188</v>
      </c>
    </row>
    <row r="94" spans="11:23" ht="16.75" thickBot="1" x14ac:dyDescent="0.95">
      <c r="K94" s="260" t="s">
        <v>15</v>
      </c>
      <c r="L94" s="261"/>
      <c r="M94" s="87"/>
      <c r="N94" s="98">
        <f>N92*N93</f>
        <v>-881600</v>
      </c>
      <c r="O94" s="98">
        <f>O92*O93</f>
        <v>-879812.20657276991</v>
      </c>
      <c r="P94" s="98">
        <f>P92*P93</f>
        <v>404290.75077696232</v>
      </c>
      <c r="Q94" s="98">
        <f>Q92*Q93</f>
        <v>386195.85866495059</v>
      </c>
      <c r="R94" s="98">
        <f>R92*R93</f>
        <v>360003.56486576021</v>
      </c>
      <c r="S94" s="98">
        <f>S92*S93</f>
        <v>317783.12321880664</v>
      </c>
      <c r="T94" s="98">
        <f>T92*T93</f>
        <v>408048.13716156036</v>
      </c>
      <c r="U94" s="98">
        <f>U92*U93</f>
        <v>381966.74300981878</v>
      </c>
      <c r="V94" s="18">
        <f>V92*V93</f>
        <v>1341671.4426665511</v>
      </c>
    </row>
    <row r="95" spans="11:23" ht="16.75" thickBot="1" x14ac:dyDescent="0.95">
      <c r="K95" s="99" t="s">
        <v>72</v>
      </c>
      <c r="L95" s="100">
        <f>SUM(N94:V94)</f>
        <v>1838547.4137916402</v>
      </c>
      <c r="M95" s="57"/>
      <c r="N95" s="57"/>
      <c r="O95" s="57"/>
      <c r="P95" s="57"/>
      <c r="Q95" s="57"/>
      <c r="R95" s="57"/>
      <c r="S95" s="57"/>
      <c r="T95" s="57"/>
      <c r="U95" s="57"/>
      <c r="V95" s="57"/>
    </row>
    <row r="96" spans="11:23" ht="16.75" thickBot="1" x14ac:dyDescent="0.95">
      <c r="K96" s="57"/>
      <c r="L96" s="57"/>
      <c r="M96" s="57"/>
      <c r="N96" s="57"/>
      <c r="O96" s="57"/>
      <c r="P96" s="57"/>
      <c r="Q96" s="57"/>
      <c r="R96" s="57"/>
      <c r="S96" s="57"/>
      <c r="T96" s="57"/>
      <c r="U96" s="57"/>
      <c r="V96" s="57"/>
    </row>
    <row r="97" spans="11:22" ht="16.75" thickBot="1" x14ac:dyDescent="0.95">
      <c r="K97" s="262" t="s">
        <v>92</v>
      </c>
      <c r="L97" s="263"/>
      <c r="M97" s="117">
        <f>L95/L58-1</f>
        <v>0.31831491942723633</v>
      </c>
      <c r="N97" s="57"/>
      <c r="O97" s="57"/>
      <c r="P97" s="75"/>
      <c r="Q97" s="75"/>
      <c r="R97" s="75"/>
      <c r="S97" s="75"/>
      <c r="T97" s="75"/>
      <c r="U97" s="75"/>
      <c r="V97" s="75"/>
    </row>
    <row r="98" spans="11:22" ht="15.5" customHeight="1" x14ac:dyDescent="0.8">
      <c r="K98" s="246" t="s">
        <v>140</v>
      </c>
      <c r="L98" s="247"/>
      <c r="M98" s="247"/>
      <c r="N98" s="247"/>
      <c r="O98" s="247"/>
      <c r="P98" s="247"/>
      <c r="Q98" s="247"/>
      <c r="R98" s="247"/>
      <c r="S98" s="247"/>
      <c r="T98" s="247"/>
      <c r="U98" s="247"/>
      <c r="V98" s="248"/>
    </row>
    <row r="99" spans="11:22" x14ac:dyDescent="0.8">
      <c r="K99" s="249"/>
      <c r="L99" s="250"/>
      <c r="M99" s="250"/>
      <c r="N99" s="250"/>
      <c r="O99" s="250"/>
      <c r="P99" s="250"/>
      <c r="Q99" s="250"/>
      <c r="R99" s="250"/>
      <c r="S99" s="250"/>
      <c r="T99" s="250"/>
      <c r="U99" s="250"/>
      <c r="V99" s="251"/>
    </row>
    <row r="100" spans="11:22" ht="16.75" thickBot="1" x14ac:dyDescent="0.95">
      <c r="K100" s="252"/>
      <c r="L100" s="253"/>
      <c r="M100" s="253"/>
      <c r="N100" s="253"/>
      <c r="O100" s="253"/>
      <c r="P100" s="253"/>
      <c r="Q100" s="253"/>
      <c r="R100" s="253"/>
      <c r="S100" s="253"/>
      <c r="T100" s="253"/>
      <c r="U100" s="253"/>
      <c r="V100" s="254"/>
    </row>
    <row r="151" spans="2:8" x14ac:dyDescent="0.8">
      <c r="B151" s="1"/>
    </row>
    <row r="153" spans="2:8" x14ac:dyDescent="0.8">
      <c r="B153" s="32"/>
    </row>
    <row r="154" spans="2:8" x14ac:dyDescent="0.8">
      <c r="B154" s="33"/>
      <c r="C154" s="33"/>
      <c r="D154" s="33"/>
      <c r="E154" s="33"/>
      <c r="F154" s="33"/>
      <c r="G154" s="33"/>
      <c r="H154" s="33"/>
    </row>
    <row r="155" spans="2:8" x14ac:dyDescent="0.8">
      <c r="B155" s="33"/>
      <c r="C155" s="33"/>
      <c r="D155" s="33"/>
      <c r="E155" s="33"/>
      <c r="F155" s="33"/>
      <c r="G155" s="33"/>
      <c r="H155" s="33"/>
    </row>
    <row r="157" spans="2:8" x14ac:dyDescent="0.8">
      <c r="B157" s="34"/>
      <c r="C157" s="34"/>
      <c r="D157" s="34"/>
      <c r="E157" s="34"/>
      <c r="F157" s="34"/>
      <c r="G157" s="34"/>
      <c r="H157" s="34"/>
    </row>
    <row r="158" spans="2:8" x14ac:dyDescent="0.8">
      <c r="B158" s="34"/>
      <c r="C158" s="34"/>
      <c r="D158" s="34"/>
      <c r="E158" s="34"/>
      <c r="F158" s="34"/>
      <c r="G158" s="34"/>
      <c r="H158" s="34"/>
    </row>
    <row r="159" spans="2:8" x14ac:dyDescent="0.8">
      <c r="B159" s="34"/>
      <c r="C159" s="34"/>
      <c r="D159" s="34"/>
      <c r="E159" s="34"/>
      <c r="F159" s="34"/>
      <c r="G159" s="34"/>
      <c r="H159" s="34"/>
    </row>
    <row r="160" spans="2:8" x14ac:dyDescent="0.8">
      <c r="B160" s="34"/>
      <c r="C160" s="34"/>
      <c r="D160" s="34"/>
      <c r="E160" s="34"/>
      <c r="F160" s="34"/>
      <c r="G160" s="34"/>
      <c r="H160" s="34"/>
    </row>
    <row r="161" spans="2:8" x14ac:dyDescent="0.8">
      <c r="B161" s="34"/>
      <c r="C161" s="34"/>
      <c r="D161" s="34"/>
      <c r="E161" s="34"/>
      <c r="F161" s="34"/>
      <c r="G161" s="34"/>
      <c r="H161" s="34"/>
    </row>
    <row r="162" spans="2:8" x14ac:dyDescent="0.8">
      <c r="B162" s="34"/>
      <c r="C162" s="34"/>
      <c r="D162" s="34"/>
      <c r="E162" s="34"/>
      <c r="F162" s="34"/>
      <c r="G162" s="34"/>
      <c r="H162" s="34"/>
    </row>
  </sheetData>
  <mergeCells count="97">
    <mergeCell ref="B13:H18"/>
    <mergeCell ref="B19:H21"/>
    <mergeCell ref="B22:H23"/>
    <mergeCell ref="B24:H25"/>
    <mergeCell ref="B26:H30"/>
    <mergeCell ref="E2:F2"/>
    <mergeCell ref="E3:F3"/>
    <mergeCell ref="B4:F4"/>
    <mergeCell ref="G4:H4"/>
    <mergeCell ref="B5:H12"/>
    <mergeCell ref="K80:L80"/>
    <mergeCell ref="E1:F1"/>
    <mergeCell ref="K32:L32"/>
    <mergeCell ref="K36:L36"/>
    <mergeCell ref="K37:L37"/>
    <mergeCell ref="K38:L38"/>
    <mergeCell ref="K39:L39"/>
    <mergeCell ref="K35:L35"/>
    <mergeCell ref="K40:L40"/>
    <mergeCell ref="K54:L54"/>
    <mergeCell ref="K42:L42"/>
    <mergeCell ref="K49:L49"/>
    <mergeCell ref="K43:L43"/>
    <mergeCell ref="K44:L44"/>
    <mergeCell ref="K45:L45"/>
    <mergeCell ref="K47:L47"/>
    <mergeCell ref="K75:L75"/>
    <mergeCell ref="K76:L76"/>
    <mergeCell ref="K77:L77"/>
    <mergeCell ref="K78:L78"/>
    <mergeCell ref="K79:L79"/>
    <mergeCell ref="K70:L70"/>
    <mergeCell ref="K71:L71"/>
    <mergeCell ref="K72:L72"/>
    <mergeCell ref="K73:L73"/>
    <mergeCell ref="K74:L74"/>
    <mergeCell ref="K67:L67"/>
    <mergeCell ref="K68:L68"/>
    <mergeCell ref="K69:L69"/>
    <mergeCell ref="K48:L48"/>
    <mergeCell ref="K41:L41"/>
    <mergeCell ref="K56:L56"/>
    <mergeCell ref="K57:L57"/>
    <mergeCell ref="K61:L61"/>
    <mergeCell ref="K62:L62"/>
    <mergeCell ref="K63:L63"/>
    <mergeCell ref="S12:T12"/>
    <mergeCell ref="K46:L46"/>
    <mergeCell ref="K52:L52"/>
    <mergeCell ref="K53:L53"/>
    <mergeCell ref="K55:L55"/>
    <mergeCell ref="K30:L30"/>
    <mergeCell ref="K31:L31"/>
    <mergeCell ref="K33:L33"/>
    <mergeCell ref="K25:L25"/>
    <mergeCell ref="K26:L26"/>
    <mergeCell ref="K27:L27"/>
    <mergeCell ref="K81:L81"/>
    <mergeCell ref="K82:L82"/>
    <mergeCell ref="K83:L83"/>
    <mergeCell ref="K84:L84"/>
    <mergeCell ref="K85:L85"/>
    <mergeCell ref="K86:L86"/>
    <mergeCell ref="K87:L87"/>
    <mergeCell ref="K88:L88"/>
    <mergeCell ref="K89:L89"/>
    <mergeCell ref="K90:L90"/>
    <mergeCell ref="K98:V100"/>
    <mergeCell ref="K91:L91"/>
    <mergeCell ref="K92:L92"/>
    <mergeCell ref="K93:L93"/>
    <mergeCell ref="K94:L94"/>
    <mergeCell ref="K97:L97"/>
    <mergeCell ref="B64:H64"/>
    <mergeCell ref="B65:H65"/>
    <mergeCell ref="B66:H67"/>
    <mergeCell ref="B31:H36"/>
    <mergeCell ref="D38:E39"/>
    <mergeCell ref="D40:D42"/>
    <mergeCell ref="E40:E42"/>
    <mergeCell ref="B49:H52"/>
    <mergeCell ref="B78:H78"/>
    <mergeCell ref="X2:AH3"/>
    <mergeCell ref="K28:L28"/>
    <mergeCell ref="K29:L29"/>
    <mergeCell ref="K50:L50"/>
    <mergeCell ref="K51:L51"/>
    <mergeCell ref="K64:L64"/>
    <mergeCell ref="K65:L65"/>
    <mergeCell ref="K66:L66"/>
    <mergeCell ref="B68:H68"/>
    <mergeCell ref="B69:H69"/>
    <mergeCell ref="B71:H71"/>
    <mergeCell ref="B72:H75"/>
    <mergeCell ref="B76:H77"/>
    <mergeCell ref="B53:H57"/>
    <mergeCell ref="B60:H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7F26-0326-41D4-89BB-7253DEF2A5B7}">
  <dimension ref="B1:T8"/>
  <sheetViews>
    <sheetView topLeftCell="M1" workbookViewId="0">
      <selection activeCell="S13" sqref="S13"/>
    </sheetView>
  </sheetViews>
  <sheetFormatPr defaultColWidth="10.6640625" defaultRowHeight="14.25" x14ac:dyDescent="0.65"/>
  <cols>
    <col min="6" max="7" width="13" bestFit="1" customWidth="1"/>
    <col min="8" max="10" width="10.75" bestFit="1" customWidth="1"/>
    <col min="11" max="11" width="13" bestFit="1" customWidth="1"/>
    <col min="12" max="12" width="13.58203125" bestFit="1" customWidth="1"/>
    <col min="13" max="13" width="14.5" bestFit="1" customWidth="1"/>
    <col min="14" max="14" width="13" bestFit="1" customWidth="1"/>
    <col min="16" max="16" width="12.58203125" bestFit="1" customWidth="1"/>
    <col min="17" max="17" width="15.08203125" bestFit="1" customWidth="1"/>
    <col min="18" max="19" width="15.08203125" customWidth="1"/>
  </cols>
  <sheetData>
    <row r="1" spans="2:20" s="42" customFormat="1" ht="16" x14ac:dyDescent="0.8">
      <c r="C1" s="43" t="s">
        <v>4</v>
      </c>
      <c r="D1" s="43" t="s">
        <v>4</v>
      </c>
      <c r="E1" s="43" t="s">
        <v>4</v>
      </c>
      <c r="F1" s="32" t="s">
        <v>53</v>
      </c>
      <c r="G1" s="32" t="s">
        <v>50</v>
      </c>
      <c r="H1" s="32" t="s">
        <v>51</v>
      </c>
      <c r="I1" s="32" t="s">
        <v>52</v>
      </c>
      <c r="J1" s="32" t="s">
        <v>54</v>
      </c>
      <c r="K1" s="32" t="s">
        <v>55</v>
      </c>
      <c r="L1" s="32" t="s">
        <v>82</v>
      </c>
      <c r="M1" s="32" t="s">
        <v>83</v>
      </c>
      <c r="N1" s="32" t="s">
        <v>84</v>
      </c>
      <c r="O1" s="32" t="s">
        <v>86</v>
      </c>
      <c r="P1" s="32" t="s">
        <v>85</v>
      </c>
      <c r="Q1" s="32" t="s">
        <v>74</v>
      </c>
      <c r="R1" s="32" t="s">
        <v>16</v>
      </c>
      <c r="S1" s="32" t="s">
        <v>88</v>
      </c>
    </row>
    <row r="2" spans="2:20" s="42" customFormat="1" x14ac:dyDescent="0.65">
      <c r="B2" s="43" t="s">
        <v>42</v>
      </c>
      <c r="C2" s="44">
        <f>Énoncé!H1</f>
        <v>1947025</v>
      </c>
      <c r="D2" s="44">
        <f>Énoncé!H2</f>
        <v>1949477</v>
      </c>
      <c r="E2" s="44">
        <f>Énoncé!H3</f>
        <v>2050874</v>
      </c>
      <c r="F2" s="49">
        <f>Énoncé!L19</f>
        <v>476000</v>
      </c>
      <c r="G2" s="49">
        <f>Énoncé!M19</f>
        <v>350000</v>
      </c>
      <c r="H2" s="49">
        <f>Énoncé!L20</f>
        <v>806840</v>
      </c>
      <c r="I2" s="49">
        <f>Énoncé!M20</f>
        <v>690000</v>
      </c>
      <c r="J2" s="49">
        <f>Énoncé!L21</f>
        <v>518760</v>
      </c>
      <c r="K2" s="46">
        <f>Énoncé!M21</f>
        <v>657149.64742063964</v>
      </c>
      <c r="L2" s="198">
        <f>Énoncé!V9</f>
        <v>46.4</v>
      </c>
      <c r="M2" s="49">
        <f>Énoncé!U20</f>
        <v>-16062.025854912757</v>
      </c>
      <c r="N2" s="46">
        <f>Énoncé!U21</f>
        <v>-6118.8669923477173</v>
      </c>
      <c r="O2" s="46">
        <f>Énoncé!V20</f>
        <v>-53719.637350399986</v>
      </c>
      <c r="P2" s="46">
        <f>Énoncé!V21</f>
        <v>-40543.122528603759</v>
      </c>
      <c r="Q2" s="49">
        <f>SUM(Énoncé!V49:V54)-Feuil1!O2-Feuil1!N2</f>
        <v>-110758.24900926951</v>
      </c>
      <c r="R2" s="199">
        <f>Énoncé!L58</f>
        <v>1394619.2876209179</v>
      </c>
      <c r="S2" s="49">
        <f>Énoncé!L95</f>
        <v>1838547.4137916402</v>
      </c>
      <c r="T2" s="45"/>
    </row>
    <row r="8" spans="2:20" x14ac:dyDescent="0.65">
      <c r="R8"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Directives</vt:lpstr>
      <vt:lpstr>Énoncé</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Huard</dc:creator>
  <cp:lastModifiedBy>Cassy Charles</cp:lastModifiedBy>
  <dcterms:created xsi:type="dcterms:W3CDTF">2020-03-12T19:48:50Z</dcterms:created>
  <dcterms:modified xsi:type="dcterms:W3CDTF">2021-06-18T14:13:10Z</dcterms:modified>
</cp:coreProperties>
</file>