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ENS05.labos.polymtl.ca\profiles\moisl\profiles\downloads\"/>
    </mc:Choice>
  </mc:AlternateContent>
  <bookViews>
    <workbookView xWindow="0" yWindow="0" windowWidth="28800" windowHeight="12330" tabRatio="954"/>
  </bookViews>
  <sheets>
    <sheet name="Modèle" sheetId="97" r:id="rId1"/>
    <sheet name="Calcul perso" sheetId="98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7" i="97" l="1"/>
  <c r="H114" i="97"/>
  <c r="G114" i="97"/>
  <c r="F114" i="97"/>
  <c r="E114" i="97"/>
  <c r="D114" i="97"/>
  <c r="C114" i="97"/>
  <c r="H113" i="97"/>
  <c r="H112" i="97"/>
  <c r="H110" i="97"/>
  <c r="H109" i="97"/>
  <c r="H108" i="97"/>
  <c r="G110" i="97"/>
  <c r="F110" i="97"/>
  <c r="E110" i="97"/>
  <c r="D110" i="97"/>
  <c r="C110" i="97"/>
  <c r="C89" i="97"/>
  <c r="C90" i="97"/>
  <c r="B98" i="97"/>
  <c r="F88" i="97"/>
  <c r="D88" i="97"/>
  <c r="E88" i="97"/>
  <c r="G88" i="97"/>
  <c r="C88" i="97"/>
  <c r="G87" i="97"/>
  <c r="F87" i="97"/>
  <c r="E87" i="97"/>
  <c r="D87" i="97"/>
  <c r="C87" i="97"/>
  <c r="I52" i="97"/>
  <c r="H52" i="97"/>
  <c r="H53" i="97" s="1"/>
  <c r="G52" i="97"/>
  <c r="F52" i="97"/>
  <c r="E52" i="97"/>
  <c r="D52" i="97"/>
  <c r="G47" i="97"/>
  <c r="I46" i="97"/>
  <c r="I47" i="97" s="1"/>
  <c r="H46" i="97"/>
  <c r="H47" i="97" s="1"/>
  <c r="G46" i="97"/>
  <c r="F46" i="97"/>
  <c r="F47" i="97" s="1"/>
  <c r="E46" i="97"/>
  <c r="E47" i="97" s="1"/>
  <c r="D46" i="97"/>
  <c r="I51" i="97"/>
  <c r="I53" i="97" s="1"/>
  <c r="H51" i="97"/>
  <c r="G51" i="97"/>
  <c r="G53" i="97" s="1"/>
  <c r="F51" i="97"/>
  <c r="F53" i="97" s="1"/>
  <c r="E51" i="97"/>
  <c r="E53" i="97" s="1"/>
  <c r="D51" i="97"/>
  <c r="D45" i="97"/>
  <c r="E45" i="97"/>
  <c r="I45" i="97"/>
  <c r="H45" i="97"/>
  <c r="G45" i="97"/>
  <c r="F45" i="97"/>
  <c r="J36" i="97"/>
  <c r="I36" i="97"/>
  <c r="H36" i="97"/>
  <c r="G36" i="97"/>
  <c r="F36" i="97"/>
  <c r="E36" i="97"/>
  <c r="D20" i="98"/>
  <c r="D26" i="98" s="1"/>
  <c r="D18" i="98"/>
  <c r="J33" i="97"/>
  <c r="J31" i="97"/>
  <c r="E25" i="97"/>
  <c r="E24" i="97"/>
  <c r="E35" i="97" s="1"/>
  <c r="E37" i="97" s="1"/>
  <c r="F13" i="97"/>
  <c r="F16" i="97"/>
  <c r="F17" i="97" s="1"/>
  <c r="F18" i="97" s="1"/>
  <c r="G11" i="97"/>
  <c r="G16" i="97" s="1"/>
  <c r="D53" i="97" l="1"/>
  <c r="D54" i="97" s="1"/>
  <c r="D47" i="97"/>
  <c r="D48" i="97" s="1"/>
  <c r="H63" i="97" s="1"/>
  <c r="G17" i="97"/>
  <c r="G18" i="97" s="1"/>
  <c r="J30" i="97"/>
  <c r="G13" i="97"/>
  <c r="F21" i="97"/>
  <c r="F22" i="97" s="1"/>
  <c r="F35" i="97" s="1"/>
  <c r="F37" i="97" s="1"/>
  <c r="H11" i="97"/>
  <c r="F69" i="97"/>
  <c r="E69" i="97"/>
  <c r="H16" i="97" l="1"/>
  <c r="I11" i="97"/>
  <c r="H13" i="97"/>
  <c r="G21" i="97"/>
  <c r="G22" i="97" s="1"/>
  <c r="G35" i="97" s="1"/>
  <c r="G37" i="97" s="1"/>
  <c r="G74" i="97"/>
  <c r="G75" i="97"/>
  <c r="D74" i="97"/>
  <c r="D75" i="97"/>
  <c r="B74" i="97"/>
  <c r="B75" i="97"/>
  <c r="D73" i="97"/>
  <c r="B73" i="97"/>
  <c r="G73" i="97"/>
  <c r="H17" i="97" l="1"/>
  <c r="H18" i="97" s="1"/>
  <c r="I13" i="97"/>
  <c r="I16" i="97"/>
  <c r="J11" i="97"/>
  <c r="I17" i="97" l="1"/>
  <c r="I18" i="97" s="1"/>
  <c r="I21" i="97"/>
  <c r="I22" i="97"/>
  <c r="I35" i="97" s="1"/>
  <c r="I37" i="97" s="1"/>
  <c r="J16" i="97"/>
  <c r="J13" i="97"/>
  <c r="H21" i="97"/>
  <c r="H22" i="97" s="1"/>
  <c r="H35" i="97" s="1"/>
  <c r="H37" i="97" s="1"/>
  <c r="J17" i="97" l="1"/>
  <c r="J18" i="97" s="1"/>
  <c r="J21" i="97" s="1"/>
  <c r="J22" i="97" s="1"/>
  <c r="J35" i="97" s="1"/>
  <c r="J37" i="97" s="1"/>
  <c r="C38" i="97" s="1"/>
</calcChain>
</file>

<file path=xl/sharedStrings.xml><?xml version="1.0" encoding="utf-8"?>
<sst xmlns="http://schemas.openxmlformats.org/spreadsheetml/2006/main" count="98" uniqueCount="72">
  <si>
    <t>Flux monétaires</t>
  </si>
  <si>
    <t>Facteur d'actualisation</t>
  </si>
  <si>
    <t>Flux monétaires actualisés</t>
  </si>
  <si>
    <t>Valeur actuelle nette</t>
  </si>
  <si>
    <t xml:space="preserve">Année </t>
  </si>
  <si>
    <t>Flux monétaires nets d'exploitation</t>
  </si>
  <si>
    <t>Coûts</t>
  </si>
  <si>
    <t>Coût totaux</t>
  </si>
  <si>
    <t>Produits des ventes</t>
  </si>
  <si>
    <t>DATA</t>
  </si>
  <si>
    <t>Ventes en unité</t>
  </si>
  <si>
    <t>Matricule</t>
  </si>
  <si>
    <t>Gr.</t>
  </si>
  <si>
    <t>NOM :</t>
  </si>
  <si>
    <t>Prén. :</t>
  </si>
  <si>
    <t>TRI par interpolation</t>
  </si>
  <si>
    <t>TRI (%)</t>
  </si>
  <si>
    <t>Prix de vente unitaire ($/u)</t>
  </si>
  <si>
    <t>Méthodes d'analyse des projets AVANT impôt</t>
  </si>
  <si>
    <t>Valeurs de récupération</t>
  </si>
  <si>
    <t>Q1.1)</t>
  </si>
  <si>
    <t>Q1.2)</t>
  </si>
  <si>
    <t>Q2)</t>
  </si>
  <si>
    <t>TRIM</t>
  </si>
  <si>
    <t>Taux de réinvestissement</t>
  </si>
  <si>
    <t>Taux d'emprunt</t>
  </si>
  <si>
    <t>Année</t>
  </si>
  <si>
    <t>TRIM (%)</t>
  </si>
  <si>
    <t>Q3)</t>
  </si>
  <si>
    <t>TRI</t>
  </si>
  <si>
    <t>TRAM</t>
  </si>
  <si>
    <t>TRI(%)</t>
  </si>
  <si>
    <t>Recommandation</t>
  </si>
  <si>
    <t>Moulay Vincent HUARD</t>
  </si>
  <si>
    <t>Comparaison de projets à l'aide du TRI</t>
  </si>
  <si>
    <t>VAN avant impôt</t>
  </si>
  <si>
    <t>Investissements</t>
  </si>
  <si>
    <t>Calcul, questionnement et notes</t>
  </si>
  <si>
    <t>Lab 5</t>
  </si>
  <si>
    <t>Islam</t>
  </si>
  <si>
    <t>Mohammed</t>
  </si>
  <si>
    <t>Amine</t>
  </si>
  <si>
    <t>El Maroizy</t>
  </si>
  <si>
    <t>Plan d'affaires</t>
  </si>
  <si>
    <t>Matières premières</t>
  </si>
  <si>
    <t>Main-d'œuvre directe</t>
  </si>
  <si>
    <t>Frais généraux</t>
  </si>
  <si>
    <t>Publicité</t>
  </si>
  <si>
    <t>Autres frais</t>
  </si>
  <si>
    <t>Terrain</t>
  </si>
  <si>
    <t>Immeuble</t>
  </si>
  <si>
    <t>Équipements</t>
  </si>
  <si>
    <t>Inventaire</t>
  </si>
  <si>
    <t>Equipements</t>
  </si>
  <si>
    <t>d</t>
  </si>
  <si>
    <t xml:space="preserve">D1 </t>
  </si>
  <si>
    <t>i1</t>
  </si>
  <si>
    <t>VAN(i1)</t>
  </si>
  <si>
    <t>i2</t>
  </si>
  <si>
    <t>Recettes</t>
  </si>
  <si>
    <t>Débours</t>
  </si>
  <si>
    <t>FMN</t>
  </si>
  <si>
    <t>Facteurs</t>
  </si>
  <si>
    <t>MP total</t>
  </si>
  <si>
    <t>MF total</t>
  </si>
  <si>
    <t>Projet 1</t>
  </si>
  <si>
    <t>Projet 2</t>
  </si>
  <si>
    <t>Projet 3</t>
  </si>
  <si>
    <t>TRI (2-1)</t>
  </si>
  <si>
    <t>on abondonne le projet 2</t>
  </si>
  <si>
    <t>TRI (3-1)</t>
  </si>
  <si>
    <t>On recommande le projet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</si>
</sst>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#,##0\ &quot;$&quot;_);[Red]\(#,##0\ &quot;$&quot;\)"/>
    <numFmt numFmtId="44" formatCode="_ * #,##0.00_)\ &quot;$&quot;_ ;_ * \(#,##0.00\)\ &quot;$&quot;_ ;_ * &quot;-&quot;??_)\ &quot;$&quot;_ ;_ @_ "/>
    <numFmt numFmtId="164" formatCode="#,##0\ &quot;$&quot;_-;[Red]#,##0\ &quot;$&quot;\-"/>
    <numFmt numFmtId="165" formatCode="_-* #,##0.00\ &quot;$&quot;_-;_-* #,##0.00\ &quot;$&quot;\-;_-* &quot;-&quot;??\ &quot;$&quot;_-;_-@_-"/>
    <numFmt numFmtId="166" formatCode="#,##0\ &quot;$&quot;_-"/>
    <numFmt numFmtId="167" formatCode="0.0000"/>
    <numFmt numFmtId="168" formatCode="_ * #,##0_)\ &quot;$&quot;_ ;_ * \(#,##0\)\ &quot;$&quot;_ ;_ * &quot;-&quot;??_)\ &quot;$&quot;_ ;_ @_ "/>
    <numFmt numFmtId="169" formatCode="#,##0&quot; $/u&quot;"/>
    <numFmt numFmtId="170" formatCode="h&quot; h &quot;mm;@"/>
    <numFmt numFmtId="171" formatCode="[$-F800]dddd\,\ mmmm\ dd\,\ yyyy"/>
    <numFmt numFmtId="172" formatCode="#,##0&quot; u&quot;"/>
    <numFmt numFmtId="178" formatCode="0.000%"/>
    <numFmt numFmtId="182" formatCode="_ * #,##0_)\ [$$-C0C]_ ;_ * \(#,##0\)\ [$$-C0C]_ ;_ * &quot;-&quot;??_)\ [$$-C0C]_ ;_ @_ "/>
    <numFmt numFmtId="184" formatCode="0.000000%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8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6">
    <xf numFmtId="0" fontId="0" fillId="0" borderId="0" xfId="0"/>
    <xf numFmtId="0" fontId="3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8" fontId="0" fillId="0" borderId="0" xfId="0" applyNumberFormat="1" applyFont="1" applyBorder="1"/>
    <xf numFmtId="0" fontId="0" fillId="0" borderId="5" xfId="0" applyFont="1" applyBorder="1"/>
    <xf numFmtId="0" fontId="6" fillId="0" borderId="0" xfId="0" applyFont="1" applyBorder="1"/>
    <xf numFmtId="9" fontId="0" fillId="0" borderId="0" xfId="0" applyNumberFormat="1" applyFont="1" applyBorder="1"/>
    <xf numFmtId="10" fontId="0" fillId="0" borderId="0" xfId="0" applyNumberFormat="1" applyFont="1" applyBorder="1"/>
    <xf numFmtId="0" fontId="0" fillId="0" borderId="0" xfId="0" applyNumberFormat="1" applyFont="1" applyAlignment="1">
      <alignment horizontal="center"/>
    </xf>
    <xf numFmtId="0" fontId="3" fillId="0" borderId="9" xfId="0" applyFont="1" applyBorder="1"/>
    <xf numFmtId="0" fontId="0" fillId="3" borderId="10" xfId="0" applyFont="1" applyFill="1" applyBorder="1" applyAlignment="1">
      <alignment horizontal="center"/>
    </xf>
    <xf numFmtId="164" fontId="0" fillId="3" borderId="12" xfId="0" applyNumberFormat="1" applyFont="1" applyFill="1" applyBorder="1" applyAlignment="1">
      <alignment horizontal="center"/>
    </xf>
    <xf numFmtId="164" fontId="0" fillId="3" borderId="11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166" fontId="0" fillId="3" borderId="10" xfId="0" applyNumberFormat="1" applyFont="1" applyFill="1" applyBorder="1" applyAlignment="1">
      <alignment horizontal="center"/>
    </xf>
    <xf numFmtId="10" fontId="0" fillId="3" borderId="12" xfId="0" applyNumberFormat="1" applyFont="1" applyFill="1" applyBorder="1" applyAlignment="1">
      <alignment horizontal="center"/>
    </xf>
    <xf numFmtId="44" fontId="3" fillId="0" borderId="0" xfId="0" applyNumberFormat="1" applyFont="1" applyFill="1" applyBorder="1" applyAlignment="1">
      <alignment horizontal="center" vertical="center"/>
    </xf>
    <xf numFmtId="49" fontId="7" fillId="0" borderId="6" xfId="0" applyNumberFormat="1" applyFont="1" applyBorder="1" applyAlignment="1"/>
    <xf numFmtId="49" fontId="8" fillId="0" borderId="6" xfId="0" applyNumberFormat="1" applyFont="1" applyBorder="1"/>
    <xf numFmtId="49" fontId="10" fillId="0" borderId="9" xfId="0" applyNumberFormat="1" applyFont="1" applyBorder="1"/>
    <xf numFmtId="0" fontId="9" fillId="0" borderId="9" xfId="0" applyFont="1" applyBorder="1"/>
    <xf numFmtId="0" fontId="7" fillId="0" borderId="9" xfId="0" applyFont="1" applyBorder="1" applyAlignment="1">
      <alignment horizontal="right"/>
    </xf>
    <xf numFmtId="49" fontId="10" fillId="0" borderId="0" xfId="0" applyNumberFormat="1" applyFont="1" applyBorder="1" applyAlignment="1"/>
    <xf numFmtId="0" fontId="9" fillId="0" borderId="0" xfId="0" applyFont="1" applyBorder="1"/>
    <xf numFmtId="49" fontId="9" fillId="0" borderId="0" xfId="0" applyNumberFormat="1" applyFont="1" applyBorder="1"/>
    <xf numFmtId="49" fontId="9" fillId="0" borderId="0" xfId="0" applyNumberFormat="1" applyFont="1" applyBorder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9" fillId="0" borderId="9" xfId="0" applyNumberFormat="1" applyFont="1" applyBorder="1" applyAlignment="1">
      <alignment horizontal="left"/>
    </xf>
    <xf numFmtId="0" fontId="7" fillId="0" borderId="0" xfId="0" applyFont="1"/>
    <xf numFmtId="0" fontId="10" fillId="0" borderId="19" xfId="0" applyFont="1" applyBorder="1"/>
    <xf numFmtId="0" fontId="9" fillId="0" borderId="0" xfId="0" applyFont="1" applyBorder="1" applyAlignment="1">
      <alignment horizontal="center"/>
    </xf>
    <xf numFmtId="0" fontId="9" fillId="0" borderId="18" xfId="0" applyFont="1" applyBorder="1"/>
    <xf numFmtId="0" fontId="9" fillId="0" borderId="19" xfId="0" applyFont="1" applyBorder="1"/>
    <xf numFmtId="0" fontId="7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0" xfId="0" applyFont="1" applyBorder="1"/>
    <xf numFmtId="0" fontId="9" fillId="0" borderId="16" xfId="0" applyFont="1" applyBorder="1"/>
    <xf numFmtId="0" fontId="10" fillId="0" borderId="23" xfId="0" applyFont="1" applyFill="1" applyBorder="1" applyAlignment="1">
      <alignment horizontal="center"/>
    </xf>
    <xf numFmtId="0" fontId="7" fillId="0" borderId="19" xfId="0" applyFont="1" applyBorder="1"/>
    <xf numFmtId="9" fontId="7" fillId="0" borderId="0" xfId="2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49" fontId="12" fillId="0" borderId="0" xfId="0" applyNumberFormat="1" applyFont="1" applyBorder="1" applyAlignment="1">
      <alignment horizontal="right"/>
    </xf>
    <xf numFmtId="168" fontId="0" fillId="0" borderId="18" xfId="1" applyNumberFormat="1" applyFont="1" applyFill="1" applyBorder="1" applyAlignment="1">
      <alignment horizontal="right"/>
    </xf>
    <xf numFmtId="9" fontId="0" fillId="3" borderId="32" xfId="0" applyNumberFormat="1" applyFont="1" applyFill="1" applyBorder="1" applyAlignment="1">
      <alignment horizontal="center"/>
    </xf>
    <xf numFmtId="168" fontId="3" fillId="0" borderId="20" xfId="0" applyNumberFormat="1" applyFont="1" applyFill="1" applyBorder="1" applyAlignment="1">
      <alignment horizontal="center"/>
    </xf>
    <xf numFmtId="168" fontId="3" fillId="0" borderId="20" xfId="0" applyNumberFormat="1" applyFont="1" applyFill="1" applyBorder="1"/>
    <xf numFmtId="168" fontId="3" fillId="0" borderId="16" xfId="0" applyNumberFormat="1" applyFont="1" applyFill="1" applyBorder="1"/>
    <xf numFmtId="0" fontId="3" fillId="3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8" fillId="0" borderId="6" xfId="0" applyNumberFormat="1" applyFont="1" applyBorder="1"/>
    <xf numFmtId="9" fontId="0" fillId="3" borderId="10" xfId="2" applyFont="1" applyFill="1" applyBorder="1" applyAlignment="1">
      <alignment horizontal="center"/>
    </xf>
    <xf numFmtId="9" fontId="0" fillId="3" borderId="12" xfId="2" applyFont="1" applyFill="1" applyBorder="1" applyAlignment="1">
      <alignment horizontal="center"/>
    </xf>
    <xf numFmtId="9" fontId="0" fillId="3" borderId="11" xfId="2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0" fontId="9" fillId="0" borderId="24" xfId="2" applyNumberFormat="1" applyFont="1" applyBorder="1"/>
    <xf numFmtId="10" fontId="9" fillId="0" borderId="25" xfId="2" applyNumberFormat="1" applyFont="1" applyBorder="1"/>
    <xf numFmtId="167" fontId="0" fillId="3" borderId="0" xfId="0" applyNumberFormat="1" applyFont="1" applyFill="1" applyBorder="1" applyAlignment="1">
      <alignment horizontal="center"/>
    </xf>
    <xf numFmtId="167" fontId="0" fillId="3" borderId="18" xfId="0" applyNumberFormat="1" applyFont="1" applyFill="1" applyBorder="1" applyAlignment="1">
      <alignment horizontal="center"/>
    </xf>
    <xf numFmtId="169" fontId="0" fillId="3" borderId="4" xfId="1" applyNumberFormat="1" applyFont="1" applyFill="1" applyBorder="1" applyAlignment="1">
      <alignment horizontal="center"/>
    </xf>
    <xf numFmtId="169" fontId="0" fillId="3" borderId="31" xfId="1" applyNumberFormat="1" applyFont="1" applyFill="1" applyBorder="1" applyAlignment="1">
      <alignment horizontal="center"/>
    </xf>
    <xf numFmtId="168" fontId="9" fillId="0" borderId="0" xfId="1" applyNumberFormat="1" applyFont="1" applyBorder="1" applyAlignment="1">
      <alignment horizontal="center"/>
    </xf>
    <xf numFmtId="168" fontId="9" fillId="0" borderId="0" xfId="1" applyNumberFormat="1" applyFont="1" applyBorder="1"/>
    <xf numFmtId="168" fontId="9" fillId="0" borderId="20" xfId="1" applyNumberFormat="1" applyFont="1" applyBorder="1"/>
    <xf numFmtId="169" fontId="0" fillId="3" borderId="11" xfId="1" applyNumberFormat="1" applyFont="1" applyFill="1" applyBorder="1" applyAlignment="1">
      <alignment horizontal="center"/>
    </xf>
    <xf numFmtId="0" fontId="13" fillId="0" borderId="0" xfId="0" applyFont="1"/>
    <xf numFmtId="170" fontId="14" fillId="0" borderId="0" xfId="0" applyNumberFormat="1" applyFont="1" applyAlignment="1"/>
    <xf numFmtId="171" fontId="14" fillId="0" borderId="0" xfId="0" applyNumberFormat="1" applyFont="1" applyAlignment="1">
      <alignment horizontal="left"/>
    </xf>
    <xf numFmtId="171" fontId="14" fillId="0" borderId="0" xfId="0" applyNumberFormat="1" applyFont="1" applyAlignment="1"/>
    <xf numFmtId="0" fontId="7" fillId="0" borderId="6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15" xfId="0" applyFont="1" applyBorder="1"/>
    <xf numFmtId="0" fontId="0" fillId="0" borderId="20" xfId="0" applyFont="1" applyBorder="1"/>
    <xf numFmtId="168" fontId="3" fillId="0" borderId="4" xfId="1" applyNumberFormat="1" applyFont="1" applyFill="1" applyBorder="1" applyAlignment="1">
      <alignment horizontal="center"/>
    </xf>
    <xf numFmtId="168" fontId="3" fillId="0" borderId="4" xfId="1" applyNumberFormat="1" applyFont="1" applyFill="1" applyBorder="1"/>
    <xf numFmtId="168" fontId="3" fillId="0" borderId="31" xfId="1" applyNumberFormat="1" applyFont="1" applyFill="1" applyBorder="1"/>
    <xf numFmtId="168" fontId="0" fillId="0" borderId="1" xfId="1" applyNumberFormat="1" applyFont="1" applyFill="1" applyBorder="1" applyAlignment="1">
      <alignment horizontal="center"/>
    </xf>
    <xf numFmtId="168" fontId="0" fillId="0" borderId="1" xfId="1" applyNumberFormat="1" applyFont="1" applyFill="1" applyBorder="1"/>
    <xf numFmtId="168" fontId="0" fillId="0" borderId="29" xfId="1" applyNumberFormat="1" applyFont="1" applyFill="1" applyBorder="1"/>
    <xf numFmtId="168" fontId="0" fillId="0" borderId="0" xfId="1" applyNumberFormat="1" applyFont="1" applyFill="1" applyBorder="1" applyAlignment="1">
      <alignment horizontal="center"/>
    </xf>
    <xf numFmtId="168" fontId="0" fillId="0" borderId="0" xfId="1" applyNumberFormat="1" applyFont="1" applyFill="1" applyBorder="1"/>
    <xf numFmtId="168" fontId="0" fillId="0" borderId="18" xfId="1" applyNumberFormat="1" applyFont="1" applyFill="1" applyBorder="1"/>
    <xf numFmtId="168" fontId="0" fillId="0" borderId="4" xfId="1" applyNumberFormat="1" applyFont="1" applyFill="1" applyBorder="1" applyAlignment="1">
      <alignment horizontal="center"/>
    </xf>
    <xf numFmtId="168" fontId="0" fillId="0" borderId="4" xfId="1" applyNumberFormat="1" applyFont="1" applyFill="1" applyBorder="1"/>
    <xf numFmtId="168" fontId="0" fillId="0" borderId="31" xfId="1" applyNumberFormat="1" applyFont="1" applyFill="1" applyBorder="1"/>
    <xf numFmtId="168" fontId="3" fillId="0" borderId="7" xfId="1" applyNumberFormat="1" applyFont="1" applyFill="1" applyBorder="1" applyAlignment="1">
      <alignment horizontal="center"/>
    </xf>
    <xf numFmtId="168" fontId="3" fillId="0" borderId="7" xfId="1" applyNumberFormat="1" applyFont="1" applyFill="1" applyBorder="1"/>
    <xf numFmtId="168" fontId="3" fillId="0" borderId="27" xfId="1" applyNumberFormat="1" applyFont="1" applyFill="1" applyBorder="1"/>
    <xf numFmtId="168" fontId="6" fillId="0" borderId="0" xfId="1" applyNumberFormat="1" applyFont="1" applyFill="1" applyBorder="1"/>
    <xf numFmtId="168" fontId="6" fillId="0" borderId="18" xfId="1" applyNumberFormat="1" applyFont="1" applyFill="1" applyBorder="1"/>
    <xf numFmtId="168" fontId="0" fillId="0" borderId="0" xfId="1" applyNumberFormat="1" applyFont="1" applyFill="1" applyBorder="1" applyAlignment="1">
      <alignment horizontal="right"/>
    </xf>
    <xf numFmtId="168" fontId="0" fillId="0" borderId="4" xfId="1" applyNumberFormat="1" applyFont="1" applyFill="1" applyBorder="1" applyAlignment="1">
      <alignment horizontal="right"/>
    </xf>
    <xf numFmtId="168" fontId="0" fillId="0" borderId="31" xfId="1" applyNumberFormat="1" applyFont="1" applyFill="1" applyBorder="1" applyAlignment="1">
      <alignment horizontal="right"/>
    </xf>
    <xf numFmtId="168" fontId="3" fillId="0" borderId="1" xfId="1" applyNumberFormat="1" applyFont="1" applyFill="1" applyBorder="1" applyAlignment="1">
      <alignment horizontal="center"/>
    </xf>
    <xf numFmtId="168" fontId="3" fillId="0" borderId="29" xfId="1" applyNumberFormat="1" applyFont="1" applyFill="1" applyBorder="1" applyAlignment="1">
      <alignment horizontal="center"/>
    </xf>
    <xf numFmtId="172" fontId="0" fillId="3" borderId="0" xfId="0" applyNumberFormat="1" applyFont="1" applyFill="1" applyBorder="1" applyAlignment="1">
      <alignment horizontal="center"/>
    </xf>
    <xf numFmtId="172" fontId="0" fillId="3" borderId="18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6" xfId="0" applyNumberFormat="1" applyFont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5" borderId="1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68" fontId="3" fillId="2" borderId="35" xfId="0" applyNumberFormat="1" applyFont="1" applyFill="1" applyBorder="1" applyAlignment="1">
      <alignment horizontal="center" vertical="center"/>
    </xf>
    <xf numFmtId="168" fontId="3" fillId="2" borderId="36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171" fontId="14" fillId="0" borderId="0" xfId="0" applyNumberFormat="1" applyFont="1" applyAlignment="1">
      <alignment horizontal="left"/>
    </xf>
    <xf numFmtId="0" fontId="10" fillId="3" borderId="19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0" borderId="6" xfId="0" applyNumberFormat="1" applyFont="1" applyBorder="1" applyAlignment="1">
      <alignment horizontal="left"/>
    </xf>
    <xf numFmtId="0" fontId="9" fillId="0" borderId="8" xfId="0" applyNumberFormat="1" applyFont="1" applyBorder="1" applyAlignment="1">
      <alignment horizontal="left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10" fontId="10" fillId="2" borderId="16" xfId="2" applyNumberFormat="1" applyFont="1" applyFill="1" applyBorder="1" applyAlignment="1">
      <alignment horizontal="center" vertical="center"/>
    </xf>
    <xf numFmtId="10" fontId="10" fillId="2" borderId="19" xfId="2" applyNumberFormat="1" applyFont="1" applyFill="1" applyBorder="1" applyAlignment="1">
      <alignment horizontal="center" vertical="center"/>
    </xf>
    <xf numFmtId="10" fontId="10" fillId="2" borderId="18" xfId="2" applyNumberFormat="1" applyFont="1" applyFill="1" applyBorder="1" applyAlignment="1">
      <alignment horizontal="center" vertical="center"/>
    </xf>
    <xf numFmtId="10" fontId="10" fillId="2" borderId="15" xfId="2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169" fontId="1" fillId="3" borderId="4" xfId="1" applyNumberFormat="1" applyFont="1" applyFill="1" applyBorder="1" applyAlignment="1">
      <alignment horizontal="center"/>
    </xf>
    <xf numFmtId="6" fontId="0" fillId="3" borderId="12" xfId="0" applyNumberFormat="1" applyFont="1" applyFill="1" applyBorder="1" applyAlignment="1">
      <alignment horizontal="center"/>
    </xf>
    <xf numFmtId="0" fontId="1" fillId="0" borderId="0" xfId="0" applyFont="1"/>
    <xf numFmtId="168" fontId="0" fillId="0" borderId="0" xfId="0" applyNumberFormat="1"/>
    <xf numFmtId="168" fontId="3" fillId="0" borderId="0" xfId="1" applyNumberFormat="1" applyFont="1" applyFill="1" applyBorder="1" applyAlignment="1">
      <alignment horizontal="center"/>
    </xf>
    <xf numFmtId="0" fontId="1" fillId="0" borderId="0" xfId="0" applyFont="1" applyBorder="1"/>
    <xf numFmtId="168" fontId="0" fillId="0" borderId="0" xfId="0" applyNumberFormat="1" applyFont="1" applyBorder="1" applyAlignment="1">
      <alignment horizontal="center"/>
    </xf>
    <xf numFmtId="178" fontId="9" fillId="2" borderId="13" xfId="2" applyNumberFormat="1" applyFont="1" applyFill="1" applyBorder="1" applyAlignment="1">
      <alignment horizontal="center" vertical="center"/>
    </xf>
    <xf numFmtId="178" fontId="9" fillId="2" borderId="17" xfId="2" applyNumberFormat="1" applyFont="1" applyFill="1" applyBorder="1" applyAlignment="1">
      <alignment horizontal="center" vertical="center"/>
    </xf>
    <xf numFmtId="178" fontId="9" fillId="2" borderId="14" xfId="2" applyNumberFormat="1" applyFont="1" applyFill="1" applyBorder="1" applyAlignment="1">
      <alignment horizontal="center" vertical="center"/>
    </xf>
    <xf numFmtId="178" fontId="9" fillId="2" borderId="15" xfId="2" applyNumberFormat="1" applyFont="1" applyFill="1" applyBorder="1" applyAlignment="1">
      <alignment horizontal="center" vertical="center"/>
    </xf>
    <xf numFmtId="178" fontId="9" fillId="2" borderId="20" xfId="2" applyNumberFormat="1" applyFont="1" applyFill="1" applyBorder="1" applyAlignment="1">
      <alignment horizontal="center" vertical="center"/>
    </xf>
    <xf numFmtId="178" fontId="9" fillId="2" borderId="16" xfId="2" applyNumberFormat="1" applyFont="1" applyFill="1" applyBorder="1" applyAlignment="1">
      <alignment horizontal="center" vertical="center"/>
    </xf>
    <xf numFmtId="9" fontId="10" fillId="0" borderId="0" xfId="0" applyNumberFormat="1" applyFont="1" applyBorder="1" applyAlignment="1">
      <alignment horizontal="center" vertical="center"/>
    </xf>
    <xf numFmtId="182" fontId="9" fillId="0" borderId="0" xfId="1" applyNumberFormat="1" applyFont="1" applyBorder="1"/>
    <xf numFmtId="182" fontId="9" fillId="0" borderId="0" xfId="0" applyNumberFormat="1" applyFont="1" applyBorder="1"/>
    <xf numFmtId="184" fontId="10" fillId="2" borderId="37" xfId="2" applyNumberFormat="1" applyFont="1" applyFill="1" applyBorder="1" applyAlignment="1">
      <alignment horizontal="center" vertical="center"/>
    </xf>
    <xf numFmtId="184" fontId="10" fillId="2" borderId="14" xfId="2" applyNumberFormat="1" applyFont="1" applyFill="1" applyBorder="1" applyAlignment="1">
      <alignment horizontal="center" vertical="center"/>
    </xf>
    <xf numFmtId="184" fontId="10" fillId="2" borderId="38" xfId="2" applyNumberFormat="1" applyFont="1" applyFill="1" applyBorder="1" applyAlignment="1">
      <alignment horizontal="center" vertical="center"/>
    </xf>
    <xf numFmtId="184" fontId="10" fillId="2" borderId="16" xfId="2" applyNumberFormat="1" applyFont="1" applyFill="1" applyBorder="1" applyAlignment="1">
      <alignment horizontal="center" vertical="center"/>
    </xf>
    <xf numFmtId="168" fontId="9" fillId="0" borderId="0" xfId="1" applyNumberFormat="1" applyFont="1" applyFill="1" applyBorder="1"/>
    <xf numFmtId="168" fontId="9" fillId="0" borderId="0" xfId="0" applyNumberFormat="1" applyFont="1" applyBorder="1"/>
    <xf numFmtId="168" fontId="0" fillId="0" borderId="0" xfId="0" applyNumberFormat="1" applyFont="1"/>
    <xf numFmtId="168" fontId="0" fillId="0" borderId="0" xfId="0" applyNumberFormat="1" applyFont="1" applyAlignment="1">
      <alignment horizontal="center"/>
    </xf>
  </cellXfs>
  <cellStyles count="283"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Monétaire" xfId="1" builtinId="4"/>
    <cellStyle name="Normal" xfId="0" builtinId="0"/>
    <cellStyle name="Pourcentage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showWhiteSpace="0" topLeftCell="A88" zoomScale="115" zoomScaleNormal="115" zoomScalePageLayoutView="85" workbookViewId="0">
      <selection activeCell="G119" sqref="G119"/>
    </sheetView>
  </sheetViews>
  <sheetFormatPr baseColWidth="10" defaultColWidth="11.42578125" defaultRowHeight="12.75" x14ac:dyDescent="0.2"/>
  <cols>
    <col min="1" max="1" width="8" style="3" customWidth="1"/>
    <col min="2" max="2" width="16.42578125" style="3" customWidth="1"/>
    <col min="3" max="3" width="12.42578125" style="3" customWidth="1"/>
    <col min="4" max="4" width="12.42578125" style="4" customWidth="1"/>
    <col min="5" max="5" width="11.85546875" style="3" customWidth="1"/>
    <col min="6" max="7" width="12" style="3" customWidth="1"/>
    <col min="8" max="8" width="12.140625" style="3" customWidth="1"/>
    <col min="9" max="10" width="11.42578125" style="3" customWidth="1"/>
    <col min="11" max="11" width="11.7109375" style="3" customWidth="1"/>
    <col min="12" max="12" width="13.42578125" style="3" customWidth="1"/>
    <col min="13" max="16384" width="11.42578125" style="3"/>
  </cols>
  <sheetData>
    <row r="1" spans="1:12" ht="15" x14ac:dyDescent="0.25">
      <c r="A1" s="23" t="s">
        <v>13</v>
      </c>
      <c r="B1" s="24" t="s">
        <v>39</v>
      </c>
      <c r="C1" s="14" t="s">
        <v>14</v>
      </c>
      <c r="D1" s="119" t="s">
        <v>40</v>
      </c>
      <c r="E1" s="120"/>
      <c r="F1" s="25" t="s">
        <v>11</v>
      </c>
      <c r="G1" s="26">
        <v>1950221</v>
      </c>
      <c r="H1" s="27" t="s">
        <v>12</v>
      </c>
      <c r="I1" s="27">
        <v>4</v>
      </c>
      <c r="J1" s="80"/>
      <c r="K1" s="29"/>
    </row>
    <row r="2" spans="1:12" ht="12.95" customHeight="1" x14ac:dyDescent="0.25">
      <c r="A2" s="23" t="s">
        <v>13</v>
      </c>
      <c r="B2" s="24" t="s">
        <v>42</v>
      </c>
      <c r="C2" s="14" t="s">
        <v>14</v>
      </c>
      <c r="D2" s="119" t="s">
        <v>41</v>
      </c>
      <c r="E2" s="120"/>
      <c r="F2" s="25" t="s">
        <v>11</v>
      </c>
      <c r="G2" s="26">
        <v>1735301</v>
      </c>
      <c r="H2" s="27" t="s">
        <v>12</v>
      </c>
      <c r="I2" s="27">
        <v>4</v>
      </c>
      <c r="J2" s="80"/>
      <c r="K2" s="29"/>
    </row>
    <row r="3" spans="1:12" ht="12.95" customHeight="1" x14ac:dyDescent="0.25">
      <c r="A3" s="23" t="s">
        <v>13</v>
      </c>
      <c r="B3" s="24"/>
      <c r="C3" s="14" t="s">
        <v>14</v>
      </c>
      <c r="D3" s="119"/>
      <c r="E3" s="120"/>
      <c r="F3" s="25" t="s">
        <v>11</v>
      </c>
      <c r="G3" s="26"/>
      <c r="H3" s="27" t="s">
        <v>12</v>
      </c>
      <c r="I3" s="27"/>
      <c r="J3" s="80"/>
      <c r="K3" s="29"/>
    </row>
    <row r="4" spans="1:12" ht="12.95" customHeight="1" x14ac:dyDescent="0.25">
      <c r="A4" s="28"/>
      <c r="B4" s="28"/>
      <c r="C4" s="29"/>
      <c r="D4" s="30"/>
      <c r="E4" s="31"/>
      <c r="F4" s="32"/>
      <c r="G4" s="32"/>
      <c r="H4" s="32"/>
      <c r="I4" s="32"/>
      <c r="J4" s="32"/>
      <c r="K4" s="32"/>
      <c r="L4" s="32"/>
    </row>
    <row r="5" spans="1:12" ht="15" x14ac:dyDescent="0.25">
      <c r="A5" s="33" t="s">
        <v>38</v>
      </c>
      <c r="B5" s="33"/>
      <c r="C5" s="139" t="s">
        <v>18</v>
      </c>
      <c r="D5" s="139"/>
      <c r="E5" s="139"/>
      <c r="F5" s="139"/>
      <c r="G5" s="139"/>
      <c r="H5" s="139"/>
      <c r="I5" s="139"/>
      <c r="J5" s="139"/>
      <c r="K5" s="139"/>
      <c r="L5" s="32"/>
    </row>
    <row r="6" spans="1:12" ht="15" x14ac:dyDescent="0.25">
      <c r="A6" s="33"/>
      <c r="B6" s="33"/>
      <c r="C6" s="33"/>
      <c r="D6" s="32"/>
      <c r="E6" s="34"/>
      <c r="F6" s="32"/>
      <c r="G6" s="32"/>
      <c r="H6" s="32"/>
      <c r="I6" s="32"/>
      <c r="J6" s="32"/>
      <c r="K6" s="32"/>
      <c r="L6" s="32"/>
    </row>
    <row r="7" spans="1:12" ht="15.75" thickBot="1" x14ac:dyDescent="0.3">
      <c r="A7" s="1" t="s">
        <v>20</v>
      </c>
      <c r="B7" s="33"/>
      <c r="C7" s="33"/>
      <c r="D7" s="32"/>
      <c r="E7" s="34"/>
      <c r="F7" s="32"/>
      <c r="G7" s="32"/>
      <c r="H7" s="32"/>
      <c r="I7" s="32"/>
      <c r="J7" s="32"/>
      <c r="K7" s="32"/>
      <c r="L7" s="32"/>
    </row>
    <row r="8" spans="1:12" ht="14.25" x14ac:dyDescent="0.2">
      <c r="A8" s="150" t="s">
        <v>35</v>
      </c>
      <c r="B8" s="151"/>
      <c r="C8" s="151"/>
      <c r="D8" s="151"/>
      <c r="E8" s="151"/>
      <c r="F8" s="151"/>
      <c r="G8" s="151"/>
      <c r="H8" s="151"/>
      <c r="I8" s="151"/>
      <c r="J8" s="151"/>
      <c r="K8" s="152"/>
      <c r="L8" s="32"/>
    </row>
    <row r="9" spans="1:12" ht="13.5" thickBot="1" x14ac:dyDescent="0.25">
      <c r="A9" s="153"/>
      <c r="B9" s="154"/>
      <c r="C9" s="154"/>
      <c r="D9" s="154"/>
      <c r="E9" s="154"/>
      <c r="F9" s="154"/>
      <c r="G9" s="154"/>
      <c r="H9" s="154"/>
      <c r="I9" s="154"/>
      <c r="J9" s="154"/>
      <c r="K9" s="155"/>
    </row>
    <row r="10" spans="1:12" x14ac:dyDescent="0.2">
      <c r="A10" s="122" t="s">
        <v>4</v>
      </c>
      <c r="B10" s="123"/>
      <c r="C10" s="57" t="s">
        <v>9</v>
      </c>
      <c r="D10" s="58"/>
      <c r="E10" s="58">
        <v>2019</v>
      </c>
      <c r="F10" s="58">
        <v>2020</v>
      </c>
      <c r="G10" s="58">
        <v>2021</v>
      </c>
      <c r="H10" s="58">
        <v>2022</v>
      </c>
      <c r="I10" s="58">
        <v>2023</v>
      </c>
      <c r="J10" s="58">
        <v>2024</v>
      </c>
      <c r="K10" s="59"/>
    </row>
    <row r="11" spans="1:12" x14ac:dyDescent="0.2">
      <c r="A11" s="121" t="s">
        <v>10</v>
      </c>
      <c r="B11" s="118"/>
      <c r="C11" s="173"/>
      <c r="D11" s="109"/>
      <c r="E11" s="109">
        <v>0</v>
      </c>
      <c r="F11" s="109">
        <v>200</v>
      </c>
      <c r="G11" s="109">
        <f>F11*1.04</f>
        <v>208</v>
      </c>
      <c r="H11" s="109">
        <f>G11*1.04</f>
        <v>216.32</v>
      </c>
      <c r="I11" s="109">
        <f>H11*1.04</f>
        <v>224.97280000000001</v>
      </c>
      <c r="J11" s="109">
        <f>I11*1.04</f>
        <v>233.97171200000003</v>
      </c>
      <c r="K11" s="110"/>
    </row>
    <row r="12" spans="1:12" x14ac:dyDescent="0.2">
      <c r="A12" s="121" t="s">
        <v>17</v>
      </c>
      <c r="B12" s="118"/>
      <c r="C12" s="74"/>
      <c r="D12" s="69"/>
      <c r="E12" s="172"/>
      <c r="F12" s="69">
        <v>2080</v>
      </c>
      <c r="G12" s="69">
        <v>2080</v>
      </c>
      <c r="H12" s="69">
        <v>2080</v>
      </c>
      <c r="I12" s="69">
        <v>2080</v>
      </c>
      <c r="J12" s="69">
        <v>2080</v>
      </c>
      <c r="K12" s="70"/>
    </row>
    <row r="13" spans="1:12" x14ac:dyDescent="0.2">
      <c r="A13" s="124" t="s">
        <v>8</v>
      </c>
      <c r="B13" s="125"/>
      <c r="C13" s="64"/>
      <c r="D13" s="87"/>
      <c r="E13" s="88"/>
      <c r="F13" s="88">
        <f>F12*F11</f>
        <v>416000</v>
      </c>
      <c r="G13" s="88">
        <f>G12*G11</f>
        <v>432640</v>
      </c>
      <c r="H13" s="88">
        <f>H12*H11</f>
        <v>449945.59999999998</v>
      </c>
      <c r="I13" s="88">
        <f>I12*I11</f>
        <v>467943.424</v>
      </c>
      <c r="J13" s="88">
        <f>J12*J11</f>
        <v>486661.16096000007</v>
      </c>
      <c r="K13" s="89"/>
    </row>
    <row r="14" spans="1:12" x14ac:dyDescent="0.2">
      <c r="A14" s="126" t="s">
        <v>6</v>
      </c>
      <c r="B14" s="127"/>
      <c r="C14" s="15"/>
      <c r="D14" s="90"/>
      <c r="E14" s="91"/>
      <c r="F14" s="91"/>
      <c r="G14" s="91"/>
      <c r="H14" s="91"/>
      <c r="I14" s="91"/>
      <c r="J14" s="91"/>
      <c r="K14" s="92"/>
    </row>
    <row r="15" spans="1:12" x14ac:dyDescent="0.2">
      <c r="A15" s="121" t="s">
        <v>43</v>
      </c>
      <c r="B15" s="118"/>
      <c r="C15" s="16"/>
      <c r="D15" s="93"/>
      <c r="F15" s="93">
        <v>6500</v>
      </c>
      <c r="G15" s="93">
        <v>0</v>
      </c>
      <c r="H15" s="93">
        <v>0</v>
      </c>
      <c r="I15" s="93">
        <v>0</v>
      </c>
      <c r="J15" s="93">
        <v>0</v>
      </c>
      <c r="K15" s="95"/>
    </row>
    <row r="16" spans="1:12" x14ac:dyDescent="0.2">
      <c r="A16" s="121" t="s">
        <v>44</v>
      </c>
      <c r="B16" s="118"/>
      <c r="C16" s="16">
        <v>280</v>
      </c>
      <c r="D16" s="93"/>
      <c r="E16" s="94"/>
      <c r="F16" s="94">
        <f>C16*F11</f>
        <v>56000</v>
      </c>
      <c r="G16" s="94">
        <f>C16*G11</f>
        <v>58240</v>
      </c>
      <c r="H16" s="94">
        <f>C16*H11</f>
        <v>60569.599999999999</v>
      </c>
      <c r="I16" s="94">
        <f>C16*I11</f>
        <v>62992.384000000005</v>
      </c>
      <c r="J16" s="94">
        <f>C16*J11</f>
        <v>65512.079360000003</v>
      </c>
      <c r="K16" s="95"/>
    </row>
    <row r="17" spans="1:11" x14ac:dyDescent="0.2">
      <c r="A17" s="121" t="s">
        <v>45</v>
      </c>
      <c r="B17" s="118"/>
      <c r="C17" s="62">
        <v>2</v>
      </c>
      <c r="D17" s="93"/>
      <c r="E17" s="94"/>
      <c r="F17" s="94">
        <f>$C$17*F16</f>
        <v>112000</v>
      </c>
      <c r="G17" s="94">
        <f>C17*G16</f>
        <v>116480</v>
      </c>
      <c r="H17" s="94">
        <f>C17*H16</f>
        <v>121139.2</v>
      </c>
      <c r="I17" s="94">
        <f>C17*I16</f>
        <v>125984.76800000001</v>
      </c>
      <c r="J17" s="94">
        <f>C17*J16</f>
        <v>131024.15872000001</v>
      </c>
      <c r="K17" s="95"/>
    </row>
    <row r="18" spans="1:11" x14ac:dyDescent="0.2">
      <c r="A18" s="121" t="s">
        <v>46</v>
      </c>
      <c r="B18" s="118"/>
      <c r="C18" s="62">
        <v>0.19</v>
      </c>
      <c r="D18" s="93"/>
      <c r="E18" s="94"/>
      <c r="F18" s="94">
        <f>C18*F17</f>
        <v>21280</v>
      </c>
      <c r="G18" s="94">
        <f>C18*G17</f>
        <v>22131.200000000001</v>
      </c>
      <c r="H18" s="94">
        <f>C18*H17</f>
        <v>23016.448</v>
      </c>
      <c r="I18" s="94">
        <f>C18*I17</f>
        <v>23937.105920000002</v>
      </c>
      <c r="J18" s="94">
        <f>C18*J17</f>
        <v>24894.590156800001</v>
      </c>
      <c r="K18" s="95"/>
    </row>
    <row r="19" spans="1:11" x14ac:dyDescent="0.2">
      <c r="A19" s="121" t="s">
        <v>47</v>
      </c>
      <c r="B19" s="118"/>
      <c r="C19" s="16"/>
      <c r="D19" s="93"/>
      <c r="E19" s="94"/>
      <c r="F19" s="94">
        <v>5200</v>
      </c>
      <c r="G19" s="94">
        <v>5200</v>
      </c>
      <c r="H19" s="94">
        <v>0</v>
      </c>
      <c r="I19" s="94">
        <v>0</v>
      </c>
      <c r="J19" s="94">
        <v>0</v>
      </c>
      <c r="K19" s="95"/>
    </row>
    <row r="20" spans="1:11" x14ac:dyDescent="0.2">
      <c r="A20" s="122" t="s">
        <v>48</v>
      </c>
      <c r="B20" s="123"/>
      <c r="C20" s="17"/>
      <c r="D20" s="96"/>
      <c r="E20" s="97"/>
      <c r="F20" s="175">
        <v>150404.541</v>
      </c>
      <c r="G20" s="175">
        <v>150404.541</v>
      </c>
      <c r="H20" s="175">
        <v>150404.541</v>
      </c>
      <c r="I20" s="175">
        <v>150404.541</v>
      </c>
      <c r="J20" s="175">
        <v>150404.541</v>
      </c>
      <c r="K20" s="98"/>
    </row>
    <row r="21" spans="1:11" x14ac:dyDescent="0.2">
      <c r="A21" s="124" t="s">
        <v>7</v>
      </c>
      <c r="B21" s="125"/>
      <c r="C21" s="64"/>
      <c r="D21" s="99"/>
      <c r="E21" s="100"/>
      <c r="F21" s="100">
        <f>SUM(F15:F20)</f>
        <v>351384.54099999997</v>
      </c>
      <c r="G21" s="100">
        <f>SUM(G15:G20)</f>
        <v>352455.74100000004</v>
      </c>
      <c r="H21" s="100">
        <f>SUM(H15:H20)</f>
        <v>355129.78899999999</v>
      </c>
      <c r="I21" s="100">
        <f>SUM(I15:I20)</f>
        <v>363318.79891999997</v>
      </c>
      <c r="J21" s="100">
        <f>SUM(J15:J20)</f>
        <v>371835.3692368</v>
      </c>
      <c r="K21" s="101"/>
    </row>
    <row r="22" spans="1:11" x14ac:dyDescent="0.2">
      <c r="A22" s="121" t="s">
        <v>5</v>
      </c>
      <c r="B22" s="118"/>
      <c r="C22" s="118"/>
      <c r="D22" s="94"/>
      <c r="E22" s="102"/>
      <c r="F22" s="102">
        <f>F13-F21</f>
        <v>64615.459000000032</v>
      </c>
      <c r="G22" s="102">
        <f>G13-G21</f>
        <v>80184.258999999962</v>
      </c>
      <c r="H22" s="102">
        <f>H13-H21</f>
        <v>94815.810999999987</v>
      </c>
      <c r="I22" s="102">
        <f>I13-I21</f>
        <v>104624.62508000003</v>
      </c>
      <c r="J22" s="102">
        <f>J13-J21</f>
        <v>114825.79172320006</v>
      </c>
      <c r="K22" s="103"/>
    </row>
    <row r="23" spans="1:11" x14ac:dyDescent="0.2">
      <c r="A23" s="126" t="s">
        <v>36</v>
      </c>
      <c r="B23" s="127"/>
      <c r="C23" s="15"/>
      <c r="D23" s="90"/>
      <c r="E23" s="91"/>
      <c r="F23" s="91"/>
      <c r="G23" s="91"/>
      <c r="H23" s="91"/>
      <c r="I23" s="91"/>
      <c r="J23" s="91"/>
      <c r="K23" s="92"/>
    </row>
    <row r="24" spans="1:11" x14ac:dyDescent="0.2">
      <c r="A24" s="121" t="s">
        <v>49</v>
      </c>
      <c r="B24" s="118"/>
      <c r="C24" s="18"/>
      <c r="D24" s="104"/>
      <c r="E24" s="94">
        <f>-280000*0.48</f>
        <v>-134400</v>
      </c>
      <c r="F24" s="94"/>
      <c r="G24" s="94"/>
      <c r="H24" s="94"/>
      <c r="I24" s="94"/>
      <c r="J24" s="94"/>
      <c r="K24" s="95"/>
    </row>
    <row r="25" spans="1:11" x14ac:dyDescent="0.2">
      <c r="A25" s="121" t="s">
        <v>50</v>
      </c>
      <c r="B25" s="118"/>
      <c r="C25" s="18"/>
      <c r="D25" s="104"/>
      <c r="E25" s="94">
        <f>-280000*0.52</f>
        <v>-145600</v>
      </c>
      <c r="F25" s="94"/>
      <c r="G25" s="94"/>
      <c r="H25" s="94"/>
      <c r="I25" s="94"/>
      <c r="J25" s="94"/>
      <c r="K25" s="95"/>
    </row>
    <row r="26" spans="1:11" x14ac:dyDescent="0.2">
      <c r="A26" s="121" t="s">
        <v>51</v>
      </c>
      <c r="B26" s="118"/>
      <c r="C26" s="18"/>
      <c r="D26" s="104"/>
      <c r="E26" s="94">
        <v>-151700</v>
      </c>
      <c r="F26" s="94"/>
      <c r="G26" s="94"/>
      <c r="H26" s="94"/>
      <c r="I26" s="94"/>
      <c r="J26" s="94"/>
      <c r="K26" s="95"/>
    </row>
    <row r="27" spans="1:11" x14ac:dyDescent="0.2">
      <c r="A27" s="121" t="s">
        <v>52</v>
      </c>
      <c r="B27" s="118"/>
      <c r="C27" s="18"/>
      <c r="D27" s="104"/>
      <c r="E27" s="94">
        <v>-3000</v>
      </c>
      <c r="F27" s="94"/>
      <c r="G27" s="94"/>
      <c r="H27" s="94"/>
      <c r="I27" s="94"/>
      <c r="J27" s="94"/>
      <c r="K27" s="95"/>
    </row>
    <row r="28" spans="1:11" x14ac:dyDescent="0.2">
      <c r="A28" s="122"/>
      <c r="B28" s="123"/>
      <c r="C28" s="19"/>
      <c r="D28" s="105"/>
      <c r="E28" s="97"/>
      <c r="F28" s="97"/>
      <c r="G28" s="97"/>
      <c r="H28" s="97"/>
      <c r="I28" s="97"/>
      <c r="J28" s="97"/>
      <c r="K28" s="98"/>
    </row>
    <row r="29" spans="1:11" x14ac:dyDescent="0.2">
      <c r="A29" s="126" t="s">
        <v>19</v>
      </c>
      <c r="B29" s="127"/>
      <c r="C29" s="61"/>
      <c r="D29" s="90"/>
      <c r="E29" s="91"/>
      <c r="F29" s="91"/>
      <c r="G29" s="91"/>
      <c r="H29" s="91"/>
      <c r="I29" s="91"/>
      <c r="J29" s="91"/>
      <c r="K29" s="92"/>
    </row>
    <row r="30" spans="1:11" x14ac:dyDescent="0.2">
      <c r="A30" s="121" t="s">
        <v>49</v>
      </c>
      <c r="B30" s="118"/>
      <c r="C30" s="62">
        <v>1.8</v>
      </c>
      <c r="D30" s="93"/>
      <c r="E30" s="94"/>
      <c r="F30" s="94"/>
      <c r="G30" s="94"/>
      <c r="H30" s="94"/>
      <c r="I30" s="94"/>
      <c r="J30" s="94">
        <f>-C30*E24</f>
        <v>241920</v>
      </c>
      <c r="K30" s="95"/>
    </row>
    <row r="31" spans="1:11" x14ac:dyDescent="0.2">
      <c r="A31" s="121" t="s">
        <v>50</v>
      </c>
      <c r="B31" s="118"/>
      <c r="C31" s="62">
        <v>0.9</v>
      </c>
      <c r="D31" s="93"/>
      <c r="E31" s="94"/>
      <c r="F31" s="94"/>
      <c r="G31" s="94"/>
      <c r="H31" s="94"/>
      <c r="I31" s="94"/>
      <c r="J31" s="94">
        <f>-C31*E25</f>
        <v>131040</v>
      </c>
      <c r="K31" s="95"/>
    </row>
    <row r="32" spans="1:11" x14ac:dyDescent="0.2">
      <c r="A32" s="121" t="s">
        <v>53</v>
      </c>
      <c r="B32" s="118"/>
      <c r="C32" s="62"/>
      <c r="D32" s="93"/>
      <c r="E32" s="94"/>
      <c r="F32" s="94"/>
      <c r="G32" s="94"/>
      <c r="H32" s="94"/>
      <c r="I32" s="94"/>
      <c r="J32" s="94">
        <v>41000</v>
      </c>
      <c r="K32" s="95"/>
    </row>
    <row r="33" spans="1:11" x14ac:dyDescent="0.2">
      <c r="A33" s="121" t="s">
        <v>52</v>
      </c>
      <c r="B33" s="118"/>
      <c r="C33" s="62">
        <v>0.92</v>
      </c>
      <c r="D33" s="93"/>
      <c r="E33" s="94"/>
      <c r="F33" s="94"/>
      <c r="G33" s="94"/>
      <c r="H33" s="94"/>
      <c r="I33" s="94"/>
      <c r="J33" s="94">
        <f>-E27*C33</f>
        <v>2760</v>
      </c>
      <c r="K33" s="52"/>
    </row>
    <row r="34" spans="1:11" x14ac:dyDescent="0.2">
      <c r="A34" s="122"/>
      <c r="B34" s="123"/>
      <c r="C34" s="63"/>
      <c r="D34" s="96"/>
      <c r="E34" s="97"/>
      <c r="F34" s="97"/>
      <c r="G34" s="97"/>
      <c r="H34" s="97"/>
      <c r="I34" s="97"/>
      <c r="J34" s="97"/>
      <c r="K34" s="106"/>
    </row>
    <row r="35" spans="1:11" x14ac:dyDescent="0.2">
      <c r="A35" s="126" t="s">
        <v>0</v>
      </c>
      <c r="B35" s="127"/>
      <c r="C35" s="20"/>
      <c r="D35" s="107"/>
      <c r="E35" s="107">
        <f>SUM(E24:E27)</f>
        <v>-434700</v>
      </c>
      <c r="F35" s="107">
        <f>F22</f>
        <v>64615.459000000032</v>
      </c>
      <c r="G35" s="107">
        <f>G22</f>
        <v>80184.258999999962</v>
      </c>
      <c r="H35" s="107">
        <f>H22</f>
        <v>94815.810999999987</v>
      </c>
      <c r="I35" s="107">
        <f>I22</f>
        <v>104624.62508000003</v>
      </c>
      <c r="J35" s="107">
        <f>J22+SUM(J30:J33)</f>
        <v>531545.79172320012</v>
      </c>
      <c r="K35" s="108"/>
    </row>
    <row r="36" spans="1:11" x14ac:dyDescent="0.2">
      <c r="A36" s="121" t="s">
        <v>1</v>
      </c>
      <c r="B36" s="118"/>
      <c r="C36" s="21">
        <v>0.08</v>
      </c>
      <c r="D36" s="67"/>
      <c r="E36" s="67">
        <f>(1+$C$36)^0</f>
        <v>1</v>
      </c>
      <c r="F36" s="67">
        <f>(1+$C$36)^(-1)</f>
        <v>0.92592592592592582</v>
      </c>
      <c r="G36" s="67">
        <f>(1+$C$36)^(-2)</f>
        <v>0.85733882030178321</v>
      </c>
      <c r="H36" s="67">
        <f>(1+$C$36)^(-3)</f>
        <v>0.79383224102016958</v>
      </c>
      <c r="I36" s="67">
        <f>(1+$C$36)^(-4)</f>
        <v>0.73502985279645328</v>
      </c>
      <c r="J36" s="67">
        <f>(1+$C$36)^(-5)</f>
        <v>0.68058319703375303</v>
      </c>
      <c r="K36" s="68"/>
    </row>
    <row r="37" spans="1:11" ht="12" customHeight="1" thickBot="1" x14ac:dyDescent="0.25">
      <c r="A37" s="129" t="s">
        <v>2</v>
      </c>
      <c r="B37" s="130"/>
      <c r="C37" s="53"/>
      <c r="D37" s="54"/>
      <c r="E37" s="55">
        <f>E35*E36</f>
        <v>-434700</v>
      </c>
      <c r="F37" s="55">
        <f>F35*F36</f>
        <v>59829.128703703725</v>
      </c>
      <c r="G37" s="55">
        <f>G35*G36</f>
        <v>68745.078017832609</v>
      </c>
      <c r="H37" s="55">
        <f>H35*H36</f>
        <v>75267.847730274836</v>
      </c>
      <c r="I37" s="55">
        <f>I35*I36</f>
        <v>76902.222771436529</v>
      </c>
      <c r="J37" s="55">
        <f>J35*J36</f>
        <v>361761.13430081296</v>
      </c>
      <c r="K37" s="56"/>
    </row>
    <row r="38" spans="1:11" ht="13.5" thickBot="1" x14ac:dyDescent="0.25">
      <c r="A38" s="131" t="s">
        <v>3</v>
      </c>
      <c r="B38" s="132"/>
      <c r="C38" s="140">
        <f>SUM(E37:J37)</f>
        <v>207805.41152406068</v>
      </c>
      <c r="D38" s="141"/>
      <c r="E38" s="2"/>
      <c r="F38" s="2"/>
      <c r="G38" s="2"/>
      <c r="H38" s="2"/>
      <c r="I38" s="2"/>
      <c r="J38" s="2"/>
      <c r="K38" s="2"/>
    </row>
    <row r="39" spans="1:11" x14ac:dyDescent="0.2">
      <c r="A39" s="142"/>
      <c r="B39" s="142"/>
      <c r="C39" s="22"/>
      <c r="D39" s="22"/>
      <c r="E39" s="2"/>
      <c r="F39" s="2"/>
      <c r="G39" s="2"/>
      <c r="H39" s="2"/>
      <c r="I39" s="2"/>
      <c r="J39" s="2"/>
      <c r="K39" s="2"/>
    </row>
    <row r="40" spans="1:11" ht="13.5" thickBot="1" x14ac:dyDescent="0.25">
      <c r="A40" s="118" t="s">
        <v>21</v>
      </c>
      <c r="B40" s="118"/>
      <c r="C40" s="13"/>
      <c r="D40" s="13"/>
      <c r="E40" s="2"/>
      <c r="F40" s="2"/>
      <c r="G40" s="2"/>
      <c r="H40" s="2"/>
      <c r="I40" s="2"/>
      <c r="J40" s="2"/>
      <c r="K40" s="2"/>
    </row>
    <row r="41" spans="1:11" x14ac:dyDescent="0.2">
      <c r="A41" s="133" t="s">
        <v>15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5"/>
    </row>
    <row r="42" spans="1:11" ht="13.5" thickBot="1" x14ac:dyDescent="0.25">
      <c r="A42" s="136"/>
      <c r="B42" s="137"/>
      <c r="C42" s="137"/>
      <c r="D42" s="137"/>
      <c r="E42" s="137"/>
      <c r="F42" s="137"/>
      <c r="G42" s="137"/>
      <c r="H42" s="137"/>
      <c r="I42" s="137"/>
      <c r="J42" s="137"/>
      <c r="K42" s="138"/>
    </row>
    <row r="43" spans="1:11" x14ac:dyDescent="0.2">
      <c r="A43" s="117"/>
      <c r="B43" s="118"/>
      <c r="C43" s="2"/>
      <c r="D43" s="7"/>
      <c r="E43" s="2"/>
      <c r="F43" s="2"/>
      <c r="G43" s="2"/>
      <c r="H43" s="2"/>
      <c r="I43" s="2"/>
      <c r="J43" s="2"/>
      <c r="K43" s="9"/>
    </row>
    <row r="44" spans="1:11" x14ac:dyDescent="0.2">
      <c r="A44" s="117"/>
      <c r="B44" s="118"/>
      <c r="C44" s="2"/>
      <c r="D44" s="7"/>
      <c r="E44" s="2"/>
      <c r="F44" s="2"/>
      <c r="G44" s="2"/>
      <c r="H44" s="2"/>
      <c r="I44" s="2"/>
      <c r="J44" s="2"/>
      <c r="K44" s="9"/>
    </row>
    <row r="45" spans="1:11" x14ac:dyDescent="0.2">
      <c r="A45" s="117"/>
      <c r="B45" s="118"/>
      <c r="C45" s="2"/>
      <c r="D45" s="176">
        <f>-434700</f>
        <v>-434700</v>
      </c>
      <c r="E45" s="176">
        <f>64615</f>
        <v>64615</v>
      </c>
      <c r="F45" s="176">
        <f>80184</f>
        <v>80184</v>
      </c>
      <c r="G45" s="176">
        <f>94816</f>
        <v>94816</v>
      </c>
      <c r="H45" s="176">
        <f>104625</f>
        <v>104625</v>
      </c>
      <c r="I45" s="176">
        <f>531546</f>
        <v>531546</v>
      </c>
      <c r="J45" s="2"/>
      <c r="K45" s="9"/>
    </row>
    <row r="46" spans="1:11" x14ac:dyDescent="0.2">
      <c r="A46" s="117" t="s">
        <v>56</v>
      </c>
      <c r="B46" s="118"/>
      <c r="C46" s="11">
        <v>0.19</v>
      </c>
      <c r="D46" s="7">
        <f>(1+C46)^0</f>
        <v>1</v>
      </c>
      <c r="E46" s="2">
        <f>(1+$C$46)^(-1)</f>
        <v>0.84033613445378152</v>
      </c>
      <c r="F46" s="2">
        <f>(1+$C$46)^(-2)</f>
        <v>0.70616481886872395</v>
      </c>
      <c r="G46" s="2">
        <f>(1+$C$46)^(-3)</f>
        <v>0.59341581417539835</v>
      </c>
      <c r="H46" s="2">
        <f>(1+$C$46)^(-4)</f>
        <v>0.49866875140789779</v>
      </c>
      <c r="I46" s="2">
        <f>(1+$C$46)^(-5)</f>
        <v>0.41904937093100653</v>
      </c>
      <c r="J46" s="2"/>
      <c r="K46" s="9"/>
    </row>
    <row r="47" spans="1:11" x14ac:dyDescent="0.2">
      <c r="A47" s="117"/>
      <c r="B47" s="118"/>
      <c r="D47" s="178">
        <f>D45*D46</f>
        <v>-434700</v>
      </c>
      <c r="E47" s="8">
        <f>E45*E46</f>
        <v>54298.319327731093</v>
      </c>
      <c r="F47" s="8">
        <f>F45*F46</f>
        <v>56623.119836169761</v>
      </c>
      <c r="G47" s="8">
        <f>G45*G46</f>
        <v>56265.31383685457</v>
      </c>
      <c r="H47" s="8">
        <f>H45*H46</f>
        <v>52173.218116051306</v>
      </c>
      <c r="I47" s="8">
        <f>I45*I46</f>
        <v>222744.01692089278</v>
      </c>
      <c r="J47" s="2"/>
      <c r="K47" s="9"/>
    </row>
    <row r="48" spans="1:11" x14ac:dyDescent="0.2">
      <c r="A48" s="117"/>
      <c r="B48" s="118"/>
      <c r="C48" s="177" t="s">
        <v>57</v>
      </c>
      <c r="D48" s="178">
        <f>SUM(D47:I47)</f>
        <v>7403.9880376995425</v>
      </c>
      <c r="E48" s="2"/>
      <c r="F48" s="2"/>
      <c r="G48" s="2"/>
      <c r="H48" s="2"/>
      <c r="I48" s="2"/>
      <c r="J48" s="2"/>
      <c r="K48" s="9"/>
    </row>
    <row r="49" spans="1:11" x14ac:dyDescent="0.2">
      <c r="A49" s="117"/>
      <c r="B49" s="118"/>
      <c r="C49" s="2"/>
      <c r="D49" s="7"/>
      <c r="E49" s="2"/>
      <c r="F49" s="10"/>
      <c r="G49" s="2"/>
      <c r="H49" s="2"/>
      <c r="I49" s="2"/>
      <c r="J49" s="2"/>
      <c r="K49" s="9"/>
    </row>
    <row r="50" spans="1:11" x14ac:dyDescent="0.2">
      <c r="A50" s="117"/>
      <c r="B50" s="118"/>
      <c r="C50" s="2"/>
      <c r="D50" s="7"/>
      <c r="E50" s="2"/>
      <c r="F50" s="2"/>
      <c r="G50" s="2"/>
      <c r="H50" s="2"/>
      <c r="I50" s="2"/>
      <c r="J50" s="2"/>
      <c r="K50" s="9"/>
    </row>
    <row r="51" spans="1:11" x14ac:dyDescent="0.2">
      <c r="A51" s="117"/>
      <c r="B51" s="118"/>
      <c r="C51" s="2"/>
      <c r="D51" s="176">
        <f>-434700</f>
        <v>-434700</v>
      </c>
      <c r="E51" s="176">
        <f>64615</f>
        <v>64615</v>
      </c>
      <c r="F51" s="176">
        <f>80184</f>
        <v>80184</v>
      </c>
      <c r="G51" s="176">
        <f>94816</f>
        <v>94816</v>
      </c>
      <c r="H51" s="176">
        <f>104625</f>
        <v>104625</v>
      </c>
      <c r="I51" s="176">
        <f>531546</f>
        <v>531546</v>
      </c>
      <c r="J51" s="2"/>
      <c r="K51" s="9"/>
    </row>
    <row r="52" spans="1:11" x14ac:dyDescent="0.2">
      <c r="A52" s="117" t="s">
        <v>58</v>
      </c>
      <c r="B52" s="118"/>
      <c r="C52" s="11">
        <v>0.2</v>
      </c>
      <c r="D52" s="7">
        <f>(1+C52)^0</f>
        <v>1</v>
      </c>
      <c r="E52" s="2">
        <f>(1+C52)^(-1)</f>
        <v>0.83333333333333337</v>
      </c>
      <c r="F52" s="2">
        <f>(1+C52)^(-2)</f>
        <v>0.69444444444444442</v>
      </c>
      <c r="G52" s="2">
        <f>(1+C52)^(-3)</f>
        <v>0.57870370370370372</v>
      </c>
      <c r="H52" s="2">
        <f>(1+C52)^(-4)</f>
        <v>0.48225308641975312</v>
      </c>
      <c r="I52" s="2">
        <f>(1+C52)^(-5)</f>
        <v>0.4018775720164609</v>
      </c>
      <c r="J52" s="2"/>
      <c r="K52" s="9"/>
    </row>
    <row r="53" spans="1:11" x14ac:dyDescent="0.2">
      <c r="A53" s="117"/>
      <c r="B53" s="118"/>
      <c r="D53" s="178">
        <f>D51*D52</f>
        <v>-434700</v>
      </c>
      <c r="E53" s="8">
        <f>E51*E52</f>
        <v>53845.833333333336</v>
      </c>
      <c r="F53" s="8">
        <f>F51*F52</f>
        <v>55683.333333333328</v>
      </c>
      <c r="G53" s="8">
        <f>G51*G52</f>
        <v>54870.370370370372</v>
      </c>
      <c r="H53" s="8">
        <f>H51*H52</f>
        <v>50455.729166666672</v>
      </c>
      <c r="I53" s="8">
        <f>I51*I52</f>
        <v>213616.41589506174</v>
      </c>
      <c r="J53" s="2"/>
      <c r="K53" s="9"/>
    </row>
    <row r="54" spans="1:11" x14ac:dyDescent="0.2">
      <c r="A54" s="117"/>
      <c r="B54" s="118"/>
      <c r="C54" s="177" t="s">
        <v>57</v>
      </c>
      <c r="D54" s="178">
        <f>SUM(D53:I53)</f>
        <v>-6228.3179012345499</v>
      </c>
      <c r="E54" s="2"/>
      <c r="F54" s="2"/>
      <c r="G54" s="2"/>
      <c r="H54" s="2"/>
      <c r="I54" s="2"/>
      <c r="J54" s="2"/>
      <c r="K54" s="9"/>
    </row>
    <row r="55" spans="1:11" x14ac:dyDescent="0.2">
      <c r="A55" s="117"/>
      <c r="B55" s="118"/>
      <c r="C55" s="2"/>
      <c r="D55" s="7"/>
      <c r="E55" s="2"/>
      <c r="F55" s="11"/>
      <c r="G55" s="2"/>
      <c r="H55" s="2"/>
      <c r="I55" s="2"/>
      <c r="J55" s="2"/>
      <c r="K55" s="9"/>
    </row>
    <row r="56" spans="1:11" x14ac:dyDescent="0.2">
      <c r="A56" s="117"/>
      <c r="B56" s="118"/>
      <c r="C56" s="2"/>
      <c r="D56" s="7"/>
      <c r="E56" s="2"/>
      <c r="F56" s="11"/>
      <c r="G56" s="2"/>
      <c r="H56" s="2"/>
      <c r="I56" s="2"/>
      <c r="J56" s="2"/>
      <c r="K56" s="9"/>
    </row>
    <row r="57" spans="1:11" x14ac:dyDescent="0.2">
      <c r="A57" s="117"/>
      <c r="B57" s="118"/>
      <c r="C57" s="2"/>
      <c r="D57" s="7"/>
      <c r="E57" s="2"/>
      <c r="F57" s="12"/>
      <c r="G57" s="2"/>
      <c r="H57" s="2"/>
      <c r="I57" s="2"/>
      <c r="J57" s="2"/>
      <c r="K57" s="9"/>
    </row>
    <row r="58" spans="1:11" x14ac:dyDescent="0.2">
      <c r="A58" s="117"/>
      <c r="B58" s="118"/>
      <c r="C58" s="2"/>
      <c r="D58" s="7"/>
      <c r="E58" s="2"/>
      <c r="F58" s="8"/>
      <c r="G58" s="2"/>
      <c r="H58" s="2"/>
      <c r="I58" s="2"/>
      <c r="J58" s="2"/>
      <c r="K58" s="9"/>
    </row>
    <row r="59" spans="1:11" x14ac:dyDescent="0.2">
      <c r="A59" s="117"/>
      <c r="B59" s="118"/>
      <c r="C59" s="2"/>
      <c r="D59" s="7"/>
      <c r="E59" s="2"/>
      <c r="F59" s="8"/>
      <c r="G59" s="2"/>
      <c r="H59" s="2"/>
      <c r="I59" s="2"/>
      <c r="J59" s="2"/>
      <c r="K59" s="9"/>
    </row>
    <row r="60" spans="1:11" x14ac:dyDescent="0.2">
      <c r="A60" s="117"/>
      <c r="B60" s="118"/>
      <c r="C60" s="2"/>
      <c r="D60" s="7"/>
      <c r="E60" s="2"/>
      <c r="F60" s="8"/>
      <c r="G60" s="2"/>
      <c r="H60" s="2"/>
      <c r="I60" s="2"/>
      <c r="J60" s="2"/>
      <c r="K60" s="9"/>
    </row>
    <row r="61" spans="1:11" x14ac:dyDescent="0.2">
      <c r="A61" s="117"/>
      <c r="B61" s="118"/>
      <c r="C61" s="2"/>
      <c r="D61" s="7"/>
      <c r="E61" s="2"/>
      <c r="F61" s="8"/>
      <c r="G61" s="2"/>
      <c r="H61" s="2"/>
      <c r="I61" s="2"/>
      <c r="J61" s="2"/>
      <c r="K61" s="9"/>
    </row>
    <row r="62" spans="1:11" ht="13.5" thickBot="1" x14ac:dyDescent="0.25">
      <c r="A62" s="117"/>
      <c r="B62" s="118"/>
      <c r="C62" s="2"/>
      <c r="D62" s="7"/>
      <c r="E62" s="2"/>
      <c r="F62" s="8"/>
      <c r="G62" s="2"/>
      <c r="H62" s="2"/>
      <c r="I62" s="2"/>
      <c r="J62" s="2"/>
      <c r="K62" s="9"/>
    </row>
    <row r="63" spans="1:11" x14ac:dyDescent="0.2">
      <c r="A63" s="117"/>
      <c r="B63" s="118"/>
      <c r="C63" s="2"/>
      <c r="D63" s="7"/>
      <c r="E63" s="2"/>
      <c r="F63" s="168" t="s">
        <v>16</v>
      </c>
      <c r="G63" s="169"/>
      <c r="H63" s="179">
        <f>C46+((D48/(D48-D54))*(C52-C46))</f>
        <v>0.19543120736203085</v>
      </c>
      <c r="I63" s="180"/>
      <c r="J63" s="180"/>
      <c r="K63" s="181"/>
    </row>
    <row r="64" spans="1:11" ht="13.5" thickBot="1" x14ac:dyDescent="0.25">
      <c r="A64" s="128"/>
      <c r="B64" s="123"/>
      <c r="C64" s="5"/>
      <c r="D64" s="6"/>
      <c r="E64" s="5"/>
      <c r="F64" s="170"/>
      <c r="G64" s="171"/>
      <c r="H64" s="182"/>
      <c r="I64" s="183"/>
      <c r="J64" s="183"/>
      <c r="K64" s="184"/>
    </row>
    <row r="65" spans="1:20" x14ac:dyDescent="0.2">
      <c r="A65" s="118"/>
      <c r="B65" s="118"/>
      <c r="C65" s="2"/>
      <c r="D65" s="7"/>
      <c r="E65" s="2"/>
      <c r="F65" s="2"/>
      <c r="G65" s="2"/>
      <c r="H65" s="2"/>
      <c r="I65" s="2"/>
      <c r="J65" s="2"/>
      <c r="K65" s="2"/>
    </row>
    <row r="69" spans="1:20" ht="14.25" x14ac:dyDescent="0.2">
      <c r="E69" s="76">
        <f ca="1">NOW()</f>
        <v>43776.486806597219</v>
      </c>
      <c r="F69" s="143">
        <f ca="1">NOW()</f>
        <v>43776.486806597219</v>
      </c>
      <c r="G69" s="143"/>
      <c r="H69" s="143"/>
      <c r="I69" s="77"/>
      <c r="J69" s="77"/>
      <c r="K69" s="78"/>
      <c r="L69" s="78"/>
      <c r="M69" s="78"/>
      <c r="N69" s="78"/>
      <c r="O69" s="78"/>
      <c r="P69" s="78"/>
      <c r="Q69" s="78"/>
      <c r="R69" s="78"/>
      <c r="S69" s="78"/>
      <c r="T69" s="78"/>
    </row>
    <row r="72" spans="1:20" x14ac:dyDescent="0.2">
      <c r="I72" s="2"/>
    </row>
    <row r="73" spans="1:20" ht="15" x14ac:dyDescent="0.25">
      <c r="A73" s="23" t="s">
        <v>13</v>
      </c>
      <c r="B73" s="60" t="str">
        <f>IF(B1&lt;=1," ",B1)</f>
        <v>Islam</v>
      </c>
      <c r="C73" s="14" t="s">
        <v>14</v>
      </c>
      <c r="D73" s="160" t="str">
        <f>IF(D1&lt;=1," ",D1)</f>
        <v>Mohammed</v>
      </c>
      <c r="E73" s="161"/>
      <c r="F73" s="25" t="s">
        <v>11</v>
      </c>
      <c r="G73" s="35">
        <f>IF(G1&lt;=1," ",G1)</f>
        <v>1950221</v>
      </c>
      <c r="H73" s="79" t="s">
        <v>12</v>
      </c>
      <c r="I73" s="27">
        <v>4</v>
      </c>
      <c r="J73" s="80"/>
      <c r="K73" s="38"/>
    </row>
    <row r="74" spans="1:20" ht="15" x14ac:dyDescent="0.25">
      <c r="A74" s="23" t="s">
        <v>13</v>
      </c>
      <c r="B74" s="60" t="str">
        <f t="shared" ref="B74:B75" si="0">IF(B2&lt;=1," ",B2)</f>
        <v>El Maroizy</v>
      </c>
      <c r="C74" s="14" t="s">
        <v>14</v>
      </c>
      <c r="D74" s="160" t="str">
        <f t="shared" ref="D74:D75" si="1">IF(D2&lt;=1," ",D2)</f>
        <v>Amine</v>
      </c>
      <c r="E74" s="161"/>
      <c r="F74" s="25" t="s">
        <v>11</v>
      </c>
      <c r="G74" s="35">
        <f t="shared" ref="G74:G75" si="2">IF(G2&lt;=1," ",G2)</f>
        <v>1735301</v>
      </c>
      <c r="H74" s="79" t="s">
        <v>12</v>
      </c>
      <c r="I74" s="27">
        <v>4</v>
      </c>
      <c r="J74" s="80"/>
      <c r="K74" s="38"/>
    </row>
    <row r="75" spans="1:20" ht="15" x14ac:dyDescent="0.25">
      <c r="A75" s="23" t="s">
        <v>13</v>
      </c>
      <c r="B75" s="60" t="str">
        <f t="shared" si="0"/>
        <v xml:space="preserve"> </v>
      </c>
      <c r="C75" s="14" t="s">
        <v>14</v>
      </c>
      <c r="D75" s="160" t="str">
        <f t="shared" si="1"/>
        <v xml:space="preserve"> </v>
      </c>
      <c r="E75" s="161"/>
      <c r="F75" s="25" t="s">
        <v>11</v>
      </c>
      <c r="G75" s="35" t="str">
        <f t="shared" si="2"/>
        <v xml:space="preserve"> </v>
      </c>
      <c r="H75" s="79" t="s">
        <v>12</v>
      </c>
      <c r="I75" s="27"/>
      <c r="J75" s="80"/>
      <c r="K75" s="38"/>
    </row>
    <row r="78" spans="1:20" ht="15.75" thickBot="1" x14ac:dyDescent="0.3">
      <c r="A78" s="36" t="s">
        <v>22</v>
      </c>
      <c r="B78" s="32"/>
      <c r="C78" s="32"/>
      <c r="D78" s="32"/>
      <c r="E78" s="32"/>
      <c r="F78" s="32"/>
      <c r="G78" s="32"/>
      <c r="H78" s="32"/>
      <c r="I78" s="32"/>
      <c r="J78" s="32"/>
    </row>
    <row r="79" spans="1:20" ht="14.1" customHeight="1" x14ac:dyDescent="0.2">
      <c r="A79" s="150" t="s">
        <v>23</v>
      </c>
      <c r="B79" s="151"/>
      <c r="C79" s="151"/>
      <c r="D79" s="151"/>
      <c r="E79" s="151"/>
      <c r="F79" s="151"/>
      <c r="G79" s="151"/>
      <c r="H79" s="152"/>
      <c r="I79" s="81"/>
      <c r="J79" s="81"/>
    </row>
    <row r="80" spans="1:20" ht="15.75" thickBot="1" x14ac:dyDescent="0.25">
      <c r="A80" s="153"/>
      <c r="B80" s="154"/>
      <c r="C80" s="154"/>
      <c r="D80" s="154"/>
      <c r="E80" s="154"/>
      <c r="F80" s="154"/>
      <c r="G80" s="154"/>
      <c r="H80" s="155"/>
      <c r="I80" s="81"/>
      <c r="J80" s="82"/>
    </row>
    <row r="81" spans="1:10" ht="15" x14ac:dyDescent="0.25">
      <c r="A81" s="37" t="s">
        <v>24</v>
      </c>
      <c r="B81" s="38"/>
      <c r="C81" s="185">
        <v>0.05</v>
      </c>
      <c r="D81" s="29"/>
      <c r="E81" s="29"/>
      <c r="F81" s="29"/>
      <c r="G81" s="29"/>
      <c r="H81" s="39"/>
      <c r="I81" s="83"/>
      <c r="J81" s="83"/>
    </row>
    <row r="82" spans="1:10" ht="15" x14ac:dyDescent="0.25">
      <c r="A82" s="37" t="s">
        <v>25</v>
      </c>
      <c r="B82" s="38"/>
      <c r="C82" s="185">
        <v>0.04</v>
      </c>
      <c r="D82" s="29"/>
      <c r="E82" s="29"/>
      <c r="F82" s="29"/>
      <c r="G82" s="29"/>
      <c r="H82" s="39"/>
      <c r="I82" s="83"/>
      <c r="J82" s="83"/>
    </row>
    <row r="83" spans="1:10" ht="14.25" x14ac:dyDescent="0.2">
      <c r="A83" s="40"/>
      <c r="B83" s="38"/>
      <c r="C83" s="29"/>
      <c r="D83" s="29"/>
      <c r="E83" s="29"/>
      <c r="F83" s="29"/>
      <c r="G83" s="29"/>
      <c r="H83" s="39"/>
      <c r="I83" s="83"/>
      <c r="J83" s="83"/>
    </row>
    <row r="84" spans="1:10" ht="15" x14ac:dyDescent="0.25">
      <c r="A84" s="37" t="s">
        <v>26</v>
      </c>
      <c r="B84" s="41"/>
      <c r="C84" s="42">
        <v>0</v>
      </c>
      <c r="D84" s="42">
        <v>1</v>
      </c>
      <c r="E84" s="42">
        <v>2</v>
      </c>
      <c r="F84" s="42">
        <v>3</v>
      </c>
      <c r="G84" s="42">
        <v>4</v>
      </c>
      <c r="H84" s="43"/>
      <c r="I84" s="84"/>
      <c r="J84" s="84"/>
    </row>
    <row r="85" spans="1:10" ht="14.25" x14ac:dyDescent="0.2">
      <c r="A85" s="40" t="s">
        <v>59</v>
      </c>
      <c r="B85" s="38"/>
      <c r="C85" s="186">
        <v>0</v>
      </c>
      <c r="D85" s="186">
        <v>420</v>
      </c>
      <c r="E85" s="186">
        <v>500</v>
      </c>
      <c r="F85" s="186">
        <v>840</v>
      </c>
      <c r="G85" s="186">
        <v>550</v>
      </c>
      <c r="H85" s="43"/>
      <c r="I85" s="84"/>
      <c r="J85" s="84"/>
    </row>
    <row r="86" spans="1:10" ht="14.25" x14ac:dyDescent="0.2">
      <c r="A86" s="40" t="s">
        <v>60</v>
      </c>
      <c r="B86" s="29"/>
      <c r="C86" s="186">
        <v>400</v>
      </c>
      <c r="D86" s="186">
        <v>160</v>
      </c>
      <c r="E86" s="186">
        <v>600</v>
      </c>
      <c r="F86" s="186">
        <v>700</v>
      </c>
      <c r="G86" s="186">
        <v>900</v>
      </c>
      <c r="H86" s="39"/>
      <c r="I86" s="83"/>
      <c r="J86" s="83"/>
    </row>
    <row r="87" spans="1:10" ht="14.25" x14ac:dyDescent="0.2">
      <c r="A87" s="40" t="s">
        <v>61</v>
      </c>
      <c r="B87" s="29"/>
      <c r="C87" s="186">
        <f>C85-C86</f>
        <v>-400</v>
      </c>
      <c r="D87" s="186">
        <f>D85-D86</f>
        <v>260</v>
      </c>
      <c r="E87" s="186">
        <f>E85-E86</f>
        <v>-100</v>
      </c>
      <c r="F87" s="186">
        <f>F85-F86</f>
        <v>140</v>
      </c>
      <c r="G87" s="186">
        <f>G85-G86</f>
        <v>-350</v>
      </c>
      <c r="H87" s="39"/>
      <c r="I87" s="83"/>
      <c r="J87" s="83"/>
    </row>
    <row r="88" spans="1:10" ht="14.25" x14ac:dyDescent="0.2">
      <c r="A88" s="40" t="s">
        <v>62</v>
      </c>
      <c r="B88" s="29"/>
      <c r="C88" s="29">
        <f>(1+C82)^(0)</f>
        <v>1</v>
      </c>
      <c r="D88" s="29">
        <f>(1+C81)^(3)</f>
        <v>1.1576250000000001</v>
      </c>
      <c r="E88" s="29">
        <f>(1+C82)^(-2)</f>
        <v>0.92455621301775137</v>
      </c>
      <c r="F88" s="29">
        <f>(1+C81)^(1)</f>
        <v>1.05</v>
      </c>
      <c r="G88" s="29">
        <f>(1+C82)^(-4)</f>
        <v>0.85480419102972571</v>
      </c>
      <c r="H88" s="39"/>
      <c r="I88" s="83"/>
      <c r="J88" s="83"/>
    </row>
    <row r="89" spans="1:10" ht="14.25" x14ac:dyDescent="0.2">
      <c r="A89" s="40" t="s">
        <v>63</v>
      </c>
      <c r="B89" s="29"/>
      <c r="C89" s="187">
        <f>-((C87*C88)+(E87*E88)+(G87*G88))</f>
        <v>791.63708816217911</v>
      </c>
      <c r="D89" s="29"/>
      <c r="E89" s="29"/>
      <c r="F89" s="29"/>
      <c r="G89" s="29"/>
      <c r="H89" s="39"/>
      <c r="I89" s="83"/>
      <c r="J89" s="83"/>
    </row>
    <row r="90" spans="1:10" ht="14.25" x14ac:dyDescent="0.2">
      <c r="A90" s="40" t="s">
        <v>64</v>
      </c>
      <c r="B90" s="29"/>
      <c r="C90" s="187">
        <f>(D87*D88)+(F87*F88)</f>
        <v>447.98250000000002</v>
      </c>
      <c r="D90" s="29"/>
      <c r="E90" s="29"/>
      <c r="F90" s="29"/>
      <c r="G90" s="29"/>
      <c r="H90" s="39"/>
      <c r="I90" s="29"/>
      <c r="J90" s="29"/>
    </row>
    <row r="91" spans="1:10" ht="14.25" x14ac:dyDescent="0.2">
      <c r="A91" s="40"/>
      <c r="B91" s="29"/>
      <c r="C91" s="29"/>
      <c r="D91" s="29"/>
      <c r="E91" s="29"/>
      <c r="F91" s="29"/>
      <c r="G91" s="29"/>
      <c r="H91" s="39"/>
      <c r="I91" s="29"/>
      <c r="J91" s="29"/>
    </row>
    <row r="92" spans="1:10" ht="14.25" x14ac:dyDescent="0.2">
      <c r="A92" s="40"/>
      <c r="B92" s="29"/>
      <c r="C92" s="29"/>
      <c r="D92" s="29"/>
      <c r="E92" s="29"/>
      <c r="F92" s="29"/>
      <c r="G92" s="29"/>
      <c r="H92" s="39"/>
      <c r="I92" s="29"/>
      <c r="J92" s="29"/>
    </row>
    <row r="93" spans="1:10" ht="14.25" x14ac:dyDescent="0.2">
      <c r="A93" s="40"/>
      <c r="B93" s="29"/>
      <c r="C93" s="29"/>
      <c r="D93" s="29"/>
      <c r="E93" s="29"/>
      <c r="F93" s="29"/>
      <c r="G93" s="29"/>
      <c r="H93" s="39"/>
      <c r="I93" s="29"/>
      <c r="J93" s="29"/>
    </row>
    <row r="94" spans="1:10" ht="14.25" x14ac:dyDescent="0.2">
      <c r="A94" s="40"/>
      <c r="B94" s="29"/>
      <c r="C94" s="29"/>
      <c r="D94" s="29"/>
      <c r="E94" s="29"/>
      <c r="F94" s="29"/>
      <c r="G94" s="29"/>
      <c r="H94" s="39"/>
      <c r="I94" s="29"/>
      <c r="J94" s="29"/>
    </row>
    <row r="95" spans="1:10" ht="14.25" x14ac:dyDescent="0.2">
      <c r="A95" s="40"/>
      <c r="B95" s="29"/>
      <c r="C95" s="29"/>
      <c r="D95" s="29"/>
      <c r="E95" s="29"/>
      <c r="F95" s="29"/>
      <c r="G95" s="29"/>
      <c r="H95" s="39"/>
      <c r="I95" s="29"/>
      <c r="J95" s="29"/>
    </row>
    <row r="96" spans="1:10" ht="14.25" x14ac:dyDescent="0.2">
      <c r="A96" s="40"/>
      <c r="B96" s="29"/>
      <c r="C96" s="29"/>
      <c r="D96" s="29"/>
      <c r="E96" s="29"/>
      <c r="F96" s="29"/>
      <c r="G96" s="29"/>
      <c r="H96" s="39"/>
      <c r="I96" s="29"/>
      <c r="J96" s="29"/>
    </row>
    <row r="97" spans="1:10" ht="15" thickBot="1" x14ac:dyDescent="0.25">
      <c r="A97" s="40"/>
      <c r="B97" s="29"/>
      <c r="C97" s="29"/>
      <c r="D97" s="44"/>
      <c r="E97" s="44"/>
      <c r="F97" s="44"/>
      <c r="G97" s="44"/>
      <c r="H97" s="45"/>
      <c r="I97" s="29"/>
      <c r="J97" s="29"/>
    </row>
    <row r="98" spans="1:10" ht="14.25" x14ac:dyDescent="0.2">
      <c r="A98" s="162" t="s">
        <v>27</v>
      </c>
      <c r="B98" s="188">
        <f>((C90/C89)^(1/4))-1</f>
        <v>-0.13267127681686186</v>
      </c>
      <c r="C98" s="189"/>
      <c r="D98" s="32"/>
      <c r="E98" s="32"/>
      <c r="F98" s="32"/>
      <c r="G98" s="32"/>
      <c r="H98" s="32"/>
      <c r="I98" s="32"/>
      <c r="J98" s="32"/>
    </row>
    <row r="99" spans="1:10" ht="15" thickBot="1" x14ac:dyDescent="0.25">
      <c r="A99" s="163"/>
      <c r="B99" s="190"/>
      <c r="C99" s="191"/>
      <c r="D99" s="32"/>
      <c r="E99" s="32"/>
      <c r="F99" s="32"/>
      <c r="G99" s="32"/>
      <c r="H99" s="32"/>
      <c r="I99" s="32"/>
      <c r="J99" s="32"/>
    </row>
    <row r="100" spans="1:10" ht="14.25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ht="14.25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 spans="1:10" ht="14.25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 spans="1:10" ht="15.75" thickBot="1" x14ac:dyDescent="0.3">
      <c r="A103" s="36" t="s">
        <v>28</v>
      </c>
      <c r="B103" s="32"/>
      <c r="C103" s="32"/>
      <c r="D103" s="32"/>
      <c r="E103" s="32"/>
      <c r="F103" s="32"/>
      <c r="G103" s="32"/>
      <c r="H103" s="32"/>
      <c r="I103" s="32"/>
      <c r="J103" s="32"/>
    </row>
    <row r="104" spans="1:10" ht="14.25" x14ac:dyDescent="0.2">
      <c r="A104" s="111" t="s">
        <v>34</v>
      </c>
      <c r="B104" s="112"/>
      <c r="C104" s="112"/>
      <c r="D104" s="112"/>
      <c r="E104" s="112"/>
      <c r="F104" s="112"/>
      <c r="G104" s="112"/>
      <c r="H104" s="113"/>
      <c r="J104" s="32"/>
    </row>
    <row r="105" spans="1:10" ht="15" thickBot="1" x14ac:dyDescent="0.25">
      <c r="A105" s="114"/>
      <c r="B105" s="115"/>
      <c r="C105" s="115"/>
      <c r="D105" s="115"/>
      <c r="E105" s="115"/>
      <c r="F105" s="115"/>
      <c r="G105" s="115"/>
      <c r="H105" s="116"/>
      <c r="J105" s="32"/>
    </row>
    <row r="106" spans="1:10" ht="15" x14ac:dyDescent="0.25">
      <c r="A106" s="37" t="s">
        <v>26</v>
      </c>
      <c r="B106" s="41"/>
      <c r="C106" s="42">
        <v>0</v>
      </c>
      <c r="D106" s="42">
        <v>1</v>
      </c>
      <c r="E106" s="42">
        <v>2</v>
      </c>
      <c r="F106" s="42">
        <v>3</v>
      </c>
      <c r="G106" s="42">
        <v>4</v>
      </c>
      <c r="H106" s="46" t="s">
        <v>29</v>
      </c>
      <c r="J106" s="32"/>
    </row>
    <row r="107" spans="1:10" ht="15" x14ac:dyDescent="0.25">
      <c r="A107" s="47" t="s">
        <v>30</v>
      </c>
      <c r="B107" s="48">
        <v>7.0000000000000007E-2</v>
      </c>
      <c r="C107" s="71"/>
      <c r="D107" s="71"/>
      <c r="E107" s="71"/>
      <c r="F107" s="2"/>
      <c r="G107" s="29"/>
      <c r="H107" s="65"/>
      <c r="J107" s="32"/>
    </row>
    <row r="108" spans="1:10" ht="14.25" x14ac:dyDescent="0.2">
      <c r="A108" s="40"/>
      <c r="B108" s="29" t="s">
        <v>65</v>
      </c>
      <c r="C108" s="72">
        <v>-21200</v>
      </c>
      <c r="D108" s="72">
        <v>6400</v>
      </c>
      <c r="E108" s="72">
        <v>8000</v>
      </c>
      <c r="F108" s="192">
        <v>6400</v>
      </c>
      <c r="G108" s="192">
        <v>8000</v>
      </c>
      <c r="H108" s="65">
        <f>IRR(C108:G108)</f>
        <v>0.13157265258362227</v>
      </c>
      <c r="J108" s="32"/>
    </row>
    <row r="109" spans="1:10" ht="14.25" x14ac:dyDescent="0.2">
      <c r="A109" s="40"/>
      <c r="B109" s="29" t="s">
        <v>66</v>
      </c>
      <c r="C109" s="72">
        <v>-21200</v>
      </c>
      <c r="D109" s="72">
        <v>8000</v>
      </c>
      <c r="E109" s="72">
        <v>6400</v>
      </c>
      <c r="F109" s="192">
        <v>8000</v>
      </c>
      <c r="G109" s="192">
        <v>6400</v>
      </c>
      <c r="H109" s="65">
        <f>IRR(C109:G109)</f>
        <v>0.13837849983203765</v>
      </c>
      <c r="J109" s="32"/>
    </row>
    <row r="110" spans="1:10" ht="14.25" x14ac:dyDescent="0.2">
      <c r="A110" s="40"/>
      <c r="B110" s="29" t="s">
        <v>68</v>
      </c>
      <c r="C110" s="72">
        <f>C109-C108</f>
        <v>0</v>
      </c>
      <c r="D110" s="72">
        <f>D109-D108</f>
        <v>1600</v>
      </c>
      <c r="E110" s="72">
        <f>E109-E108</f>
        <v>-1600</v>
      </c>
      <c r="F110" s="8">
        <f>F109-F108</f>
        <v>1600</v>
      </c>
      <c r="G110" s="193">
        <f>G109-G108</f>
        <v>-1600</v>
      </c>
      <c r="H110" s="65">
        <f>IRR(C110:G110)</f>
        <v>4.6407322429331543E-14</v>
      </c>
      <c r="J110" s="32"/>
    </row>
    <row r="111" spans="1:10" ht="14.25" x14ac:dyDescent="0.2">
      <c r="A111" s="40"/>
      <c r="B111" s="29" t="s">
        <v>69</v>
      </c>
      <c r="C111" s="72"/>
      <c r="D111" s="72"/>
      <c r="E111" s="72"/>
      <c r="F111" s="2"/>
      <c r="G111" s="29"/>
      <c r="H111" s="65"/>
      <c r="J111" s="32"/>
    </row>
    <row r="112" spans="1:10" ht="14.25" x14ac:dyDescent="0.2">
      <c r="A112" s="40"/>
      <c r="B112" s="29" t="s">
        <v>65</v>
      </c>
      <c r="C112" s="72">
        <v>-21200</v>
      </c>
      <c r="D112" s="72">
        <v>6400</v>
      </c>
      <c r="E112" s="72">
        <v>8000</v>
      </c>
      <c r="F112" s="192">
        <v>6400</v>
      </c>
      <c r="G112" s="192">
        <v>8000</v>
      </c>
      <c r="H112" s="65">
        <f>IRR(C112:G112)</f>
        <v>0.13157265258362227</v>
      </c>
      <c r="J112" s="32"/>
    </row>
    <row r="113" spans="1:10" ht="14.25" x14ac:dyDescent="0.2">
      <c r="A113" s="40"/>
      <c r="B113" s="29" t="s">
        <v>67</v>
      </c>
      <c r="C113" s="72">
        <v>-26200</v>
      </c>
      <c r="D113" s="72">
        <v>8400</v>
      </c>
      <c r="E113" s="72">
        <v>9600</v>
      </c>
      <c r="F113" s="192">
        <v>8400</v>
      </c>
      <c r="G113" s="72">
        <v>9600</v>
      </c>
      <c r="H113" s="65">
        <f>IRR(C113:G113)</f>
        <v>0.13832925422960884</v>
      </c>
      <c r="J113" s="32"/>
    </row>
    <row r="114" spans="1:10" ht="14.25" x14ac:dyDescent="0.2">
      <c r="A114" s="40"/>
      <c r="B114" s="83" t="s">
        <v>70</v>
      </c>
      <c r="C114" s="194">
        <f>C113-C112</f>
        <v>-5000</v>
      </c>
      <c r="D114" s="195">
        <f>D113-D112</f>
        <v>2000</v>
      </c>
      <c r="E114" s="194">
        <f>E113-E112</f>
        <v>1600</v>
      </c>
      <c r="F114" s="194">
        <f>F113-F112</f>
        <v>2000</v>
      </c>
      <c r="G114" s="194">
        <f>G113-G112</f>
        <v>1600</v>
      </c>
      <c r="H114" s="65">
        <f>IRR(C114:G114)</f>
        <v>0.16800278918651079</v>
      </c>
      <c r="J114" s="32"/>
    </row>
    <row r="115" spans="1:10" ht="14.25" x14ac:dyDescent="0.2">
      <c r="A115" s="40"/>
      <c r="B115" s="29"/>
      <c r="C115" s="72"/>
      <c r="D115" s="72"/>
      <c r="E115" s="72"/>
      <c r="F115" s="2"/>
      <c r="G115" s="29"/>
      <c r="H115" s="65"/>
      <c r="J115" s="32"/>
    </row>
    <row r="116" spans="1:10" ht="15" thickBot="1" x14ac:dyDescent="0.25">
      <c r="A116" s="85"/>
      <c r="B116" s="44"/>
      <c r="C116" s="73"/>
      <c r="D116" s="73"/>
      <c r="E116" s="73"/>
      <c r="F116" s="86"/>
      <c r="G116" s="44"/>
      <c r="H116" s="66"/>
      <c r="J116" s="32"/>
    </row>
    <row r="117" spans="1:10" ht="14.25" x14ac:dyDescent="0.2">
      <c r="A117" s="144" t="s">
        <v>31</v>
      </c>
      <c r="B117" s="145"/>
      <c r="C117" s="165">
        <f>H112</f>
        <v>0.13157265258362227</v>
      </c>
      <c r="D117" s="166"/>
      <c r="E117" s="32"/>
      <c r="F117" s="32"/>
      <c r="G117" s="32"/>
      <c r="H117" s="32"/>
      <c r="I117" s="32"/>
      <c r="J117" s="32"/>
    </row>
    <row r="118" spans="1:10" ht="15" thickBot="1" x14ac:dyDescent="0.25">
      <c r="A118" s="146"/>
      <c r="B118" s="147"/>
      <c r="C118" s="167"/>
      <c r="D118" s="164"/>
      <c r="E118" s="32"/>
      <c r="F118" s="32"/>
      <c r="G118" s="32"/>
      <c r="H118" s="32"/>
      <c r="I118" s="32"/>
      <c r="J118" s="32"/>
    </row>
    <row r="119" spans="1:10" ht="14.25" x14ac:dyDescent="0.2">
      <c r="A119" s="148" t="s">
        <v>32</v>
      </c>
      <c r="B119" s="149"/>
      <c r="C119" s="156" t="s">
        <v>71</v>
      </c>
      <c r="D119" s="157"/>
      <c r="E119" s="32"/>
      <c r="F119" s="32"/>
      <c r="G119" s="32"/>
      <c r="H119" s="32"/>
      <c r="I119" s="32"/>
      <c r="J119" s="32"/>
    </row>
    <row r="120" spans="1:10" ht="15" thickBot="1" x14ac:dyDescent="0.25">
      <c r="A120" s="146"/>
      <c r="B120" s="147"/>
      <c r="C120" s="158"/>
      <c r="D120" s="159"/>
      <c r="E120" s="32"/>
      <c r="F120" s="32"/>
      <c r="G120" s="32"/>
      <c r="H120" s="32"/>
      <c r="I120" s="32"/>
      <c r="J120" s="32"/>
    </row>
    <row r="121" spans="1:10" ht="14.25" x14ac:dyDescent="0.2">
      <c r="B121" s="50"/>
      <c r="C121" s="32"/>
      <c r="D121" s="32"/>
      <c r="E121" s="32"/>
      <c r="F121" s="32"/>
      <c r="G121" s="32"/>
      <c r="H121" s="51"/>
      <c r="I121" s="51"/>
      <c r="J121" s="51"/>
    </row>
    <row r="123" spans="1:10" x14ac:dyDescent="0.2">
      <c r="D123" s="3"/>
    </row>
    <row r="124" spans="1:10" x14ac:dyDescent="0.2">
      <c r="D124" s="3"/>
    </row>
    <row r="125" spans="1:10" x14ac:dyDescent="0.2">
      <c r="D125" s="3"/>
    </row>
    <row r="126" spans="1:10" x14ac:dyDescent="0.2">
      <c r="D126" s="3"/>
    </row>
    <row r="130" spans="1:1" ht="14.25" x14ac:dyDescent="0.2">
      <c r="A130" s="49" t="s">
        <v>33</v>
      </c>
    </row>
  </sheetData>
  <mergeCells count="75">
    <mergeCell ref="A117:B118"/>
    <mergeCell ref="A119:B120"/>
    <mergeCell ref="A8:K9"/>
    <mergeCell ref="C119:D120"/>
    <mergeCell ref="D73:E73"/>
    <mergeCell ref="D74:E74"/>
    <mergeCell ref="D75:E75"/>
    <mergeCell ref="A79:H80"/>
    <mergeCell ref="A98:A99"/>
    <mergeCell ref="B98:C99"/>
    <mergeCell ref="C117:D118"/>
    <mergeCell ref="F63:G64"/>
    <mergeCell ref="H63:K64"/>
    <mergeCell ref="A20:B20"/>
    <mergeCell ref="C5:K5"/>
    <mergeCell ref="C38:D3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5:B35"/>
    <mergeCell ref="A32:B32"/>
    <mergeCell ref="A36:B36"/>
    <mergeCell ref="A37:B37"/>
    <mergeCell ref="A38:B38"/>
    <mergeCell ref="A40:B40"/>
    <mergeCell ref="A49:B49"/>
    <mergeCell ref="A55:B55"/>
    <mergeCell ref="A50:B50"/>
    <mergeCell ref="A47:B47"/>
    <mergeCell ref="A48:B48"/>
    <mergeCell ref="A44:B44"/>
    <mergeCell ref="A41:K42"/>
    <mergeCell ref="A39:B39"/>
    <mergeCell ref="A43:B43"/>
    <mergeCell ref="A45:B45"/>
    <mergeCell ref="A46:B46"/>
    <mergeCell ref="D1:E1"/>
    <mergeCell ref="D2:E2"/>
    <mergeCell ref="D3:E3"/>
    <mergeCell ref="A22:C22"/>
    <mergeCell ref="A34:B34"/>
    <mergeCell ref="A21:B21"/>
    <mergeCell ref="A33:B33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04:H105"/>
    <mergeCell ref="A63:B63"/>
    <mergeCell ref="A51:B51"/>
    <mergeCell ref="A52:B52"/>
    <mergeCell ref="A53:B53"/>
    <mergeCell ref="A54:B54"/>
    <mergeCell ref="A64:B64"/>
    <mergeCell ref="A65:B65"/>
    <mergeCell ref="A60:B60"/>
    <mergeCell ref="A56:B56"/>
    <mergeCell ref="A57:B57"/>
    <mergeCell ref="A58:B58"/>
    <mergeCell ref="A59:B59"/>
    <mergeCell ref="A61:B61"/>
    <mergeCell ref="A62:B62"/>
    <mergeCell ref="F69:H69"/>
  </mergeCells>
  <phoneticPr fontId="2" type="noConversion"/>
  <pageMargins left="0.2" right="0.2" top="0.2" bottom="0.2" header="0" footer="0"/>
  <pageSetup scale="75" orientation="portrait" r:id="rId1"/>
  <headerFooter alignWithMargins="0"/>
  <rowBreaks count="1" manualBreakCount="1">
    <brk id="72" max="16383" man="1"/>
  </rowBreak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6" sqref="D26"/>
    </sheetView>
  </sheetViews>
  <sheetFormatPr baseColWidth="10" defaultRowHeight="12.75" x14ac:dyDescent="0.2"/>
  <sheetData>
    <row r="1" spans="1:1" ht="31.5" x14ac:dyDescent="0.5">
      <c r="A1" s="75" t="s">
        <v>37</v>
      </c>
    </row>
    <row r="18" spans="3:4" x14ac:dyDescent="0.2">
      <c r="C18" s="174" t="s">
        <v>54</v>
      </c>
      <c r="D18">
        <f>1-(41000/151700)^(1/14)</f>
        <v>8.9218579646105245E-2</v>
      </c>
    </row>
    <row r="20" spans="3:4" x14ac:dyDescent="0.2">
      <c r="C20" s="174" t="s">
        <v>55</v>
      </c>
      <c r="D20">
        <f>D18*151700</f>
        <v>13534.458532314165</v>
      </c>
    </row>
    <row r="26" spans="3:4" x14ac:dyDescent="0.2">
      <c r="D26">
        <f>178600-14661-D20</f>
        <v>150404.54146768583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Calcul perso</vt:lpstr>
    </vt:vector>
  </TitlesOfParts>
  <Company>Aucune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 5</dc:title>
  <dc:creator>olblai</dc:creator>
  <cp:lastModifiedBy>Mohammed Ariful Islam</cp:lastModifiedBy>
  <cp:lastPrinted>2019-11-07T16:41:34Z</cp:lastPrinted>
  <dcterms:created xsi:type="dcterms:W3CDTF">2006-11-14T14:22:35Z</dcterms:created>
  <dcterms:modified xsi:type="dcterms:W3CDTF">2019-11-07T16:43:18Z</dcterms:modified>
</cp:coreProperties>
</file>