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ens02.labos.polymtl.ca\profiles\amelmb\profiles\downloads\"/>
    </mc:Choice>
  </mc:AlternateContent>
  <bookViews>
    <workbookView xWindow="0" yWindow="0" windowWidth="28800" windowHeight="12330" tabRatio="954"/>
  </bookViews>
  <sheets>
    <sheet name="Modèle" sheetId="97" r:id="rId1"/>
    <sheet name="Calcul perso" sheetId="98" r:id="rId2"/>
  </sheets>
  <calcPr calcId="162913" iterate="1" iterateCount="1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0" i="97" l="1"/>
  <c r="D69" i="97"/>
  <c r="D71" i="97" s="1"/>
  <c r="D68" i="97"/>
  <c r="D67" i="97"/>
  <c r="K128" i="97"/>
  <c r="K126" i="97"/>
  <c r="C16" i="97"/>
  <c r="H16" i="97" s="1"/>
  <c r="H17" i="97" s="1"/>
  <c r="H18" i="97" s="1"/>
  <c r="J127" i="97"/>
  <c r="C102" i="97"/>
  <c r="H99" i="97"/>
  <c r="E50" i="97"/>
  <c r="E52" i="97" s="1"/>
  <c r="I99" i="97"/>
  <c r="E99" i="97"/>
  <c r="D99" i="97"/>
  <c r="I98" i="97"/>
  <c r="H98" i="97"/>
  <c r="G98" i="97"/>
  <c r="F98" i="97"/>
  <c r="F99" i="97" s="1"/>
  <c r="E98" i="97"/>
  <c r="G99" i="97"/>
  <c r="J51" i="97"/>
  <c r="I51" i="97"/>
  <c r="H51" i="97"/>
  <c r="G51" i="97"/>
  <c r="F51" i="97"/>
  <c r="J46" i="97"/>
  <c r="J58" i="97"/>
  <c r="J59" i="97" s="1"/>
  <c r="J57" i="97"/>
  <c r="J56" i="97"/>
  <c r="J47" i="97"/>
  <c r="J45" i="97"/>
  <c r="D59" i="97"/>
  <c r="D58" i="97"/>
  <c r="D57" i="97"/>
  <c r="D56" i="97"/>
  <c r="J26" i="97"/>
  <c r="I26" i="97"/>
  <c r="H26" i="97"/>
  <c r="G26" i="97"/>
  <c r="F26" i="97"/>
  <c r="I25" i="97"/>
  <c r="H25" i="97"/>
  <c r="G25" i="97"/>
  <c r="J25" i="97"/>
  <c r="J24" i="97"/>
  <c r="I24" i="97"/>
  <c r="H24" i="97"/>
  <c r="G24" i="97"/>
  <c r="F25" i="97"/>
  <c r="F24" i="97"/>
  <c r="E25" i="97"/>
  <c r="E24" i="97"/>
  <c r="J41" i="97"/>
  <c r="J39" i="97"/>
  <c r="J38" i="97"/>
  <c r="E32" i="97"/>
  <c r="E31" i="97"/>
  <c r="J16" i="97"/>
  <c r="J17" i="97" s="1"/>
  <c r="J18" i="97" s="1"/>
  <c r="J21" i="97" s="1"/>
  <c r="J22" i="97" s="1"/>
  <c r="I16" i="97"/>
  <c r="I17" i="97" s="1"/>
  <c r="F16" i="97"/>
  <c r="F17" i="97" s="1"/>
  <c r="F18" i="97" s="1"/>
  <c r="F21" i="97" s="1"/>
  <c r="F22" i="97" s="1"/>
  <c r="I13" i="97"/>
  <c r="H13" i="97"/>
  <c r="G13" i="97"/>
  <c r="J13" i="97"/>
  <c r="F13" i="97"/>
  <c r="J11" i="97"/>
  <c r="I11" i="97"/>
  <c r="H11" i="97"/>
  <c r="G11" i="97"/>
  <c r="K21" i="97"/>
  <c r="G16" i="97" l="1"/>
  <c r="J28" i="97"/>
  <c r="J29" i="97" s="1"/>
  <c r="J50" i="97" s="1"/>
  <c r="J52" i="97" s="1"/>
  <c r="F28" i="97"/>
  <c r="F29" i="97" s="1"/>
  <c r="F50" i="97" s="1"/>
  <c r="F52" i="97" s="1"/>
  <c r="G21" i="97"/>
  <c r="G22" i="97" s="1"/>
  <c r="I18" i="97"/>
  <c r="I21" i="97" s="1"/>
  <c r="I22" i="97" s="1"/>
  <c r="G17" i="97"/>
  <c r="G18" i="97" s="1"/>
  <c r="H21" i="97"/>
  <c r="H22" i="97" s="1"/>
  <c r="I28" i="97" l="1"/>
  <c r="I29" i="97" s="1"/>
  <c r="I50" i="97" s="1"/>
  <c r="I52" i="97" s="1"/>
  <c r="H28" i="97"/>
  <c r="H29" i="97"/>
  <c r="H50" i="97" s="1"/>
  <c r="H52" i="97" s="1"/>
  <c r="G28" i="97"/>
  <c r="G29" i="97" s="1"/>
  <c r="G50" i="97" s="1"/>
  <c r="G52" i="97" s="1"/>
  <c r="C53" i="97" l="1"/>
  <c r="E21" i="97" l="1"/>
  <c r="D21" i="97"/>
  <c r="E36" i="97"/>
  <c r="F36" i="97"/>
  <c r="G36" i="97"/>
  <c r="H36" i="97"/>
  <c r="I36" i="97"/>
  <c r="J36" i="97"/>
  <c r="K36" i="97"/>
  <c r="D36" i="97"/>
  <c r="E49" i="97"/>
  <c r="F49" i="97"/>
  <c r="G49" i="97"/>
  <c r="H49" i="97"/>
  <c r="I49" i="97"/>
  <c r="J49" i="97"/>
  <c r="K49" i="97"/>
  <c r="D49" i="97"/>
  <c r="E43" i="97"/>
  <c r="F43" i="97"/>
  <c r="G43" i="97"/>
  <c r="H43" i="97"/>
  <c r="I43" i="97"/>
  <c r="K43" i="97"/>
  <c r="D43" i="97"/>
  <c r="D136" i="97" l="1"/>
  <c r="E136" i="97" l="1"/>
</calcChain>
</file>

<file path=xl/sharedStrings.xml><?xml version="1.0" encoding="utf-8"?>
<sst xmlns="http://schemas.openxmlformats.org/spreadsheetml/2006/main" count="99" uniqueCount="75">
  <si>
    <t>Flux monétaires</t>
  </si>
  <si>
    <t>Facteur d'actualisation</t>
  </si>
  <si>
    <t>Flux monétaires actualisés</t>
  </si>
  <si>
    <t>Valeur actuelle nette</t>
  </si>
  <si>
    <t xml:space="preserve">Année </t>
  </si>
  <si>
    <t>Flux monétaires nets d'exploitation</t>
  </si>
  <si>
    <t>Flux monétaires nets après impôts</t>
  </si>
  <si>
    <t>Coûts</t>
  </si>
  <si>
    <t>Coût totaux</t>
  </si>
  <si>
    <t>Produits des ventes</t>
  </si>
  <si>
    <t>DATA</t>
  </si>
  <si>
    <t>Ventes en unité</t>
  </si>
  <si>
    <t>Écart</t>
  </si>
  <si>
    <t>Impact sur la VAN en %</t>
  </si>
  <si>
    <t>Impact fiscal de l'exploitation</t>
  </si>
  <si>
    <t xml:space="preserve">Conclusion: </t>
  </si>
  <si>
    <t>Matricule</t>
  </si>
  <si>
    <t>Gr.</t>
  </si>
  <si>
    <t>Méthodes d'analyse des projets APRÈS impôt</t>
  </si>
  <si>
    <t>Calcul des ajustements fiscaux des valeurs de récupération</t>
  </si>
  <si>
    <t>NOM :</t>
  </si>
  <si>
    <t>Prén. :</t>
  </si>
  <si>
    <t>Impôt à payer</t>
  </si>
  <si>
    <t>Partie 2 - Analyse de sensibilité - QUESTION OBLIGATOIRE</t>
  </si>
  <si>
    <t>VAN après impôt</t>
  </si>
  <si>
    <t>Calcul, questionnement et notes</t>
  </si>
  <si>
    <t>Lab 6</t>
  </si>
  <si>
    <t>Effet fiscal sur disposition d'actifs</t>
  </si>
  <si>
    <t>Valeurs de récupération</t>
  </si>
  <si>
    <t>Prix de vente unitaire ($/u)</t>
  </si>
  <si>
    <t>Investissements</t>
  </si>
  <si>
    <t>Q1)</t>
  </si>
  <si>
    <t>Q2)</t>
  </si>
  <si>
    <t>a) le coût annuel équivalent après impôt (CAÉ)</t>
  </si>
  <si>
    <t>CAÉ</t>
  </si>
  <si>
    <t>AÉ</t>
  </si>
  <si>
    <t>RC</t>
  </si>
  <si>
    <t>b) l'annuité équivalente après impôt (AÉ)</t>
  </si>
  <si>
    <t>c) le recouvrement du capital après impôt (RC) - QUESTION BONUS</t>
  </si>
  <si>
    <t>Investissements totaux</t>
  </si>
  <si>
    <t>Valeurs de récupération totales</t>
  </si>
  <si>
    <t>Effet fiscal sur disposition d'actifs total</t>
  </si>
  <si>
    <r>
      <t>Q3</t>
    </r>
    <r>
      <rPr>
        <b/>
        <sz val="10"/>
        <rFont val=")"/>
      </rPr>
      <t>)</t>
    </r>
  </si>
  <si>
    <t>Plan d'affaires</t>
  </si>
  <si>
    <t>Matières premières</t>
  </si>
  <si>
    <t>Main-d'œuvre directe</t>
  </si>
  <si>
    <t>Frais généraux</t>
  </si>
  <si>
    <t>Publicité</t>
  </si>
  <si>
    <t>Autres frais</t>
  </si>
  <si>
    <t>Terrain</t>
  </si>
  <si>
    <t>Immeuble</t>
  </si>
  <si>
    <t>Équipements</t>
  </si>
  <si>
    <t>Inventaire</t>
  </si>
  <si>
    <t>Equipements</t>
  </si>
  <si>
    <t>DPA Immeuble</t>
  </si>
  <si>
    <t>DPA Equipement</t>
  </si>
  <si>
    <t>min(P0, R)</t>
  </si>
  <si>
    <t>Récupération</t>
  </si>
  <si>
    <t>FNACC Equipements</t>
  </si>
  <si>
    <t>FNACC Immeuble</t>
  </si>
  <si>
    <t>min(P0,R)</t>
  </si>
  <si>
    <t>AI fermeture</t>
  </si>
  <si>
    <t>AI non fermeture</t>
  </si>
  <si>
    <t>VAN</t>
  </si>
  <si>
    <t>Facteur d'annuité (A/P;8%;5)</t>
  </si>
  <si>
    <t>Explication de votre méthode : On fait varier la valeur des matières premieres de + ou - 10% pour trouver la nouvelle VAN.</t>
  </si>
  <si>
    <t>On remarque que, lorsque le prix des matières premieres augmentent, la VAN diminue et, lorsque les prix des matières premieres diminuent, la VAN augmente</t>
  </si>
  <si>
    <t>1.</t>
  </si>
  <si>
    <t>2.</t>
  </si>
  <si>
    <t>3.</t>
  </si>
  <si>
    <t>CAE</t>
  </si>
  <si>
    <t>Islam</t>
  </si>
  <si>
    <t>Mohammed Ariful</t>
  </si>
  <si>
    <t>Amine</t>
  </si>
  <si>
    <t>El Maroizy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</si>
</sst>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#,##0\ &quot;$&quot;_-;[Red]#,##0\ &quot;$&quot;\-"/>
    <numFmt numFmtId="165" formatCode="_-* #,##0.00\ &quot;$&quot;_-;_-* #,##0.00\ &quot;$&quot;\-;_-* &quot;-&quot;??\ &quot;$&quot;_-;_-@_-"/>
    <numFmt numFmtId="166" formatCode="#,##0\ &quot;$&quot;_-"/>
    <numFmt numFmtId="167" formatCode="0.0000"/>
    <numFmt numFmtId="168" formatCode="_ * #,##0_)\ &quot;$&quot;_ ;_ * \(#,##0\)\ &quot;$&quot;_ ;_ * &quot;-&quot;??_)\ &quot;$&quot;_ ;_ @_ "/>
    <numFmt numFmtId="169" formatCode="h&quot; h &quot;mm;@"/>
    <numFmt numFmtId="170" formatCode="[$-F800]dddd\,\ mmmm\ dd\,\ yyyy"/>
    <numFmt numFmtId="171" formatCode="#,##0&quot; u&quot;"/>
    <numFmt numFmtId="172" formatCode="#,##0&quot; $/u&quot;"/>
  </numFmts>
  <fonts count="16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0"/>
      <name val=")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8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</cellStyleXfs>
  <cellXfs count="190">
    <xf numFmtId="0" fontId="0" fillId="0" borderId="0" xfId="0"/>
    <xf numFmtId="0" fontId="3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8" fontId="0" fillId="0" borderId="0" xfId="0" applyNumberFormat="1" applyFont="1" applyBorder="1"/>
    <xf numFmtId="0" fontId="0" fillId="0" borderId="5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168" fontId="0" fillId="0" borderId="0" xfId="0" applyNumberFormat="1" applyFont="1" applyFill="1" applyBorder="1"/>
    <xf numFmtId="0" fontId="0" fillId="0" borderId="6" xfId="0" applyFont="1" applyBorder="1"/>
    <xf numFmtId="168" fontId="0" fillId="0" borderId="0" xfId="1" applyNumberFormat="1" applyFont="1" applyFill="1" applyBorder="1" applyAlignment="1">
      <alignment horizontal="right"/>
    </xf>
    <xf numFmtId="0" fontId="6" fillId="0" borderId="0" xfId="0" applyFont="1" applyBorder="1"/>
    <xf numFmtId="10" fontId="0" fillId="0" borderId="0" xfId="0" applyNumberFormat="1" applyFont="1" applyBorder="1"/>
    <xf numFmtId="0" fontId="0" fillId="0" borderId="0" xfId="0" applyNumberFormat="1" applyFont="1" applyAlignment="1">
      <alignment horizontal="center"/>
    </xf>
    <xf numFmtId="0" fontId="3" fillId="0" borderId="11" xfId="0" applyFont="1" applyBorder="1"/>
    <xf numFmtId="168" fontId="7" fillId="0" borderId="0" xfId="0" applyNumberFormat="1" applyFont="1" applyFill="1" applyBorder="1"/>
    <xf numFmtId="168" fontId="0" fillId="0" borderId="0" xfId="0" applyNumberFormat="1" applyFont="1" applyBorder="1" applyAlignment="1">
      <alignment horizontal="right"/>
    </xf>
    <xf numFmtId="0" fontId="3" fillId="3" borderId="11" xfId="0" applyFont="1" applyFill="1" applyBorder="1" applyAlignment="1">
      <alignment horizontal="center"/>
    </xf>
    <xf numFmtId="9" fontId="0" fillId="3" borderId="14" xfId="0" applyNumberFormat="1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164" fontId="0" fillId="3" borderId="13" xfId="0" applyNumberFormat="1" applyFont="1" applyFill="1" applyBorder="1" applyAlignment="1">
      <alignment horizontal="center"/>
    </xf>
    <xf numFmtId="9" fontId="0" fillId="3" borderId="12" xfId="0" applyNumberFormat="1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166" fontId="0" fillId="3" borderId="12" xfId="0" applyNumberFormat="1" applyFont="1" applyFill="1" applyBorder="1" applyAlignment="1">
      <alignment horizontal="center"/>
    </xf>
    <xf numFmtId="10" fontId="0" fillId="3" borderId="14" xfId="0" applyNumberFormat="1" applyFont="1" applyFill="1" applyBorder="1" applyAlignment="1">
      <alignment horizontal="center"/>
    </xf>
    <xf numFmtId="49" fontId="8" fillId="0" borderId="8" xfId="0" applyNumberFormat="1" applyFont="1" applyBorder="1" applyAlignment="1"/>
    <xf numFmtId="49" fontId="9" fillId="0" borderId="8" xfId="0" applyNumberFormat="1" applyFont="1" applyBorder="1"/>
    <xf numFmtId="49" fontId="11" fillId="0" borderId="11" xfId="0" applyNumberFormat="1" applyFont="1" applyBorder="1"/>
    <xf numFmtId="0" fontId="10" fillId="0" borderId="11" xfId="0" applyFont="1" applyBorder="1"/>
    <xf numFmtId="0" fontId="8" fillId="0" borderId="11" xfId="0" applyFont="1" applyBorder="1" applyAlignment="1">
      <alignment horizontal="right"/>
    </xf>
    <xf numFmtId="49" fontId="11" fillId="0" borderId="0" xfId="0" applyNumberFormat="1" applyFont="1" applyBorder="1" applyAlignment="1"/>
    <xf numFmtId="0" fontId="10" fillId="0" borderId="0" xfId="0" applyFont="1" applyBorder="1"/>
    <xf numFmtId="49" fontId="10" fillId="0" borderId="0" xfId="0" applyNumberFormat="1" applyFont="1" applyBorder="1"/>
    <xf numFmtId="49" fontId="10" fillId="0" borderId="0" xfId="0" applyNumberFormat="1" applyFont="1" applyBorder="1" applyAlignment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center" vertical="center"/>
    </xf>
    <xf numFmtId="167" fontId="0" fillId="3" borderId="0" xfId="0" applyNumberFormat="1" applyFont="1" applyFill="1" applyBorder="1" applyAlignment="1">
      <alignment horizontal="center"/>
    </xf>
    <xf numFmtId="168" fontId="0" fillId="3" borderId="2" xfId="0" applyNumberFormat="1" applyFont="1" applyFill="1" applyBorder="1"/>
    <xf numFmtId="168" fontId="0" fillId="3" borderId="0" xfId="0" applyNumberFormat="1" applyFont="1" applyFill="1" applyBorder="1"/>
    <xf numFmtId="168" fontId="6" fillId="3" borderId="0" xfId="0" applyNumberFormat="1" applyFont="1" applyFill="1" applyBorder="1"/>
    <xf numFmtId="168" fontId="6" fillId="0" borderId="9" xfId="1" applyNumberFormat="1" applyFont="1" applyFill="1" applyBorder="1"/>
    <xf numFmtId="0" fontId="1" fillId="0" borderId="0" xfId="283"/>
    <xf numFmtId="0" fontId="12" fillId="0" borderId="0" xfId="283" applyFont="1"/>
    <xf numFmtId="169" fontId="13" fillId="0" borderId="0" xfId="0" applyNumberFormat="1" applyFont="1"/>
    <xf numFmtId="168" fontId="0" fillId="0" borderId="8" xfId="0" applyNumberFormat="1" applyFont="1" applyFill="1" applyBorder="1"/>
    <xf numFmtId="168" fontId="0" fillId="3" borderId="0" xfId="0" applyNumberFormat="1" applyFont="1" applyFill="1" applyBorder="1" applyAlignment="1">
      <alignment horizontal="center"/>
    </xf>
    <xf numFmtId="168" fontId="3" fillId="0" borderId="8" xfId="0" applyNumberFormat="1" applyFont="1" applyFill="1" applyBorder="1"/>
    <xf numFmtId="0" fontId="3" fillId="3" borderId="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171" fontId="0" fillId="3" borderId="0" xfId="0" applyNumberFormat="1" applyFont="1" applyFill="1" applyBorder="1" applyAlignment="1">
      <alignment horizontal="center"/>
    </xf>
    <xf numFmtId="171" fontId="0" fillId="3" borderId="24" xfId="0" applyNumberFormat="1" applyFont="1" applyFill="1" applyBorder="1" applyAlignment="1">
      <alignment horizontal="center"/>
    </xf>
    <xf numFmtId="172" fontId="0" fillId="3" borderId="13" xfId="1" applyNumberFormat="1" applyFont="1" applyFill="1" applyBorder="1" applyAlignment="1">
      <alignment horizontal="center"/>
    </xf>
    <xf numFmtId="172" fontId="0" fillId="3" borderId="4" xfId="1" applyNumberFormat="1" applyFont="1" applyFill="1" applyBorder="1" applyAlignment="1">
      <alignment horizontal="center"/>
    </xf>
    <xf numFmtId="172" fontId="0" fillId="3" borderId="22" xfId="1" applyNumberFormat="1" applyFont="1" applyFill="1" applyBorder="1" applyAlignment="1">
      <alignment horizontal="center"/>
    </xf>
    <xf numFmtId="168" fontId="3" fillId="0" borderId="4" xfId="1" applyNumberFormat="1" applyFont="1" applyFill="1" applyBorder="1" applyAlignment="1">
      <alignment horizontal="center"/>
    </xf>
    <xf numFmtId="168" fontId="3" fillId="0" borderId="4" xfId="1" applyNumberFormat="1" applyFont="1" applyFill="1" applyBorder="1"/>
    <xf numFmtId="168" fontId="3" fillId="0" borderId="22" xfId="1" applyNumberFormat="1" applyFont="1" applyFill="1" applyBorder="1"/>
    <xf numFmtId="168" fontId="0" fillId="0" borderId="2" xfId="1" applyNumberFormat="1" applyFont="1" applyFill="1" applyBorder="1" applyAlignment="1">
      <alignment horizontal="center"/>
    </xf>
    <xf numFmtId="168" fontId="0" fillId="0" borderId="2" xfId="1" applyNumberFormat="1" applyFont="1" applyFill="1" applyBorder="1"/>
    <xf numFmtId="168" fontId="0" fillId="0" borderId="27" xfId="1" applyNumberFormat="1" applyFont="1" applyFill="1" applyBorder="1"/>
    <xf numFmtId="168" fontId="0" fillId="0" borderId="0" xfId="1" applyNumberFormat="1" applyFont="1" applyFill="1" applyBorder="1" applyAlignment="1">
      <alignment horizontal="center"/>
    </xf>
    <xf numFmtId="168" fontId="0" fillId="0" borderId="24" xfId="1" applyNumberFormat="1" applyFont="1" applyFill="1" applyBorder="1"/>
    <xf numFmtId="168" fontId="0" fillId="0" borderId="0" xfId="1" applyNumberFormat="1" applyFont="1" applyFill="1" applyBorder="1"/>
    <xf numFmtId="168" fontId="6" fillId="0" borderId="0" xfId="1" applyNumberFormat="1" applyFont="1" applyFill="1" applyBorder="1"/>
    <xf numFmtId="168" fontId="6" fillId="0" borderId="24" xfId="1" applyNumberFormat="1" applyFont="1" applyFill="1" applyBorder="1"/>
    <xf numFmtId="9" fontId="0" fillId="3" borderId="12" xfId="2" applyFont="1" applyFill="1" applyBorder="1" applyAlignment="1">
      <alignment horizontal="center"/>
    </xf>
    <xf numFmtId="9" fontId="0" fillId="3" borderId="14" xfId="2" applyFont="1" applyFill="1" applyBorder="1" applyAlignment="1">
      <alignment horizontal="center"/>
    </xf>
    <xf numFmtId="168" fontId="0" fillId="0" borderId="24" xfId="1" applyNumberFormat="1" applyFont="1" applyFill="1" applyBorder="1" applyAlignment="1">
      <alignment horizontal="right"/>
    </xf>
    <xf numFmtId="168" fontId="3" fillId="0" borderId="2" xfId="1" applyNumberFormat="1" applyFont="1" applyFill="1" applyBorder="1" applyAlignment="1">
      <alignment horizontal="center"/>
    </xf>
    <xf numFmtId="168" fontId="3" fillId="0" borderId="27" xfId="1" applyNumberFormat="1" applyFont="1" applyFill="1" applyBorder="1" applyAlignment="1">
      <alignment horizontal="center"/>
    </xf>
    <xf numFmtId="167" fontId="0" fillId="3" borderId="24" xfId="0" applyNumberFormat="1" applyFont="1" applyFill="1" applyBorder="1" applyAlignment="1">
      <alignment horizontal="center"/>
    </xf>
    <xf numFmtId="9" fontId="0" fillId="3" borderId="29" xfId="0" applyNumberFormat="1" applyFont="1" applyFill="1" applyBorder="1" applyAlignment="1">
      <alignment horizontal="center"/>
    </xf>
    <xf numFmtId="168" fontId="3" fillId="0" borderId="19" xfId="0" applyNumberFormat="1" applyFont="1" applyFill="1" applyBorder="1" applyAlignment="1">
      <alignment horizontal="center"/>
    </xf>
    <xf numFmtId="168" fontId="3" fillId="0" borderId="19" xfId="0" applyNumberFormat="1" applyFont="1" applyFill="1" applyBorder="1"/>
    <xf numFmtId="168" fontId="3" fillId="0" borderId="20" xfId="0" applyNumberFormat="1" applyFont="1" applyFill="1" applyBorder="1"/>
    <xf numFmtId="168" fontId="0" fillId="3" borderId="27" xfId="0" applyNumberFormat="1" applyFont="1" applyFill="1" applyBorder="1"/>
    <xf numFmtId="168" fontId="0" fillId="3" borderId="24" xfId="0" applyNumberFormat="1" applyFont="1" applyFill="1" applyBorder="1"/>
    <xf numFmtId="168" fontId="6" fillId="3" borderId="24" xfId="0" applyNumberFormat="1" applyFont="1" applyFill="1" applyBorder="1"/>
    <xf numFmtId="168" fontId="6" fillId="0" borderId="28" xfId="1" applyNumberFormat="1" applyFont="1" applyFill="1" applyBorder="1"/>
    <xf numFmtId="168" fontId="7" fillId="0" borderId="24" xfId="0" applyNumberFormat="1" applyFont="1" applyFill="1" applyBorder="1"/>
    <xf numFmtId="168" fontId="0" fillId="0" borderId="24" xfId="0" applyNumberFormat="1" applyFont="1" applyFill="1" applyBorder="1"/>
    <xf numFmtId="0" fontId="6" fillId="3" borderId="1" xfId="0" applyFont="1" applyFill="1" applyBorder="1" applyAlignment="1"/>
    <xf numFmtId="0" fontId="6" fillId="3" borderId="3" xfId="0" applyFont="1" applyFill="1" applyBorder="1" applyAlignment="1"/>
    <xf numFmtId="0" fontId="0" fillId="3" borderId="3" xfId="0" applyFont="1" applyFill="1" applyBorder="1"/>
    <xf numFmtId="168" fontId="0" fillId="0" borderId="3" xfId="0" applyNumberFormat="1" applyFont="1" applyFill="1" applyBorder="1"/>
    <xf numFmtId="168" fontId="0" fillId="0" borderId="3" xfId="0" applyNumberFormat="1" applyFont="1" applyFill="1" applyBorder="1" applyAlignment="1">
      <alignment horizontal="center"/>
    </xf>
    <xf numFmtId="10" fontId="0" fillId="2" borderId="39" xfId="2" applyNumberFormat="1" applyFont="1" applyFill="1" applyBorder="1" applyAlignment="1">
      <alignment horizontal="right"/>
    </xf>
    <xf numFmtId="0" fontId="0" fillId="0" borderId="24" xfId="0" applyFont="1" applyBorder="1"/>
    <xf numFmtId="0" fontId="0" fillId="0" borderId="1" xfId="0" applyFont="1" applyBorder="1"/>
    <xf numFmtId="0" fontId="0" fillId="0" borderId="3" xfId="0" applyFont="1" applyBorder="1"/>
    <xf numFmtId="168" fontId="3" fillId="0" borderId="9" xfId="1" applyNumberFormat="1" applyFont="1" applyFill="1" applyBorder="1" applyAlignment="1">
      <alignment horizontal="right"/>
    </xf>
    <xf numFmtId="168" fontId="3" fillId="0" borderId="0" xfId="1" applyNumberFormat="1" applyFont="1" applyFill="1" applyBorder="1" applyAlignment="1">
      <alignment horizontal="center"/>
    </xf>
    <xf numFmtId="168" fontId="3" fillId="0" borderId="24" xfId="1" applyNumberFormat="1" applyFont="1" applyFill="1" applyBorder="1" applyAlignment="1">
      <alignment horizontal="center"/>
    </xf>
    <xf numFmtId="168" fontId="3" fillId="0" borderId="8" xfId="1" applyNumberFormat="1" applyFont="1" applyFill="1" applyBorder="1" applyAlignment="1">
      <alignment horizontal="right"/>
    </xf>
    <xf numFmtId="168" fontId="3" fillId="0" borderId="28" xfId="1" applyNumberFormat="1" applyFont="1" applyFill="1" applyBorder="1" applyAlignment="1">
      <alignment horizontal="right"/>
    </xf>
    <xf numFmtId="168" fontId="0" fillId="0" borderId="8" xfId="1" applyNumberFormat="1" applyFont="1" applyFill="1" applyBorder="1"/>
    <xf numFmtId="0" fontId="3" fillId="0" borderId="2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3" borderId="43" xfId="0" applyFont="1" applyFill="1" applyBorder="1" applyAlignment="1">
      <alignment horizontal="center"/>
    </xf>
    <xf numFmtId="0" fontId="0" fillId="3" borderId="33" xfId="0" applyFont="1" applyFill="1" applyBorder="1" applyAlignment="1">
      <alignment horizontal="center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168" fontId="3" fillId="2" borderId="43" xfId="0" applyNumberFormat="1" applyFont="1" applyFill="1" applyBorder="1" applyAlignment="1">
      <alignment horizontal="center" vertical="center"/>
    </xf>
    <xf numFmtId="168" fontId="3" fillId="2" borderId="33" xfId="0" applyNumberFormat="1" applyFont="1" applyFill="1" applyBorder="1" applyAlignment="1">
      <alignment horizontal="center" vertical="center"/>
    </xf>
    <xf numFmtId="0" fontId="0" fillId="3" borderId="32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7" xfId="0" applyFont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23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18" xfId="0" applyFont="1" applyBorder="1" applyAlignment="1">
      <alignment horizontal="right" vertical="center"/>
    </xf>
    <xf numFmtId="0" fontId="3" fillId="0" borderId="36" xfId="0" applyFont="1" applyBorder="1" applyAlignment="1">
      <alignment horizontal="right" vertical="center"/>
    </xf>
    <xf numFmtId="170" fontId="13" fillId="0" borderId="0" xfId="0" applyNumberFormat="1" applyFont="1" applyAlignment="1">
      <alignment horizontal="left"/>
    </xf>
    <xf numFmtId="49" fontId="10" fillId="0" borderId="8" xfId="0" applyNumberFormat="1" applyFont="1" applyBorder="1" applyAlignment="1">
      <alignment horizontal="center"/>
    </xf>
    <xf numFmtId="49" fontId="10" fillId="0" borderId="10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9" fontId="3" fillId="0" borderId="23" xfId="2" applyFont="1" applyBorder="1" applyAlignment="1">
      <alignment horizontal="center"/>
    </xf>
    <xf numFmtId="9" fontId="3" fillId="0" borderId="5" xfId="2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3" fillId="0" borderId="7" xfId="0" applyFont="1" applyBorder="1" applyAlignment="1">
      <alignment horizontal="left"/>
    </xf>
    <xf numFmtId="0" fontId="11" fillId="4" borderId="15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168" fontId="3" fillId="2" borderId="32" xfId="0" applyNumberFormat="1" applyFont="1" applyFill="1" applyBorder="1" applyAlignment="1">
      <alignment horizontal="center" vertical="center"/>
    </xf>
    <xf numFmtId="0" fontId="3" fillId="0" borderId="36" xfId="0" applyFont="1" applyBorder="1" applyAlignment="1">
      <alignment horizontal="left"/>
    </xf>
    <xf numFmtId="9" fontId="3" fillId="0" borderId="26" xfId="2" applyFont="1" applyBorder="1" applyAlignment="1">
      <alignment horizontal="left" vertical="top"/>
    </xf>
    <xf numFmtId="9" fontId="3" fillId="0" borderId="2" xfId="2" applyFont="1" applyBorder="1" applyAlignment="1">
      <alignment horizontal="left" vertical="top"/>
    </xf>
    <xf numFmtId="9" fontId="3" fillId="0" borderId="27" xfId="2" applyFont="1" applyBorder="1" applyAlignment="1">
      <alignment horizontal="left" vertical="top"/>
    </xf>
    <xf numFmtId="9" fontId="3" fillId="0" borderId="23" xfId="2" applyFont="1" applyBorder="1" applyAlignment="1">
      <alignment horizontal="left" vertical="top"/>
    </xf>
    <xf numFmtId="9" fontId="3" fillId="0" borderId="0" xfId="2" applyFont="1" applyBorder="1" applyAlignment="1">
      <alignment horizontal="left" vertical="top"/>
    </xf>
    <xf numFmtId="9" fontId="3" fillId="0" borderId="24" xfId="2" applyFont="1" applyBorder="1" applyAlignment="1">
      <alignment horizontal="left" vertical="top"/>
    </xf>
    <xf numFmtId="9" fontId="3" fillId="0" borderId="21" xfId="2" applyFont="1" applyBorder="1" applyAlignment="1">
      <alignment horizontal="left" vertical="top"/>
    </xf>
    <xf numFmtId="9" fontId="3" fillId="0" borderId="4" xfId="2" applyFont="1" applyBorder="1" applyAlignment="1">
      <alignment horizontal="left" vertical="top"/>
    </xf>
    <xf numFmtId="9" fontId="3" fillId="0" borderId="22" xfId="2" applyFont="1" applyBorder="1" applyAlignment="1">
      <alignment horizontal="left" vertical="top"/>
    </xf>
    <xf numFmtId="0" fontId="0" fillId="0" borderId="0" xfId="2" applyNumberFormat="1" applyFont="1" applyBorder="1" applyAlignment="1">
      <alignment horizontal="center" wrapText="1"/>
    </xf>
    <xf numFmtId="0" fontId="0" fillId="0" borderId="24" xfId="2" applyNumberFormat="1" applyFont="1" applyBorder="1" applyAlignment="1">
      <alignment horizontal="center" wrapText="1"/>
    </xf>
    <xf numFmtId="0" fontId="0" fillId="0" borderId="40" xfId="2" applyNumberFormat="1" applyFont="1" applyBorder="1" applyAlignment="1">
      <alignment horizontal="center" wrapText="1"/>
    </xf>
    <xf numFmtId="0" fontId="0" fillId="0" borderId="19" xfId="2" applyNumberFormat="1" applyFont="1" applyBorder="1" applyAlignment="1">
      <alignment horizontal="center" wrapText="1"/>
    </xf>
    <xf numFmtId="0" fontId="0" fillId="0" borderId="20" xfId="2" applyNumberFormat="1" applyFont="1" applyBorder="1" applyAlignment="1">
      <alignment horizont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68" fontId="0" fillId="0" borderId="0" xfId="0" applyNumberFormat="1"/>
    <xf numFmtId="168" fontId="0" fillId="0" borderId="0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7" fontId="1" fillId="3" borderId="0" xfId="0" applyNumberFormat="1" applyFont="1" applyFill="1" applyBorder="1" applyAlignment="1">
      <alignment horizontal="center"/>
    </xf>
    <xf numFmtId="0" fontId="1" fillId="0" borderId="30" xfId="0" applyFont="1" applyBorder="1" applyAlignment="1">
      <alignment horizontal="left"/>
    </xf>
    <xf numFmtId="168" fontId="3" fillId="0" borderId="32" xfId="0" applyNumberFormat="1" applyFont="1" applyFill="1" applyBorder="1" applyAlignment="1">
      <alignment horizontal="center" vertical="center"/>
    </xf>
    <xf numFmtId="168" fontId="3" fillId="0" borderId="33" xfId="0" applyNumberFormat="1" applyFont="1" applyFill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/>
    </xf>
    <xf numFmtId="0" fontId="1" fillId="0" borderId="3" xfId="2" applyNumberFormat="1" applyFont="1" applyBorder="1" applyAlignment="1">
      <alignment horizontal="center" wrapText="1"/>
    </xf>
    <xf numFmtId="49" fontId="15" fillId="0" borderId="8" xfId="0" applyNumberFormat="1" applyFont="1" applyBorder="1"/>
  </cellXfs>
  <cellStyles count="284"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Monétaire" xfId="1" builtinId="4"/>
    <cellStyle name="Normal" xfId="0" builtinId="0"/>
    <cellStyle name="Normal 2" xfId="283"/>
    <cellStyle name="Pourcentag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"/>
  <sheetViews>
    <sheetView tabSelected="1" zoomScale="80" zoomScaleNormal="80" zoomScalePageLayoutView="85" workbookViewId="0">
      <selection activeCell="E19" sqref="E19"/>
    </sheetView>
  </sheetViews>
  <sheetFormatPr baseColWidth="10" defaultColWidth="5.42578125" defaultRowHeight="12.75"/>
  <cols>
    <col min="1" max="1" width="8" style="3" customWidth="1"/>
    <col min="2" max="2" width="18.7109375" style="3" customWidth="1"/>
    <col min="3" max="3" width="7.85546875" style="3" customWidth="1"/>
    <col min="4" max="4" width="13.28515625" style="4" customWidth="1"/>
    <col min="5" max="5" width="13.140625" style="3" customWidth="1"/>
    <col min="6" max="6" width="12.140625" style="3" customWidth="1"/>
    <col min="7" max="7" width="12" style="3" customWidth="1"/>
    <col min="8" max="8" width="11.5703125" style="3" customWidth="1"/>
    <col min="9" max="10" width="12.5703125" style="3" customWidth="1"/>
    <col min="11" max="11" width="9.28515625" style="3" customWidth="1"/>
    <col min="12" max="16384" width="5.42578125" style="3"/>
  </cols>
  <sheetData>
    <row r="1" spans="1:11" ht="15">
      <c r="A1" s="30" t="s">
        <v>20</v>
      </c>
      <c r="B1" s="189" t="s">
        <v>71</v>
      </c>
      <c r="C1" s="18" t="s">
        <v>21</v>
      </c>
      <c r="D1" s="128" t="s">
        <v>72</v>
      </c>
      <c r="E1" s="129"/>
      <c r="F1" s="32" t="s">
        <v>16</v>
      </c>
      <c r="G1" s="33">
        <v>1950221</v>
      </c>
      <c r="H1" s="34" t="s">
        <v>17</v>
      </c>
      <c r="I1" s="33">
        <v>4</v>
      </c>
    </row>
    <row r="2" spans="1:11" ht="12.95" customHeight="1">
      <c r="A2" s="30" t="s">
        <v>20</v>
      </c>
      <c r="B2" s="189" t="s">
        <v>74</v>
      </c>
      <c r="C2" s="18" t="s">
        <v>21</v>
      </c>
      <c r="D2" s="128" t="s">
        <v>73</v>
      </c>
      <c r="E2" s="129"/>
      <c r="F2" s="32" t="s">
        <v>16</v>
      </c>
      <c r="G2" s="33">
        <v>1735301</v>
      </c>
      <c r="H2" s="34" t="s">
        <v>17</v>
      </c>
      <c r="I2" s="33">
        <v>4</v>
      </c>
    </row>
    <row r="3" spans="1:11" ht="12.95" customHeight="1">
      <c r="A3" s="30" t="s">
        <v>20</v>
      </c>
      <c r="B3" s="31"/>
      <c r="C3" s="18" t="s">
        <v>21</v>
      </c>
      <c r="D3" s="128"/>
      <c r="E3" s="129"/>
      <c r="F3" s="32" t="s">
        <v>16</v>
      </c>
      <c r="G3" s="33"/>
      <c r="H3" s="34" t="s">
        <v>17</v>
      </c>
      <c r="I3" s="33"/>
    </row>
    <row r="4" spans="1:11" ht="12.95" customHeight="1">
      <c r="A4" s="35"/>
      <c r="B4" s="35"/>
      <c r="C4" s="36"/>
      <c r="D4" s="37"/>
      <c r="E4" s="38"/>
      <c r="F4" s="39"/>
      <c r="G4" s="39"/>
      <c r="H4" s="39"/>
      <c r="I4" s="39"/>
      <c r="J4" s="39"/>
    </row>
    <row r="5" spans="1:11" ht="15">
      <c r="A5" s="40" t="s">
        <v>26</v>
      </c>
      <c r="B5" s="40"/>
      <c r="C5" s="140" t="s">
        <v>18</v>
      </c>
      <c r="D5" s="140"/>
      <c r="E5" s="140"/>
      <c r="F5" s="140"/>
      <c r="G5" s="140"/>
      <c r="H5" s="140"/>
      <c r="I5" s="140"/>
      <c r="J5" s="39"/>
    </row>
    <row r="6" spans="1:11" ht="15">
      <c r="A6" s="1"/>
      <c r="B6" s="40"/>
      <c r="C6" s="40"/>
      <c r="D6" s="39"/>
      <c r="E6" s="41"/>
      <c r="F6" s="39"/>
      <c r="G6" s="39"/>
      <c r="H6" s="39"/>
      <c r="I6" s="39"/>
      <c r="J6" s="39"/>
    </row>
    <row r="7" spans="1:11" ht="13.5" thickBot="1">
      <c r="A7" s="1" t="s">
        <v>31</v>
      </c>
    </row>
    <row r="8" spans="1:11" ht="12.95" customHeight="1">
      <c r="A8" s="142" t="s">
        <v>24</v>
      </c>
      <c r="B8" s="143"/>
      <c r="C8" s="143"/>
      <c r="D8" s="143"/>
      <c r="E8" s="143"/>
      <c r="F8" s="143"/>
      <c r="G8" s="143"/>
      <c r="H8" s="143"/>
      <c r="I8" s="143"/>
      <c r="J8" s="143"/>
      <c r="K8" s="144"/>
    </row>
    <row r="9" spans="1:11" ht="14.1" customHeight="1" thickBot="1">
      <c r="A9" s="145"/>
      <c r="B9" s="146"/>
      <c r="C9" s="146"/>
      <c r="D9" s="146"/>
      <c r="E9" s="146"/>
      <c r="F9" s="146"/>
      <c r="G9" s="146"/>
      <c r="H9" s="146"/>
      <c r="I9" s="146"/>
      <c r="J9" s="146"/>
      <c r="K9" s="147"/>
    </row>
    <row r="10" spans="1:11">
      <c r="A10" s="148" t="s">
        <v>4</v>
      </c>
      <c r="B10" s="149"/>
      <c r="C10" s="54" t="s">
        <v>10</v>
      </c>
      <c r="D10" s="55"/>
      <c r="E10" s="55">
        <v>2019</v>
      </c>
      <c r="F10" s="55">
        <v>2020</v>
      </c>
      <c r="G10" s="55">
        <v>2021</v>
      </c>
      <c r="H10" s="55">
        <v>2022</v>
      </c>
      <c r="I10" s="55">
        <v>2023</v>
      </c>
      <c r="J10" s="55">
        <v>2024</v>
      </c>
      <c r="K10" s="56"/>
    </row>
    <row r="11" spans="1:11">
      <c r="A11" s="118" t="s">
        <v>11</v>
      </c>
      <c r="B11" s="141"/>
      <c r="C11" s="22">
        <v>0.04</v>
      </c>
      <c r="D11" s="57"/>
      <c r="E11" s="57">
        <v>0</v>
      </c>
      <c r="F11" s="57">
        <v>200</v>
      </c>
      <c r="G11" s="57">
        <f>F11*1.04</f>
        <v>208</v>
      </c>
      <c r="H11" s="57">
        <f>G11*1.04</f>
        <v>216.32</v>
      </c>
      <c r="I11" s="57">
        <f>H11*1.04</f>
        <v>224.97280000000001</v>
      </c>
      <c r="J11" s="57">
        <f>I11*1.04</f>
        <v>233.97171200000003</v>
      </c>
      <c r="K11" s="58"/>
    </row>
    <row r="12" spans="1:11">
      <c r="A12" s="150" t="s">
        <v>29</v>
      </c>
      <c r="B12" s="151"/>
      <c r="C12" s="59"/>
      <c r="D12" s="60"/>
      <c r="E12" s="60"/>
      <c r="F12" s="60">
        <v>2080</v>
      </c>
      <c r="G12" s="60">
        <v>2080</v>
      </c>
      <c r="H12" s="60">
        <v>2080</v>
      </c>
      <c r="I12" s="60">
        <v>2080</v>
      </c>
      <c r="J12" s="60">
        <v>2080</v>
      </c>
      <c r="K12" s="61"/>
    </row>
    <row r="13" spans="1:11">
      <c r="A13" s="152" t="s">
        <v>9</v>
      </c>
      <c r="B13" s="153"/>
      <c r="C13" s="21"/>
      <c r="D13" s="62"/>
      <c r="E13" s="63"/>
      <c r="F13" s="63">
        <f>F11*F12</f>
        <v>416000</v>
      </c>
      <c r="G13" s="63">
        <f>G11*G12</f>
        <v>432640</v>
      </c>
      <c r="H13" s="63">
        <f>H11*H12</f>
        <v>449945.59999999998</v>
      </c>
      <c r="I13" s="63">
        <f>I11*I12</f>
        <v>467943.424</v>
      </c>
      <c r="J13" s="63">
        <f t="shared" ref="G13:J13" si="0">J11*J12</f>
        <v>486661.16096000007</v>
      </c>
      <c r="K13" s="64"/>
    </row>
    <row r="14" spans="1:11">
      <c r="A14" s="118" t="s">
        <v>7</v>
      </c>
      <c r="B14" s="141"/>
      <c r="C14" s="23"/>
      <c r="D14" s="65"/>
      <c r="E14" s="66"/>
      <c r="F14" s="66"/>
      <c r="G14" s="66"/>
      <c r="H14" s="66"/>
      <c r="I14" s="66"/>
      <c r="J14" s="66"/>
      <c r="K14" s="67"/>
    </row>
    <row r="15" spans="1:11">
      <c r="A15" s="104" t="s">
        <v>43</v>
      </c>
      <c r="B15" s="105"/>
      <c r="C15" s="24"/>
      <c r="D15" s="68"/>
      <c r="E15" s="68"/>
      <c r="F15" s="68">
        <v>6500</v>
      </c>
      <c r="G15" s="68">
        <v>0</v>
      </c>
      <c r="H15" s="68">
        <v>0</v>
      </c>
      <c r="I15" s="68">
        <v>0</v>
      </c>
      <c r="J15" s="68">
        <v>0</v>
      </c>
      <c r="K15" s="69"/>
    </row>
    <row r="16" spans="1:11">
      <c r="A16" s="104" t="s">
        <v>44</v>
      </c>
      <c r="B16" s="105"/>
      <c r="C16" s="187">
        <f>280</f>
        <v>280</v>
      </c>
      <c r="D16" s="68"/>
      <c r="E16" s="70"/>
      <c r="F16" s="70">
        <f>C16*F11</f>
        <v>56000</v>
      </c>
      <c r="G16" s="70">
        <f>C16*G11</f>
        <v>58240</v>
      </c>
      <c r="H16" s="70">
        <f>C16*H11</f>
        <v>60569.599999999999</v>
      </c>
      <c r="I16" s="70">
        <f>C16*I11</f>
        <v>62992.384000000005</v>
      </c>
      <c r="J16" s="70">
        <f>C16*J11</f>
        <v>65512.079360000003</v>
      </c>
      <c r="K16" s="69"/>
    </row>
    <row r="17" spans="1:11">
      <c r="A17" s="104" t="s">
        <v>45</v>
      </c>
      <c r="B17" s="105"/>
      <c r="C17" s="74">
        <v>2</v>
      </c>
      <c r="D17" s="68"/>
      <c r="E17" s="70"/>
      <c r="F17" s="70">
        <f>$C$17*F16</f>
        <v>112000</v>
      </c>
      <c r="G17" s="70">
        <f>C17*G16</f>
        <v>116480</v>
      </c>
      <c r="H17" s="70">
        <f>C17*H16</f>
        <v>121139.2</v>
      </c>
      <c r="I17" s="70">
        <f>C17*I16</f>
        <v>125984.76800000001</v>
      </c>
      <c r="J17" s="70">
        <f>C17*J16</f>
        <v>131024.15872000001</v>
      </c>
      <c r="K17" s="69"/>
    </row>
    <row r="18" spans="1:11">
      <c r="A18" s="104" t="s">
        <v>46</v>
      </c>
      <c r="B18" s="105"/>
      <c r="C18" s="74">
        <v>0.19</v>
      </c>
      <c r="D18" s="68"/>
      <c r="E18" s="70"/>
      <c r="F18" s="70">
        <f>C18*F17</f>
        <v>21280</v>
      </c>
      <c r="G18" s="70">
        <f>C18*G17</f>
        <v>22131.200000000001</v>
      </c>
      <c r="H18" s="70">
        <f>C18*H17</f>
        <v>23016.448</v>
      </c>
      <c r="I18" s="70">
        <f>C18*I17</f>
        <v>23937.105920000002</v>
      </c>
      <c r="J18" s="70">
        <f>C18*J17</f>
        <v>24894.590156800001</v>
      </c>
      <c r="K18" s="69"/>
    </row>
    <row r="19" spans="1:11">
      <c r="A19" s="104" t="s">
        <v>47</v>
      </c>
      <c r="B19" s="105"/>
      <c r="C19" s="24"/>
      <c r="D19" s="68"/>
      <c r="E19" s="70"/>
      <c r="F19" s="70">
        <v>5200</v>
      </c>
      <c r="G19" s="70">
        <v>5200</v>
      </c>
      <c r="H19" s="70">
        <v>0</v>
      </c>
      <c r="I19" s="70">
        <v>0</v>
      </c>
      <c r="J19" s="70">
        <v>0</v>
      </c>
      <c r="K19" s="69"/>
    </row>
    <row r="20" spans="1:11">
      <c r="A20" s="150" t="s">
        <v>48</v>
      </c>
      <c r="B20" s="139"/>
      <c r="C20" s="25"/>
      <c r="D20" s="68"/>
      <c r="E20" s="70"/>
      <c r="F20" s="180">
        <v>150404.541</v>
      </c>
      <c r="G20" s="180">
        <v>150404.541</v>
      </c>
      <c r="H20" s="180">
        <v>150404.541</v>
      </c>
      <c r="I20" s="180">
        <v>150404.541</v>
      </c>
      <c r="J20" s="180">
        <v>150404.541</v>
      </c>
      <c r="K20" s="69"/>
    </row>
    <row r="21" spans="1:11">
      <c r="A21" s="152" t="s">
        <v>8</v>
      </c>
      <c r="B21" s="153"/>
      <c r="C21" s="53"/>
      <c r="D21" s="101" t="str">
        <f>IF(SUM(D15:D20)&gt;0,SUM(D15:D20)," ")</f>
        <v xml:space="preserve"> </v>
      </c>
      <c r="E21" s="98" t="str">
        <f t="shared" ref="E21:K21" si="1">IF(SUM(E15:E20)&gt;0,SUM(E15:E20)," ")</f>
        <v xml:space="preserve"> </v>
      </c>
      <c r="F21" s="98">
        <f t="shared" si="1"/>
        <v>351384.54099999997</v>
      </c>
      <c r="G21" s="98">
        <f t="shared" si="1"/>
        <v>352455.74100000004</v>
      </c>
      <c r="H21" s="98">
        <f t="shared" si="1"/>
        <v>355129.78899999999</v>
      </c>
      <c r="I21" s="98">
        <f t="shared" si="1"/>
        <v>363318.79891999997</v>
      </c>
      <c r="J21" s="98">
        <f t="shared" si="1"/>
        <v>371835.3692368</v>
      </c>
      <c r="K21" s="102" t="str">
        <f t="shared" si="1"/>
        <v xml:space="preserve"> </v>
      </c>
    </row>
    <row r="22" spans="1:11">
      <c r="A22" s="152" t="s">
        <v>5</v>
      </c>
      <c r="B22" s="154"/>
      <c r="C22" s="154"/>
      <c r="D22" s="103"/>
      <c r="E22" s="71"/>
      <c r="F22" s="71">
        <f>F13-F21</f>
        <v>64615.459000000032</v>
      </c>
      <c r="G22" s="71">
        <f>G13-G21</f>
        <v>80184.258999999962</v>
      </c>
      <c r="H22" s="71">
        <f>H13-H21</f>
        <v>94815.810999999987</v>
      </c>
      <c r="I22" s="71">
        <f>I13-I21</f>
        <v>104624.62508000003</v>
      </c>
      <c r="J22" s="71">
        <f>J13-J21</f>
        <v>114825.79172320006</v>
      </c>
      <c r="K22" s="72"/>
    </row>
    <row r="23" spans="1:11">
      <c r="A23" s="118" t="s">
        <v>14</v>
      </c>
      <c r="B23" s="141"/>
      <c r="C23" s="26"/>
      <c r="D23" s="43"/>
      <c r="E23" s="43"/>
      <c r="F23" s="43"/>
      <c r="G23" s="43"/>
      <c r="H23" s="43"/>
      <c r="I23" s="43"/>
      <c r="J23" s="43"/>
      <c r="K23" s="83"/>
    </row>
    <row r="24" spans="1:11">
      <c r="A24" s="104" t="s">
        <v>54</v>
      </c>
      <c r="B24" s="130"/>
      <c r="C24" s="22">
        <v>0.1</v>
      </c>
      <c r="D24" s="51"/>
      <c r="E24" s="44">
        <f>-E32</f>
        <v>145600</v>
      </c>
      <c r="F24" s="44">
        <f>-E24*C24*0.5</f>
        <v>-7280</v>
      </c>
      <c r="G24" s="44">
        <f>-(E24+F24)*C24</f>
        <v>-13832</v>
      </c>
      <c r="H24" s="44">
        <f>-(E24+F24+G24)*C24</f>
        <v>-12448.800000000001</v>
      </c>
      <c r="I24" s="44">
        <f>-(E24+F24+G24+H24)*C24</f>
        <v>-11203.92</v>
      </c>
      <c r="J24" s="44">
        <f>-(E24+F24+G24+H24+I24)*C24</f>
        <v>-10083.528</v>
      </c>
      <c r="K24" s="84"/>
    </row>
    <row r="25" spans="1:11">
      <c r="A25" s="104" t="s">
        <v>55</v>
      </c>
      <c r="B25" s="130"/>
      <c r="C25" s="22">
        <v>0.2</v>
      </c>
      <c r="D25" s="44"/>
      <c r="E25" s="45">
        <f>-E33</f>
        <v>151700</v>
      </c>
      <c r="F25" s="45">
        <f>-E25*C25*0.5</f>
        <v>-15170</v>
      </c>
      <c r="G25" s="44">
        <f>-(E25+F25)*C25</f>
        <v>-27306</v>
      </c>
      <c r="H25" s="44">
        <f>-(E25+F25+G25)*C25</f>
        <v>-21844.800000000003</v>
      </c>
      <c r="I25" s="44">
        <f>-(E25+F25+G25+H25)*C25</f>
        <v>-17475.84</v>
      </c>
      <c r="J25" s="44">
        <f>-(E25+F25+G25+H25+I25)*C25</f>
        <v>-13980.672</v>
      </c>
      <c r="K25" s="85"/>
    </row>
    <row r="26" spans="1:11">
      <c r="A26" s="104"/>
      <c r="B26" s="130"/>
      <c r="C26" s="22"/>
      <c r="D26" s="44"/>
      <c r="E26" s="45"/>
      <c r="F26" s="45">
        <f>F24+F25</f>
        <v>-22450</v>
      </c>
      <c r="G26" s="45">
        <f>G24+G25</f>
        <v>-41138</v>
      </c>
      <c r="H26" s="45">
        <f>H24+H25</f>
        <v>-34293.600000000006</v>
      </c>
      <c r="I26" s="45">
        <f>I24+I25</f>
        <v>-28679.760000000002</v>
      </c>
      <c r="J26" s="45">
        <f>J24+J25</f>
        <v>-24064.2</v>
      </c>
      <c r="K26" s="85"/>
    </row>
    <row r="27" spans="1:11">
      <c r="A27" s="104"/>
      <c r="B27" s="130"/>
      <c r="C27" s="22"/>
      <c r="D27" s="44"/>
      <c r="E27" s="45"/>
      <c r="F27" s="45"/>
      <c r="G27" s="45"/>
      <c r="H27" s="45"/>
      <c r="I27" s="45"/>
      <c r="J27" s="45"/>
      <c r="K27" s="85"/>
    </row>
    <row r="28" spans="1:11">
      <c r="A28" s="104" t="s">
        <v>22</v>
      </c>
      <c r="B28" s="130"/>
      <c r="C28" s="22">
        <v>0.22</v>
      </c>
      <c r="D28" s="50"/>
      <c r="E28" s="46"/>
      <c r="F28" s="46">
        <f>(F22+F26)*$C$28</f>
        <v>9276.4009800000076</v>
      </c>
      <c r="G28" s="46">
        <f>(G22+G26)*$C$28</f>
        <v>8590.1769799999911</v>
      </c>
      <c r="H28" s="46">
        <f t="shared" ref="G28:J28" si="2">(H22+H26)*$C$28</f>
        <v>13314.886419999995</v>
      </c>
      <c r="I28" s="46">
        <f t="shared" si="2"/>
        <v>16707.870317600005</v>
      </c>
      <c r="J28" s="46">
        <f t="shared" si="2"/>
        <v>19967.550179104015</v>
      </c>
      <c r="K28" s="86"/>
    </row>
    <row r="29" spans="1:11">
      <c r="A29" s="152" t="s">
        <v>6</v>
      </c>
      <c r="B29" s="154"/>
      <c r="C29" s="153"/>
      <c r="D29" s="52"/>
      <c r="E29" s="19"/>
      <c r="F29" s="19">
        <f>F22-F28</f>
        <v>55339.058020000026</v>
      </c>
      <c r="G29" s="19">
        <f>G22-G28</f>
        <v>71594.082019999973</v>
      </c>
      <c r="H29" s="19">
        <f>H22-H28</f>
        <v>81500.924579999992</v>
      </c>
      <c r="I29" s="19">
        <f>I22-I28</f>
        <v>87916.754762400029</v>
      </c>
      <c r="J29" s="19">
        <f>J22-J28</f>
        <v>94858.241544096047</v>
      </c>
      <c r="K29" s="87"/>
    </row>
    <row r="30" spans="1:11">
      <c r="A30" s="118" t="s">
        <v>30</v>
      </c>
      <c r="B30" s="141"/>
      <c r="C30" s="23"/>
      <c r="D30" s="65"/>
      <c r="E30" s="66"/>
      <c r="F30" s="66"/>
      <c r="G30" s="66"/>
      <c r="H30" s="66"/>
      <c r="I30" s="66"/>
      <c r="J30" s="66"/>
      <c r="K30" s="67"/>
    </row>
    <row r="31" spans="1:11">
      <c r="A31" s="104" t="s">
        <v>49</v>
      </c>
      <c r="B31" s="105"/>
      <c r="C31" s="27"/>
      <c r="D31" s="14"/>
      <c r="E31" s="70">
        <f>-280000*0.48</f>
        <v>-134400</v>
      </c>
      <c r="F31" s="70"/>
      <c r="G31" s="70"/>
      <c r="H31" s="70"/>
      <c r="I31" s="70"/>
      <c r="J31" s="70"/>
      <c r="K31" s="69"/>
    </row>
    <row r="32" spans="1:11">
      <c r="A32" s="104" t="s">
        <v>50</v>
      </c>
      <c r="B32" s="105"/>
      <c r="C32" s="27"/>
      <c r="D32" s="14"/>
      <c r="E32" s="70">
        <f>-280000*0.52</f>
        <v>-145600</v>
      </c>
      <c r="F32" s="70"/>
      <c r="G32" s="70"/>
      <c r="H32" s="70"/>
      <c r="I32" s="70"/>
      <c r="J32" s="70"/>
      <c r="K32" s="69"/>
    </row>
    <row r="33" spans="1:11">
      <c r="A33" s="104" t="s">
        <v>51</v>
      </c>
      <c r="B33" s="105"/>
      <c r="C33" s="27"/>
      <c r="D33" s="14"/>
      <c r="E33" s="70">
        <v>-151700</v>
      </c>
      <c r="F33" s="70"/>
      <c r="G33" s="70"/>
      <c r="H33" s="70"/>
      <c r="I33" s="70"/>
      <c r="J33" s="70"/>
      <c r="K33" s="69"/>
    </row>
    <row r="34" spans="1:11">
      <c r="A34" s="104" t="s">
        <v>52</v>
      </c>
      <c r="B34" s="105"/>
      <c r="C34" s="27"/>
      <c r="D34" s="14"/>
      <c r="E34" s="70">
        <v>-3000</v>
      </c>
      <c r="F34" s="70"/>
      <c r="G34" s="70"/>
      <c r="H34" s="70"/>
      <c r="I34" s="70"/>
      <c r="J34" s="70"/>
      <c r="K34" s="69"/>
    </row>
    <row r="35" spans="1:11">
      <c r="A35" s="104"/>
      <c r="B35" s="130"/>
      <c r="C35" s="27"/>
      <c r="D35" s="14"/>
      <c r="E35" s="70"/>
      <c r="F35" s="70"/>
      <c r="G35" s="70"/>
      <c r="H35" s="70"/>
      <c r="I35" s="70"/>
      <c r="J35" s="70"/>
      <c r="K35" s="69"/>
    </row>
    <row r="36" spans="1:11">
      <c r="A36" s="152" t="s">
        <v>39</v>
      </c>
      <c r="B36" s="154"/>
      <c r="C36" s="153"/>
      <c r="D36" s="101" t="str">
        <f>IF(SUM(D30:D35)&gt;0,SUM(D30:D35)," ")</f>
        <v xml:space="preserve"> </v>
      </c>
      <c r="E36" s="98" t="str">
        <f t="shared" ref="E36:K36" si="3">IF(SUM(E30:E35)&gt;0,SUM(E30:E35)," ")</f>
        <v xml:space="preserve"> </v>
      </c>
      <c r="F36" s="98" t="str">
        <f t="shared" si="3"/>
        <v xml:space="preserve"> </v>
      </c>
      <c r="G36" s="98" t="str">
        <f t="shared" si="3"/>
        <v xml:space="preserve"> </v>
      </c>
      <c r="H36" s="98" t="str">
        <f t="shared" si="3"/>
        <v xml:space="preserve"> </v>
      </c>
      <c r="I36" s="98" t="str">
        <f t="shared" si="3"/>
        <v xml:space="preserve"> </v>
      </c>
      <c r="J36" s="98" t="str">
        <f t="shared" si="3"/>
        <v xml:space="preserve"> </v>
      </c>
      <c r="K36" s="102" t="str">
        <f t="shared" si="3"/>
        <v xml:space="preserve"> </v>
      </c>
    </row>
    <row r="37" spans="1:11">
      <c r="A37" s="118" t="s">
        <v>28</v>
      </c>
      <c r="B37" s="141"/>
      <c r="C37" s="73"/>
      <c r="D37" s="65"/>
      <c r="E37" s="66"/>
      <c r="F37" s="66"/>
      <c r="G37" s="66"/>
      <c r="H37" s="66"/>
      <c r="I37" s="66"/>
      <c r="J37" s="66"/>
      <c r="K37" s="67"/>
    </row>
    <row r="38" spans="1:11">
      <c r="A38" s="104" t="s">
        <v>49</v>
      </c>
      <c r="B38" s="105"/>
      <c r="C38" s="74">
        <v>1.8</v>
      </c>
      <c r="D38" s="68"/>
      <c r="E38" s="70"/>
      <c r="F38" s="70"/>
      <c r="G38" s="70"/>
      <c r="H38" s="70"/>
      <c r="I38" s="70"/>
      <c r="J38" s="70">
        <f>-C38*E31</f>
        <v>241920</v>
      </c>
      <c r="K38" s="69"/>
    </row>
    <row r="39" spans="1:11">
      <c r="A39" s="104" t="s">
        <v>50</v>
      </c>
      <c r="B39" s="105"/>
      <c r="C39" s="74">
        <v>0.9</v>
      </c>
      <c r="D39" s="68"/>
      <c r="E39" s="70"/>
      <c r="F39" s="70"/>
      <c r="G39" s="70"/>
      <c r="H39" s="70"/>
      <c r="I39" s="70"/>
      <c r="J39" s="70">
        <f>-C39*E32</f>
        <v>131040</v>
      </c>
      <c r="K39" s="69"/>
    </row>
    <row r="40" spans="1:11">
      <c r="A40" s="104" t="s">
        <v>53</v>
      </c>
      <c r="B40" s="105"/>
      <c r="C40" s="74"/>
      <c r="D40" s="68"/>
      <c r="E40" s="70"/>
      <c r="F40" s="70"/>
      <c r="G40" s="70"/>
      <c r="H40" s="70"/>
      <c r="I40" s="70"/>
      <c r="J40" s="70">
        <v>95073</v>
      </c>
      <c r="K40" s="69"/>
    </row>
    <row r="41" spans="1:11">
      <c r="A41" s="104" t="s">
        <v>52</v>
      </c>
      <c r="B41" s="105"/>
      <c r="C41" s="74">
        <v>0.92</v>
      </c>
      <c r="D41" s="68"/>
      <c r="E41" s="70"/>
      <c r="F41" s="70"/>
      <c r="G41" s="70"/>
      <c r="H41" s="70"/>
      <c r="I41" s="70"/>
      <c r="J41" s="70">
        <f>-E34*C41</f>
        <v>2760</v>
      </c>
      <c r="K41" s="75"/>
    </row>
    <row r="42" spans="1:11">
      <c r="A42" s="104"/>
      <c r="B42" s="130"/>
      <c r="C42" s="74"/>
      <c r="D42" s="68"/>
      <c r="E42" s="70"/>
      <c r="F42" s="70"/>
      <c r="G42" s="70"/>
      <c r="H42" s="70"/>
      <c r="I42" s="70"/>
      <c r="J42" s="70"/>
      <c r="K42" s="75"/>
    </row>
    <row r="43" spans="1:11">
      <c r="A43" s="152" t="s">
        <v>40</v>
      </c>
      <c r="B43" s="154"/>
      <c r="C43" s="153"/>
      <c r="D43" s="98" t="str">
        <f>IF(SUM(D37:D42)&gt;0,SUM(D37:D42)," ")</f>
        <v xml:space="preserve"> </v>
      </c>
      <c r="E43" s="98" t="str">
        <f t="shared" ref="E43:K43" si="4">IF(SUM(E37:E42)&gt;0,SUM(E37:E42)," ")</f>
        <v xml:space="preserve"> </v>
      </c>
      <c r="F43" s="98" t="str">
        <f t="shared" si="4"/>
        <v xml:space="preserve"> </v>
      </c>
      <c r="G43" s="98" t="str">
        <f t="shared" si="4"/>
        <v xml:space="preserve"> </v>
      </c>
      <c r="H43" s="98" t="str">
        <f t="shared" si="4"/>
        <v xml:space="preserve"> </v>
      </c>
      <c r="I43" s="98" t="str">
        <f t="shared" si="4"/>
        <v xml:space="preserve"> </v>
      </c>
      <c r="J43" s="98"/>
      <c r="K43" s="102" t="str">
        <f t="shared" si="4"/>
        <v xml:space="preserve"> </v>
      </c>
    </row>
    <row r="44" spans="1:11">
      <c r="A44" s="104" t="s">
        <v>27</v>
      </c>
      <c r="B44" s="105"/>
      <c r="C44" s="130"/>
      <c r="D44" s="93"/>
      <c r="E44" s="12"/>
      <c r="F44" s="12"/>
      <c r="G44" s="12"/>
      <c r="H44" s="12"/>
      <c r="I44" s="12"/>
      <c r="J44" s="12"/>
      <c r="K44" s="88"/>
    </row>
    <row r="45" spans="1:11">
      <c r="A45" s="104" t="s">
        <v>51</v>
      </c>
      <c r="B45" s="130"/>
      <c r="C45" s="89"/>
      <c r="D45" s="92"/>
      <c r="E45" s="12"/>
      <c r="F45" s="12"/>
      <c r="G45" s="12"/>
      <c r="H45" s="12"/>
      <c r="I45" s="12"/>
      <c r="J45" s="12">
        <f>D59</f>
        <v>-8613.0686400000013</v>
      </c>
      <c r="K45" s="88"/>
    </row>
    <row r="46" spans="1:11">
      <c r="A46" s="104" t="s">
        <v>50</v>
      </c>
      <c r="B46" s="130"/>
      <c r="C46" s="90"/>
      <c r="D46" s="92"/>
      <c r="E46" s="12"/>
      <c r="F46" s="12"/>
      <c r="G46" s="12"/>
      <c r="H46" s="12"/>
      <c r="I46" s="12"/>
      <c r="J46" s="12">
        <f>J59</f>
        <v>-6703.6747555555548</v>
      </c>
      <c r="K46" s="88"/>
    </row>
    <row r="47" spans="1:11">
      <c r="A47" s="104" t="s">
        <v>49</v>
      </c>
      <c r="B47" s="130"/>
      <c r="C47" s="91"/>
      <c r="D47" s="93"/>
      <c r="E47" s="12"/>
      <c r="F47" s="12"/>
      <c r="G47" s="12"/>
      <c r="H47" s="12"/>
      <c r="I47" s="12"/>
      <c r="J47" s="12">
        <f>-(E31+J38)*C28*0.5</f>
        <v>-11827.2</v>
      </c>
      <c r="K47" s="88"/>
    </row>
    <row r="48" spans="1:11">
      <c r="A48" s="104"/>
      <c r="B48" s="130"/>
      <c r="C48" s="91"/>
      <c r="D48" s="93"/>
      <c r="E48" s="12"/>
      <c r="F48" s="12"/>
      <c r="G48" s="12"/>
      <c r="H48" s="12"/>
      <c r="I48" s="12"/>
      <c r="J48" s="12"/>
      <c r="K48" s="88"/>
    </row>
    <row r="49" spans="1:11">
      <c r="A49" s="152" t="s">
        <v>41</v>
      </c>
      <c r="B49" s="154"/>
      <c r="C49" s="154"/>
      <c r="D49" s="101" t="str">
        <f>IF(SUM(D44:D48)&gt;0,SUM(D44:D48)," ")</f>
        <v xml:space="preserve"> </v>
      </c>
      <c r="E49" s="98" t="str">
        <f t="shared" ref="E49:K49" si="5">IF(SUM(E44:E48)&gt;0,SUM(E44:E48)," ")</f>
        <v xml:space="preserve"> </v>
      </c>
      <c r="F49" s="98" t="str">
        <f t="shared" si="5"/>
        <v xml:space="preserve"> </v>
      </c>
      <c r="G49" s="98" t="str">
        <f t="shared" si="5"/>
        <v xml:space="preserve"> </v>
      </c>
      <c r="H49" s="98" t="str">
        <f t="shared" si="5"/>
        <v xml:space="preserve"> </v>
      </c>
      <c r="I49" s="98" t="str">
        <f t="shared" si="5"/>
        <v xml:space="preserve"> </v>
      </c>
      <c r="J49" s="98" t="str">
        <f t="shared" si="5"/>
        <v xml:space="preserve"> </v>
      </c>
      <c r="K49" s="102" t="str">
        <f t="shared" si="5"/>
        <v xml:space="preserve"> </v>
      </c>
    </row>
    <row r="50" spans="1:11" ht="12" customHeight="1">
      <c r="A50" s="118" t="s">
        <v>0</v>
      </c>
      <c r="B50" s="141"/>
      <c r="C50" s="28"/>
      <c r="D50" s="99"/>
      <c r="E50" s="99">
        <f>SUM(E31:E34)</f>
        <v>-434700</v>
      </c>
      <c r="F50" s="99">
        <f>F29</f>
        <v>55339.058020000026</v>
      </c>
      <c r="G50" s="99">
        <f t="shared" ref="G50:I50" si="6">G29</f>
        <v>71594.082019999973</v>
      </c>
      <c r="H50" s="99">
        <f t="shared" si="6"/>
        <v>81500.924579999992</v>
      </c>
      <c r="I50" s="99">
        <f t="shared" si="6"/>
        <v>87916.754762400029</v>
      </c>
      <c r="J50" s="99">
        <f>J29+SUM(J38:J41)+SUM(J45:J47)</f>
        <v>538507.29814854043</v>
      </c>
      <c r="K50" s="100"/>
    </row>
    <row r="51" spans="1:11">
      <c r="A51" s="104" t="s">
        <v>1</v>
      </c>
      <c r="B51" s="130"/>
      <c r="C51" s="29">
        <v>0.08</v>
      </c>
      <c r="D51" s="42"/>
      <c r="E51" s="42">
        <v>1</v>
      </c>
      <c r="F51" s="183">
        <f>(1+$C$51)^(-1)</f>
        <v>0.92592592592592582</v>
      </c>
      <c r="G51" s="183">
        <f>(1+$C$51)^(-2)</f>
        <v>0.85733882030178321</v>
      </c>
      <c r="H51" s="183">
        <f>(1+$C$51)^(-3)</f>
        <v>0.79383224102016958</v>
      </c>
      <c r="I51" s="183">
        <f>(1+$C$51)^(-4)</f>
        <v>0.73502985279645328</v>
      </c>
      <c r="J51" s="183">
        <f>(1+$C$51)^(-5)</f>
        <v>0.68058319703375303</v>
      </c>
      <c r="K51" s="78"/>
    </row>
    <row r="52" spans="1:11" ht="13.5" thickBot="1">
      <c r="A52" s="106" t="s">
        <v>2</v>
      </c>
      <c r="B52" s="162"/>
      <c r="C52" s="79"/>
      <c r="D52" s="80"/>
      <c r="E52" s="81">
        <f>E50*E51</f>
        <v>-434700</v>
      </c>
      <c r="F52" s="81">
        <f>F50*F51</f>
        <v>51239.868537037059</v>
      </c>
      <c r="G52" s="81">
        <f>G50*G51</f>
        <v>61380.385819615884</v>
      </c>
      <c r="H52" s="81">
        <f>H50*H51</f>
        <v>64698.061604557217</v>
      </c>
      <c r="I52" s="81">
        <f>I50*I51</f>
        <v>64621.439311348775</v>
      </c>
      <c r="J52" s="81">
        <f>J50*J51</f>
        <v>366499.01859994209</v>
      </c>
      <c r="K52" s="82"/>
    </row>
    <row r="53" spans="1:11" ht="13.5" thickBot="1">
      <c r="A53" s="112" t="s">
        <v>3</v>
      </c>
      <c r="B53" s="113"/>
      <c r="C53" s="161">
        <f>SUM(E52:J52)</f>
        <v>173738.77387250104</v>
      </c>
      <c r="D53" s="115"/>
    </row>
    <row r="55" spans="1:11">
      <c r="A55" s="155" t="s">
        <v>19</v>
      </c>
      <c r="B55" s="156"/>
      <c r="C55" s="156"/>
      <c r="D55" s="156"/>
      <c r="E55" s="156"/>
      <c r="F55" s="156"/>
      <c r="G55" s="156"/>
      <c r="H55" s="156"/>
      <c r="I55" s="156"/>
      <c r="J55" s="156"/>
      <c r="K55" s="157"/>
    </row>
    <row r="56" spans="1:11">
      <c r="A56" s="117" t="s">
        <v>58</v>
      </c>
      <c r="B56" s="105"/>
      <c r="C56" s="2"/>
      <c r="D56" s="181">
        <f>E25+SUM(F25:J25)</f>
        <v>55922.687999999995</v>
      </c>
      <c r="E56" s="2"/>
      <c r="F56" s="2"/>
      <c r="G56" s="117" t="s">
        <v>59</v>
      </c>
      <c r="H56" s="105"/>
      <c r="I56" s="2"/>
      <c r="J56" s="181">
        <f>E24+SUM(F24:J24)</f>
        <v>90751.752000000008</v>
      </c>
      <c r="K56" s="9"/>
    </row>
    <row r="57" spans="1:11">
      <c r="A57" s="117" t="s">
        <v>56</v>
      </c>
      <c r="B57" s="105"/>
      <c r="C57" s="2"/>
      <c r="D57" s="181">
        <f>J40</f>
        <v>95073</v>
      </c>
      <c r="E57" s="2"/>
      <c r="F57" s="2"/>
      <c r="G57" s="117" t="s">
        <v>60</v>
      </c>
      <c r="H57" s="105"/>
      <c r="I57" s="2"/>
      <c r="J57" s="181">
        <f>E24</f>
        <v>145600</v>
      </c>
      <c r="K57" s="9"/>
    </row>
    <row r="58" spans="1:11">
      <c r="A58" s="117" t="s">
        <v>57</v>
      </c>
      <c r="B58" s="105"/>
      <c r="C58" s="2"/>
      <c r="D58" s="181">
        <f>D56-D57</f>
        <v>-39150.312000000005</v>
      </c>
      <c r="E58" s="2"/>
      <c r="F58" s="2"/>
      <c r="G58" s="105" t="s">
        <v>57</v>
      </c>
      <c r="H58" s="105"/>
      <c r="I58" s="2"/>
      <c r="J58" s="181">
        <f>J56-J57</f>
        <v>-54848.247999999992</v>
      </c>
      <c r="K58" s="9"/>
    </row>
    <row r="59" spans="1:11">
      <c r="A59" s="117" t="s">
        <v>61</v>
      </c>
      <c r="B59" s="105"/>
      <c r="C59" s="2"/>
      <c r="D59" s="181">
        <f>D58*0.22</f>
        <v>-8613.0686400000013</v>
      </c>
      <c r="E59" s="2"/>
      <c r="F59" s="2"/>
      <c r="G59" s="117" t="s">
        <v>62</v>
      </c>
      <c r="H59" s="105"/>
      <c r="I59" s="2"/>
      <c r="J59" s="181">
        <f>J58*((0.22*0.1)/(0.08+0.1))</f>
        <v>-6703.6747555555548</v>
      </c>
      <c r="K59" s="9"/>
    </row>
    <row r="60" spans="1:11">
      <c r="A60" s="182"/>
      <c r="B60" s="119"/>
      <c r="C60" s="2"/>
      <c r="D60" s="7"/>
      <c r="E60" s="2"/>
      <c r="F60" s="2"/>
      <c r="G60" s="2"/>
      <c r="H60" s="2"/>
      <c r="I60" s="2"/>
      <c r="J60" s="2"/>
      <c r="K60" s="9"/>
    </row>
    <row r="61" spans="1:11">
      <c r="E61" s="2"/>
      <c r="F61" s="15"/>
      <c r="G61" s="2"/>
      <c r="H61" s="2"/>
      <c r="I61" s="2"/>
      <c r="J61" s="2"/>
      <c r="K61" s="9"/>
    </row>
    <row r="62" spans="1:11">
      <c r="E62" s="2"/>
      <c r="F62" s="2"/>
      <c r="G62" s="2"/>
      <c r="H62" s="2"/>
      <c r="I62" s="2"/>
      <c r="J62" s="2"/>
      <c r="K62" s="9"/>
    </row>
    <row r="63" spans="1:11">
      <c r="E63" s="5"/>
      <c r="F63" s="5"/>
      <c r="G63" s="5"/>
      <c r="H63" s="5"/>
      <c r="I63" s="5"/>
      <c r="J63" s="5"/>
      <c r="K63" s="13"/>
    </row>
    <row r="65" spans="1:11" ht="13.5" thickBot="1">
      <c r="A65" s="1" t="s">
        <v>32</v>
      </c>
    </row>
    <row r="66" spans="1:11">
      <c r="A66" s="158" t="s">
        <v>33</v>
      </c>
      <c r="B66" s="159"/>
      <c r="C66" s="159"/>
      <c r="D66" s="159"/>
      <c r="E66" s="159"/>
      <c r="F66" s="159"/>
      <c r="G66" s="159"/>
      <c r="H66" s="159"/>
      <c r="I66" s="159"/>
      <c r="J66" s="159"/>
      <c r="K66" s="160"/>
    </row>
    <row r="67" spans="1:11">
      <c r="A67" s="104" t="s">
        <v>67</v>
      </c>
      <c r="B67" s="105"/>
      <c r="C67" s="96"/>
      <c r="D67" s="181">
        <f>(SUM(E31:E34)-(E32*((0.22*0.1)/(0.08+0.1))*((1+0.04)/(1+0.08)))-(E33*((0.22*0.2)/(0.08+0.2))*((1+0.04)/(1+0.08))))*0.25046</f>
        <v>-98833.489053497949</v>
      </c>
      <c r="E67" s="2"/>
      <c r="F67" s="2"/>
      <c r="G67" s="2"/>
      <c r="H67" s="2"/>
      <c r="I67" s="2"/>
      <c r="J67" s="2"/>
      <c r="K67" s="95"/>
    </row>
    <row r="68" spans="1:11">
      <c r="A68" s="104" t="s">
        <v>68</v>
      </c>
      <c r="B68" s="105"/>
      <c r="C68" s="97"/>
      <c r="D68" s="181">
        <f>(F22*F51+G22*G51+H22*H51+I22*I51+J22*J51)*(1-0.22)*0.25046</f>
        <v>70112.863153008453</v>
      </c>
      <c r="E68" s="2"/>
      <c r="F68" s="15"/>
      <c r="G68" s="2"/>
      <c r="H68" s="2"/>
      <c r="I68" s="2"/>
      <c r="J68" s="2"/>
      <c r="K68" s="95"/>
    </row>
    <row r="69" spans="1:11">
      <c r="A69" s="104" t="s">
        <v>69</v>
      </c>
      <c r="B69" s="105"/>
      <c r="C69" s="97"/>
      <c r="D69" s="181">
        <f>SUM(J45:J46)*0.17046</f>
        <v>-2610.8920792064005</v>
      </c>
      <c r="E69" s="2"/>
      <c r="F69" s="16"/>
      <c r="G69" s="2"/>
      <c r="H69" s="2"/>
      <c r="I69" s="2"/>
      <c r="J69" s="2"/>
      <c r="K69" s="95"/>
    </row>
    <row r="70" spans="1:11">
      <c r="A70" s="104">
        <v>4</v>
      </c>
      <c r="B70" s="105"/>
      <c r="C70" s="97"/>
      <c r="D70" s="181">
        <f>J47*0.17046</f>
        <v>-2016.0645120000001</v>
      </c>
      <c r="E70" s="2"/>
      <c r="F70" s="8"/>
      <c r="G70" s="2"/>
      <c r="H70" s="2"/>
      <c r="I70" s="2"/>
      <c r="J70" s="2"/>
      <c r="K70" s="95"/>
    </row>
    <row r="71" spans="1:11">
      <c r="A71" s="104" t="s">
        <v>70</v>
      </c>
      <c r="B71" s="105"/>
      <c r="C71" s="97"/>
      <c r="D71" s="181">
        <f>D67+D68-D69+D70</f>
        <v>-28125.798333283095</v>
      </c>
      <c r="E71" s="2"/>
      <c r="F71" s="8"/>
      <c r="G71" s="2"/>
      <c r="H71" s="2"/>
      <c r="I71" s="2"/>
      <c r="J71" s="2"/>
      <c r="K71" s="95"/>
    </row>
    <row r="72" spans="1:11">
      <c r="A72" s="104"/>
      <c r="B72" s="105"/>
      <c r="C72" s="97"/>
      <c r="D72" s="7"/>
      <c r="E72" s="2"/>
      <c r="F72" s="8"/>
      <c r="G72" s="2"/>
      <c r="H72" s="2"/>
      <c r="I72" s="2"/>
      <c r="J72" s="2"/>
      <c r="K72" s="95"/>
    </row>
    <row r="73" spans="1:11">
      <c r="A73" s="104"/>
      <c r="B73" s="105"/>
      <c r="C73" s="97"/>
      <c r="D73" s="7"/>
      <c r="E73" s="2"/>
      <c r="F73" s="8"/>
      <c r="G73" s="2"/>
      <c r="H73" s="2"/>
      <c r="I73" s="2"/>
      <c r="J73" s="2"/>
      <c r="K73" s="95"/>
    </row>
    <row r="74" spans="1:11">
      <c r="A74" s="104"/>
      <c r="B74" s="105"/>
      <c r="C74" s="97"/>
      <c r="D74" s="7"/>
      <c r="E74" s="2"/>
      <c r="F74" s="8"/>
      <c r="G74" s="2"/>
      <c r="H74" s="2"/>
      <c r="I74" s="2"/>
      <c r="J74" s="2"/>
      <c r="K74" s="95"/>
    </row>
    <row r="75" spans="1:11">
      <c r="A75" s="104"/>
      <c r="B75" s="105"/>
      <c r="C75" s="97"/>
      <c r="D75" s="7"/>
      <c r="E75" s="2"/>
      <c r="F75" s="8"/>
      <c r="G75" s="2"/>
      <c r="H75" s="2"/>
      <c r="I75" s="2"/>
      <c r="J75" s="2"/>
      <c r="K75" s="95"/>
    </row>
    <row r="76" spans="1:11">
      <c r="A76" s="104"/>
      <c r="B76" s="105"/>
      <c r="C76" s="97"/>
      <c r="D76" s="7"/>
      <c r="E76" s="2"/>
      <c r="F76" s="8"/>
      <c r="G76" s="2"/>
      <c r="H76" s="2"/>
      <c r="I76" s="2"/>
      <c r="J76" s="2"/>
      <c r="K76" s="95"/>
    </row>
    <row r="77" spans="1:11">
      <c r="A77" s="104"/>
      <c r="B77" s="105"/>
      <c r="C77" s="97"/>
      <c r="D77" s="7"/>
      <c r="E77" s="2"/>
      <c r="F77" s="8"/>
      <c r="G77" s="2"/>
      <c r="H77" s="2"/>
      <c r="I77" s="2"/>
      <c r="J77" s="2"/>
      <c r="K77" s="95"/>
    </row>
    <row r="78" spans="1:11">
      <c r="A78" s="104"/>
      <c r="B78" s="105"/>
      <c r="C78" s="97"/>
      <c r="D78" s="7"/>
      <c r="E78" s="2"/>
      <c r="F78" s="8"/>
      <c r="G78" s="2"/>
      <c r="H78" s="2"/>
      <c r="I78" s="2"/>
      <c r="J78" s="2"/>
      <c r="K78" s="95"/>
    </row>
    <row r="79" spans="1:11">
      <c r="A79" s="104"/>
      <c r="B79" s="105"/>
      <c r="C79" s="97"/>
      <c r="D79" s="7"/>
      <c r="E79" s="2"/>
      <c r="F79" s="8"/>
      <c r="G79" s="2"/>
      <c r="H79" s="2"/>
      <c r="I79" s="2"/>
      <c r="J79" s="2"/>
      <c r="K79" s="95"/>
    </row>
    <row r="80" spans="1:11">
      <c r="A80" s="104"/>
      <c r="B80" s="105"/>
      <c r="C80" s="97"/>
      <c r="D80" s="7"/>
      <c r="E80" s="2"/>
      <c r="F80" s="8"/>
      <c r="G80" s="2"/>
      <c r="H80" s="2"/>
      <c r="I80" s="2"/>
      <c r="J80" s="2"/>
      <c r="K80" s="95"/>
    </row>
    <row r="81" spans="1:11">
      <c r="A81" s="104"/>
      <c r="B81" s="105"/>
      <c r="C81" s="97"/>
      <c r="D81" s="7"/>
      <c r="E81" s="2"/>
      <c r="F81" s="8"/>
      <c r="G81" s="2"/>
      <c r="H81" s="2"/>
      <c r="I81" s="2"/>
      <c r="J81" s="2"/>
      <c r="K81" s="95"/>
    </row>
    <row r="82" spans="1:11">
      <c r="A82" s="104"/>
      <c r="B82" s="105"/>
      <c r="C82" s="97"/>
      <c r="D82" s="7"/>
      <c r="E82" s="2"/>
      <c r="F82" s="8"/>
      <c r="G82" s="2"/>
      <c r="H82" s="2"/>
      <c r="I82" s="2"/>
      <c r="J82" s="2"/>
      <c r="K82" s="95"/>
    </row>
    <row r="83" spans="1:11">
      <c r="A83" s="104"/>
      <c r="B83" s="105"/>
      <c r="C83" s="97"/>
      <c r="D83" s="7"/>
      <c r="E83" s="2"/>
      <c r="F83" s="8"/>
      <c r="G83" s="2"/>
      <c r="H83" s="2"/>
      <c r="I83" s="2"/>
      <c r="J83" s="2"/>
      <c r="K83" s="95"/>
    </row>
    <row r="84" spans="1:11">
      <c r="A84" s="104"/>
      <c r="B84" s="105"/>
      <c r="C84" s="97"/>
      <c r="D84" s="7"/>
      <c r="E84" s="2"/>
      <c r="F84" s="8"/>
      <c r="G84" s="2"/>
      <c r="H84" s="2"/>
      <c r="I84" s="2"/>
      <c r="J84" s="2"/>
      <c r="K84" s="95"/>
    </row>
    <row r="85" spans="1:11">
      <c r="A85" s="104"/>
      <c r="B85" s="105"/>
      <c r="C85" s="97"/>
      <c r="D85" s="7"/>
      <c r="E85" s="2"/>
      <c r="F85" s="8"/>
      <c r="G85" s="2"/>
      <c r="H85" s="2"/>
      <c r="I85" s="2"/>
      <c r="J85" s="2"/>
      <c r="K85" s="95"/>
    </row>
    <row r="86" spans="1:11">
      <c r="A86" s="104"/>
      <c r="B86" s="105"/>
      <c r="C86" s="97"/>
      <c r="D86" s="7"/>
      <c r="E86" s="2"/>
      <c r="F86" s="8"/>
      <c r="G86" s="2"/>
      <c r="H86" s="2"/>
      <c r="I86" s="2"/>
      <c r="J86" s="2"/>
      <c r="K86" s="95"/>
    </row>
    <row r="87" spans="1:11">
      <c r="A87" s="104"/>
      <c r="B87" s="105"/>
      <c r="C87" s="97"/>
      <c r="D87" s="7"/>
      <c r="E87" s="2"/>
      <c r="F87" s="8"/>
      <c r="G87" s="2"/>
      <c r="H87" s="2"/>
      <c r="I87" s="2"/>
      <c r="J87" s="2"/>
      <c r="K87" s="95"/>
    </row>
    <row r="88" spans="1:11">
      <c r="A88" s="104"/>
      <c r="B88" s="105"/>
      <c r="C88" s="97"/>
      <c r="D88" s="7"/>
      <c r="E88" s="2"/>
      <c r="F88" s="8"/>
      <c r="G88" s="2"/>
      <c r="H88" s="2"/>
      <c r="I88" s="2"/>
      <c r="J88" s="2"/>
      <c r="K88" s="95"/>
    </row>
    <row r="89" spans="1:11">
      <c r="A89" s="118" t="s">
        <v>0</v>
      </c>
      <c r="B89" s="119"/>
      <c r="C89" s="28"/>
      <c r="D89" s="76"/>
      <c r="E89" s="76"/>
      <c r="F89" s="76"/>
      <c r="G89" s="76"/>
      <c r="H89" s="76"/>
      <c r="I89" s="76"/>
      <c r="J89" s="76"/>
      <c r="K89" s="77"/>
    </row>
    <row r="90" spans="1:11">
      <c r="A90" s="104" t="s">
        <v>1</v>
      </c>
      <c r="B90" s="105"/>
      <c r="C90" s="29">
        <v>0</v>
      </c>
      <c r="D90" s="42"/>
      <c r="E90" s="42"/>
      <c r="F90" s="42"/>
      <c r="G90" s="42"/>
      <c r="H90" s="42"/>
      <c r="I90" s="42"/>
      <c r="J90" s="42"/>
      <c r="K90" s="78"/>
    </row>
    <row r="91" spans="1:11" ht="13.5" thickBot="1">
      <c r="A91" s="106" t="s">
        <v>2</v>
      </c>
      <c r="B91" s="107"/>
      <c r="C91" s="79"/>
      <c r="D91" s="80"/>
      <c r="E91" s="81"/>
      <c r="F91" s="81"/>
      <c r="G91" s="81"/>
      <c r="H91" s="81"/>
      <c r="I91" s="81"/>
      <c r="J91" s="81"/>
      <c r="K91" s="82"/>
    </row>
    <row r="92" spans="1:11" ht="13.5" thickBot="1">
      <c r="A92" s="108"/>
      <c r="B92" s="109"/>
      <c r="C92" s="116"/>
      <c r="D92" s="111"/>
    </row>
    <row r="93" spans="1:11" ht="13.5" thickBot="1">
      <c r="A93" s="108"/>
      <c r="B93" s="109"/>
      <c r="C93" s="116"/>
      <c r="D93" s="111"/>
    </row>
    <row r="94" spans="1:11" ht="13.5" thickBot="1">
      <c r="A94" s="112" t="s">
        <v>34</v>
      </c>
      <c r="B94" s="113"/>
      <c r="C94" s="161">
        <v>-28125.798333283095</v>
      </c>
      <c r="D94" s="115"/>
    </row>
    <row r="95" spans="1:11" ht="13.5" thickBot="1"/>
    <row r="96" spans="1:11">
      <c r="A96" s="158" t="s">
        <v>37</v>
      </c>
      <c r="B96" s="160"/>
      <c r="C96" s="159"/>
      <c r="D96" s="159"/>
      <c r="E96" s="159"/>
      <c r="F96" s="159"/>
      <c r="G96" s="159"/>
      <c r="H96" s="159"/>
      <c r="I96" s="159"/>
      <c r="J96" s="159"/>
      <c r="K96" s="160"/>
    </row>
    <row r="97" spans="1:11">
      <c r="A97" s="118" t="s">
        <v>0</v>
      </c>
      <c r="B97" s="119"/>
      <c r="C97" s="28"/>
      <c r="D97" s="99">
        <v>-434700</v>
      </c>
      <c r="E97" s="99">
        <v>55339</v>
      </c>
      <c r="F97" s="99">
        <v>71594</v>
      </c>
      <c r="G97" s="99">
        <v>81501</v>
      </c>
      <c r="H97" s="99">
        <v>87917</v>
      </c>
      <c r="I97" s="99">
        <v>538507</v>
      </c>
      <c r="J97" s="76"/>
      <c r="K97" s="77"/>
    </row>
    <row r="98" spans="1:11">
      <c r="A98" s="104" t="s">
        <v>1</v>
      </c>
      <c r="B98" s="105"/>
      <c r="C98" s="29">
        <v>0.08</v>
      </c>
      <c r="D98" s="42">
        <v>1</v>
      </c>
      <c r="E98" s="183">
        <f>(1+$C$51)^(-1)</f>
        <v>0.92592592592592582</v>
      </c>
      <c r="F98" s="183">
        <f>(1+$C$51)^(-2)</f>
        <v>0.85733882030178321</v>
      </c>
      <c r="G98" s="183">
        <f>(1+$C$51)^(-3)</f>
        <v>0.79383224102016958</v>
      </c>
      <c r="H98" s="183">
        <f>(1+$C$51)^(-4)</f>
        <v>0.73502985279645328</v>
      </c>
      <c r="I98" s="183">
        <f>(1+$C$51)^(-5)</f>
        <v>0.68058319703375303</v>
      </c>
      <c r="J98" s="42"/>
      <c r="K98" s="78"/>
    </row>
    <row r="99" spans="1:11" ht="13.5" thickBot="1">
      <c r="A99" s="106" t="s">
        <v>2</v>
      </c>
      <c r="B99" s="107"/>
      <c r="C99" s="79"/>
      <c r="D99" s="81">
        <f>D97*D98</f>
        <v>-434700</v>
      </c>
      <c r="E99" s="81">
        <f>E97*E98</f>
        <v>51239.81481481481</v>
      </c>
      <c r="F99" s="81">
        <f>F97*F98</f>
        <v>61380.315500685865</v>
      </c>
      <c r="G99" s="81">
        <f>G97*G98</f>
        <v>64698.12147538484</v>
      </c>
      <c r="H99" s="81">
        <f>64621</f>
        <v>64621</v>
      </c>
      <c r="I99" s="81">
        <f>I97*I98</f>
        <v>366498.81568505522</v>
      </c>
      <c r="J99" s="81"/>
      <c r="K99" s="82"/>
    </row>
    <row r="100" spans="1:11" ht="13.5" thickBot="1">
      <c r="A100" s="184" t="s">
        <v>63</v>
      </c>
      <c r="B100" s="109"/>
      <c r="C100" s="185">
        <v>173739</v>
      </c>
      <c r="D100" s="186"/>
    </row>
    <row r="101" spans="1:11" ht="13.5" thickBot="1">
      <c r="A101" s="184" t="s">
        <v>64</v>
      </c>
      <c r="B101" s="109"/>
      <c r="C101" s="116">
        <v>0.25046000000000002</v>
      </c>
      <c r="D101" s="111"/>
    </row>
    <row r="102" spans="1:11" ht="13.5" thickBot="1">
      <c r="A102" s="112" t="s">
        <v>35</v>
      </c>
      <c r="B102" s="113"/>
      <c r="C102" s="114">
        <f>C100*C101</f>
        <v>43514.66994</v>
      </c>
      <c r="D102" s="115"/>
    </row>
    <row r="103" spans="1:11" ht="13.5" thickBot="1"/>
    <row r="104" spans="1:11">
      <c r="A104" s="158" t="s">
        <v>38</v>
      </c>
      <c r="B104" s="159"/>
      <c r="C104" s="159"/>
      <c r="D104" s="159"/>
      <c r="E104" s="159"/>
      <c r="F104" s="159"/>
      <c r="G104" s="159"/>
      <c r="H104" s="159"/>
      <c r="I104" s="159"/>
      <c r="J104" s="159"/>
      <c r="K104" s="160"/>
    </row>
    <row r="105" spans="1:11">
      <c r="A105" s="104"/>
      <c r="B105" s="105"/>
      <c r="C105" s="96"/>
      <c r="D105" s="7"/>
      <c r="E105" s="2"/>
      <c r="F105" s="2"/>
      <c r="G105" s="2"/>
      <c r="H105" s="2"/>
      <c r="I105" s="2"/>
      <c r="J105" s="2"/>
      <c r="K105" s="95"/>
    </row>
    <row r="106" spans="1:11">
      <c r="A106" s="104"/>
      <c r="B106" s="105"/>
      <c r="C106" s="97"/>
      <c r="D106" s="7"/>
      <c r="E106" s="2"/>
      <c r="F106" s="2"/>
      <c r="G106" s="2"/>
      <c r="H106" s="2"/>
      <c r="I106" s="2"/>
      <c r="J106" s="2"/>
      <c r="K106" s="95"/>
    </row>
    <row r="107" spans="1:11">
      <c r="A107" s="104"/>
      <c r="B107" s="105"/>
      <c r="C107" s="97"/>
      <c r="D107" s="7"/>
      <c r="E107" s="2"/>
      <c r="F107" s="2"/>
      <c r="G107" s="2"/>
      <c r="H107" s="2"/>
      <c r="I107" s="2"/>
      <c r="J107" s="2"/>
      <c r="K107" s="95"/>
    </row>
    <row r="108" spans="1:11">
      <c r="A108" s="104"/>
      <c r="B108" s="105"/>
      <c r="C108" s="97"/>
      <c r="D108" s="7"/>
      <c r="E108" s="2"/>
      <c r="F108" s="2"/>
      <c r="G108" s="2"/>
      <c r="H108" s="2"/>
      <c r="I108" s="2"/>
      <c r="J108" s="2"/>
      <c r="K108" s="95"/>
    </row>
    <row r="109" spans="1:11">
      <c r="A109" s="104"/>
      <c r="B109" s="105"/>
      <c r="C109" s="97"/>
      <c r="D109" s="7"/>
      <c r="E109" s="2"/>
      <c r="F109" s="2"/>
      <c r="G109" s="2"/>
      <c r="H109" s="2"/>
      <c r="I109" s="2"/>
      <c r="J109" s="2"/>
      <c r="K109" s="95"/>
    </row>
    <row r="110" spans="1:11">
      <c r="A110" s="104"/>
      <c r="B110" s="105"/>
      <c r="C110" s="97"/>
      <c r="D110" s="7"/>
      <c r="E110" s="2"/>
      <c r="F110" s="15"/>
      <c r="G110" s="2"/>
      <c r="H110" s="2"/>
      <c r="I110" s="2"/>
      <c r="J110" s="2"/>
      <c r="K110" s="95"/>
    </row>
    <row r="111" spans="1:11">
      <c r="A111" s="104"/>
      <c r="B111" s="105"/>
      <c r="C111" s="97"/>
      <c r="D111" s="7"/>
      <c r="E111" s="2"/>
      <c r="F111" s="16"/>
      <c r="G111" s="2"/>
      <c r="H111" s="2"/>
      <c r="I111" s="2"/>
      <c r="J111" s="2"/>
      <c r="K111" s="95"/>
    </row>
    <row r="112" spans="1:11">
      <c r="A112" s="104"/>
      <c r="B112" s="105"/>
      <c r="C112" s="97"/>
      <c r="D112" s="7"/>
      <c r="E112" s="2"/>
      <c r="F112" s="8"/>
      <c r="G112" s="2"/>
      <c r="H112" s="2"/>
      <c r="I112" s="2"/>
      <c r="J112" s="2"/>
      <c r="K112" s="95"/>
    </row>
    <row r="113" spans="1:11">
      <c r="A113" s="104"/>
      <c r="B113" s="105"/>
      <c r="C113" s="97"/>
      <c r="D113" s="7"/>
      <c r="E113" s="2"/>
      <c r="F113" s="8"/>
      <c r="G113" s="2"/>
      <c r="H113" s="2"/>
      <c r="I113" s="2"/>
      <c r="J113" s="2"/>
      <c r="K113" s="95"/>
    </row>
    <row r="114" spans="1:11">
      <c r="A114" s="118" t="s">
        <v>0</v>
      </c>
      <c r="B114" s="119"/>
      <c r="C114" s="28"/>
      <c r="D114" s="76"/>
      <c r="E114" s="76"/>
      <c r="F114" s="76"/>
      <c r="G114" s="76"/>
      <c r="H114" s="76"/>
      <c r="I114" s="76"/>
      <c r="J114" s="76"/>
      <c r="K114" s="77"/>
    </row>
    <row r="115" spans="1:11">
      <c r="A115" s="104" t="s">
        <v>1</v>
      </c>
      <c r="B115" s="105"/>
      <c r="C115" s="29">
        <v>0</v>
      </c>
      <c r="D115" s="42"/>
      <c r="E115" s="42"/>
      <c r="F115" s="42"/>
      <c r="G115" s="42"/>
      <c r="H115" s="42"/>
      <c r="I115" s="42"/>
      <c r="J115" s="42"/>
      <c r="K115" s="78"/>
    </row>
    <row r="116" spans="1:11" ht="13.5" thickBot="1">
      <c r="A116" s="106" t="s">
        <v>2</v>
      </c>
      <c r="B116" s="107"/>
      <c r="C116" s="79"/>
      <c r="D116" s="80"/>
      <c r="E116" s="81"/>
      <c r="F116" s="81"/>
      <c r="G116" s="81"/>
      <c r="H116" s="81"/>
      <c r="I116" s="81"/>
      <c r="J116" s="81"/>
      <c r="K116" s="82"/>
    </row>
    <row r="117" spans="1:11" ht="13.5" thickBot="1">
      <c r="A117" s="108"/>
      <c r="B117" s="109"/>
      <c r="C117" s="110"/>
      <c r="D117" s="111"/>
    </row>
    <row r="118" spans="1:11" ht="13.5" thickBot="1">
      <c r="A118" s="108"/>
      <c r="B118" s="109"/>
      <c r="C118" s="116"/>
      <c r="D118" s="111"/>
    </row>
    <row r="119" spans="1:11" ht="13.5" thickBot="1">
      <c r="A119" s="112" t="s">
        <v>36</v>
      </c>
      <c r="B119" s="113"/>
      <c r="C119" s="114"/>
      <c r="D119" s="115"/>
    </row>
    <row r="121" spans="1:11" ht="13.5" thickBot="1">
      <c r="A121" s="1" t="s">
        <v>42</v>
      </c>
    </row>
    <row r="122" spans="1:11">
      <c r="A122" s="177" t="s">
        <v>23</v>
      </c>
      <c r="B122" s="178"/>
      <c r="C122" s="178"/>
      <c r="D122" s="178"/>
      <c r="E122" s="178"/>
      <c r="F122" s="178"/>
      <c r="G122" s="178"/>
      <c r="H122" s="178"/>
      <c r="I122" s="178"/>
      <c r="J122" s="178"/>
      <c r="K122" s="179"/>
    </row>
    <row r="123" spans="1:11">
      <c r="A123" s="133" t="s">
        <v>12</v>
      </c>
      <c r="B123" s="134"/>
      <c r="C123" s="10"/>
      <c r="D123" s="11"/>
      <c r="E123" s="10"/>
      <c r="F123" s="10"/>
      <c r="G123" s="10"/>
      <c r="H123" s="10"/>
      <c r="I123" s="10"/>
      <c r="J123" s="10"/>
      <c r="K123" s="120" t="s">
        <v>13</v>
      </c>
    </row>
    <row r="124" spans="1:11">
      <c r="A124" s="135"/>
      <c r="B124" s="136"/>
      <c r="C124" s="2"/>
      <c r="D124" s="7"/>
      <c r="E124" s="2"/>
      <c r="F124" s="2"/>
      <c r="G124" s="2"/>
      <c r="H124" s="2"/>
      <c r="I124" s="2"/>
      <c r="J124" s="2"/>
      <c r="K124" s="121"/>
    </row>
    <row r="125" spans="1:11">
      <c r="A125" s="137"/>
      <c r="B125" s="138"/>
      <c r="C125" s="5"/>
      <c r="D125" s="6"/>
      <c r="E125" s="5"/>
      <c r="F125" s="5"/>
      <c r="G125" s="5"/>
      <c r="H125" s="5"/>
      <c r="I125" s="5"/>
      <c r="J125" s="5"/>
      <c r="K125" s="122"/>
    </row>
    <row r="126" spans="1:11">
      <c r="A126" s="131">
        <v>-0.1</v>
      </c>
      <c r="B126" s="132"/>
      <c r="C126" s="20"/>
      <c r="D126" s="20"/>
      <c r="E126" s="20"/>
      <c r="F126" s="20"/>
      <c r="G126" s="20"/>
      <c r="H126" s="20"/>
      <c r="I126" s="20"/>
      <c r="J126" s="20">
        <v>237211</v>
      </c>
      <c r="K126" s="94">
        <f>(J126-J127)/J127</f>
        <v>0.36532960360080352</v>
      </c>
    </row>
    <row r="127" spans="1:11">
      <c r="A127" s="131">
        <v>0</v>
      </c>
      <c r="B127" s="132"/>
      <c r="C127" s="20"/>
      <c r="D127" s="20"/>
      <c r="E127" s="20"/>
      <c r="F127" s="20"/>
      <c r="G127" s="20"/>
      <c r="H127" s="20"/>
      <c r="I127" s="20"/>
      <c r="J127" s="20">
        <f>173739</f>
        <v>173739</v>
      </c>
      <c r="K127" s="94">
        <v>0</v>
      </c>
    </row>
    <row r="128" spans="1:11">
      <c r="A128" s="131">
        <v>0.1</v>
      </c>
      <c r="B128" s="132"/>
      <c r="C128" s="20"/>
      <c r="D128" s="20"/>
      <c r="E128" s="20"/>
      <c r="F128" s="20"/>
      <c r="G128" s="20"/>
      <c r="H128" s="20"/>
      <c r="I128" s="20"/>
      <c r="J128" s="20">
        <v>110267</v>
      </c>
      <c r="K128" s="94">
        <f>(J128-J127)/J127</f>
        <v>-0.36532960360080352</v>
      </c>
    </row>
    <row r="129" spans="1:11">
      <c r="A129" s="163" t="s">
        <v>65</v>
      </c>
      <c r="B129" s="164"/>
      <c r="C129" s="164"/>
      <c r="D129" s="164"/>
      <c r="E129" s="164"/>
      <c r="F129" s="164"/>
      <c r="G129" s="164"/>
      <c r="H129" s="164"/>
      <c r="I129" s="164"/>
      <c r="J129" s="164"/>
      <c r="K129" s="165"/>
    </row>
    <row r="130" spans="1:11">
      <c r="A130" s="166"/>
      <c r="B130" s="167"/>
      <c r="C130" s="167"/>
      <c r="D130" s="167"/>
      <c r="E130" s="167"/>
      <c r="F130" s="167"/>
      <c r="G130" s="167"/>
      <c r="H130" s="167"/>
      <c r="I130" s="167"/>
      <c r="J130" s="167"/>
      <c r="K130" s="168"/>
    </row>
    <row r="131" spans="1:11">
      <c r="A131" s="166"/>
      <c r="B131" s="167"/>
      <c r="C131" s="167"/>
      <c r="D131" s="167"/>
      <c r="E131" s="167"/>
      <c r="F131" s="167"/>
      <c r="G131" s="167"/>
      <c r="H131" s="167"/>
      <c r="I131" s="167"/>
      <c r="J131" s="167"/>
      <c r="K131" s="168"/>
    </row>
    <row r="132" spans="1:11">
      <c r="A132" s="169"/>
      <c r="B132" s="170"/>
      <c r="C132" s="170"/>
      <c r="D132" s="170"/>
      <c r="E132" s="170"/>
      <c r="F132" s="170"/>
      <c r="G132" s="170"/>
      <c r="H132" s="170"/>
      <c r="I132" s="170"/>
      <c r="J132" s="170"/>
      <c r="K132" s="171"/>
    </row>
    <row r="133" spans="1:11">
      <c r="A133" s="123" t="s">
        <v>15</v>
      </c>
      <c r="B133" s="124"/>
      <c r="C133" s="188" t="s">
        <v>66</v>
      </c>
      <c r="D133" s="172"/>
      <c r="E133" s="172"/>
      <c r="F133" s="172"/>
      <c r="G133" s="172"/>
      <c r="H133" s="172"/>
      <c r="I133" s="172"/>
      <c r="J133" s="172"/>
      <c r="K133" s="173"/>
    </row>
    <row r="134" spans="1:11" ht="13.5" thickBot="1">
      <c r="A134" s="125"/>
      <c r="B134" s="126"/>
      <c r="C134" s="174"/>
      <c r="D134" s="175"/>
      <c r="E134" s="175"/>
      <c r="F134" s="175"/>
      <c r="G134" s="175"/>
      <c r="H134" s="175"/>
      <c r="I134" s="175"/>
      <c r="J134" s="175"/>
      <c r="K134" s="176"/>
    </row>
    <row r="136" spans="1:11" ht="14.25">
      <c r="D136" s="49">
        <f ca="1">NOW()</f>
        <v>43790.53046574074</v>
      </c>
      <c r="E136" s="127">
        <f ca="1">NOW()</f>
        <v>43790.53046574074</v>
      </c>
      <c r="F136" s="127"/>
      <c r="G136" s="127"/>
    </row>
    <row r="166" spans="11:13">
      <c r="K166" s="105"/>
      <c r="L166" s="105"/>
      <c r="M166" s="17"/>
    </row>
    <row r="204" spans="4:4">
      <c r="D204" s="3"/>
    </row>
    <row r="205" spans="4:4">
      <c r="D205" s="3"/>
    </row>
    <row r="206" spans="4:4">
      <c r="D206" s="3"/>
    </row>
    <row r="207" spans="4:4">
      <c r="D207" s="3"/>
    </row>
    <row r="208" spans="4:4">
      <c r="D208" s="3"/>
    </row>
    <row r="209" spans="4:4">
      <c r="D209" s="3"/>
    </row>
    <row r="210" spans="4:4">
      <c r="D210" s="3"/>
    </row>
    <row r="211" spans="4:4">
      <c r="D211" s="3"/>
    </row>
    <row r="212" spans="4:4">
      <c r="D212" s="3"/>
    </row>
    <row r="213" spans="4:4">
      <c r="D213" s="3"/>
    </row>
    <row r="214" spans="4:4">
      <c r="D214" s="3"/>
    </row>
    <row r="215" spans="4:4">
      <c r="D215" s="3"/>
    </row>
    <row r="216" spans="4:4">
      <c r="D216" s="3"/>
    </row>
    <row r="217" spans="4:4">
      <c r="D217" s="3"/>
    </row>
    <row r="218" spans="4:4">
      <c r="D218" s="3"/>
    </row>
    <row r="219" spans="4:4">
      <c r="D219" s="3"/>
    </row>
  </sheetData>
  <mergeCells count="132">
    <mergeCell ref="A129:K132"/>
    <mergeCell ref="C133:K134"/>
    <mergeCell ref="A35:B35"/>
    <mergeCell ref="A42:B42"/>
    <mergeCell ref="A43:C43"/>
    <mergeCell ref="A36:C36"/>
    <mergeCell ref="A48:B48"/>
    <mergeCell ref="A49:C49"/>
    <mergeCell ref="A57:B57"/>
    <mergeCell ref="A58:B58"/>
    <mergeCell ref="A60:B60"/>
    <mergeCell ref="A122:K122"/>
    <mergeCell ref="A99:B99"/>
    <mergeCell ref="A102:B102"/>
    <mergeCell ref="C102:D102"/>
    <mergeCell ref="G59:H59"/>
    <mergeCell ref="A97:B97"/>
    <mergeCell ref="A98:B98"/>
    <mergeCell ref="A94:B94"/>
    <mergeCell ref="C94:D94"/>
    <mergeCell ref="A96:K96"/>
    <mergeCell ref="C100:D100"/>
    <mergeCell ref="A104:K104"/>
    <mergeCell ref="A105:B105"/>
    <mergeCell ref="A110:B110"/>
    <mergeCell ref="A55:K55"/>
    <mergeCell ref="A66:K66"/>
    <mergeCell ref="A67:B67"/>
    <mergeCell ref="A68:B68"/>
    <mergeCell ref="C53:D53"/>
    <mergeCell ref="A50:B50"/>
    <mergeCell ref="A51:B51"/>
    <mergeCell ref="A52:B52"/>
    <mergeCell ref="A53:B53"/>
    <mergeCell ref="A47:B47"/>
    <mergeCell ref="A37:B37"/>
    <mergeCell ref="A38:B38"/>
    <mergeCell ref="A39:B39"/>
    <mergeCell ref="A40:B40"/>
    <mergeCell ref="A41:B41"/>
    <mergeCell ref="A31:B31"/>
    <mergeCell ref="A32:B32"/>
    <mergeCell ref="A33:B33"/>
    <mergeCell ref="A34:B34"/>
    <mergeCell ref="A28:B28"/>
    <mergeCell ref="A19:B19"/>
    <mergeCell ref="A20:B20"/>
    <mergeCell ref="A21:B21"/>
    <mergeCell ref="A22:C22"/>
    <mergeCell ref="A30:B30"/>
    <mergeCell ref="A29:C29"/>
    <mergeCell ref="A27:B27"/>
    <mergeCell ref="A26:B26"/>
    <mergeCell ref="A25:B25"/>
    <mergeCell ref="A24:B24"/>
    <mergeCell ref="A23:B23"/>
    <mergeCell ref="A14:B14"/>
    <mergeCell ref="A15:B15"/>
    <mergeCell ref="A16:B16"/>
    <mergeCell ref="A17:B17"/>
    <mergeCell ref="A18:B18"/>
    <mergeCell ref="A8:K9"/>
    <mergeCell ref="A10:B10"/>
    <mergeCell ref="A11:B11"/>
    <mergeCell ref="A12:B12"/>
    <mergeCell ref="A13:B13"/>
    <mergeCell ref="E136:G136"/>
    <mergeCell ref="D1:E1"/>
    <mergeCell ref="D2:E2"/>
    <mergeCell ref="D3:E3"/>
    <mergeCell ref="A44:C44"/>
    <mergeCell ref="A127:B127"/>
    <mergeCell ref="A128:B128"/>
    <mergeCell ref="A126:B126"/>
    <mergeCell ref="A123:B125"/>
    <mergeCell ref="G57:H57"/>
    <mergeCell ref="G58:H58"/>
    <mergeCell ref="A59:B59"/>
    <mergeCell ref="C5:I5"/>
    <mergeCell ref="A45:B45"/>
    <mergeCell ref="A46:B46"/>
    <mergeCell ref="A85:B85"/>
    <mergeCell ref="A86:B86"/>
    <mergeCell ref="A87:B87"/>
    <mergeCell ref="A88:B88"/>
    <mergeCell ref="A92:B92"/>
    <mergeCell ref="A93:B93"/>
    <mergeCell ref="C92:D92"/>
    <mergeCell ref="C93:D93"/>
    <mergeCell ref="A100:B100"/>
    <mergeCell ref="K166:L166"/>
    <mergeCell ref="A56:B56"/>
    <mergeCell ref="G56:H56"/>
    <mergeCell ref="A69:B69"/>
    <mergeCell ref="A70:B70"/>
    <mergeCell ref="A71:B71"/>
    <mergeCell ref="A89:B89"/>
    <mergeCell ref="A90:B90"/>
    <mergeCell ref="A91:B91"/>
    <mergeCell ref="K123:K125"/>
    <mergeCell ref="A133:B134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115:B115"/>
    <mergeCell ref="A116:B116"/>
    <mergeCell ref="A117:B117"/>
    <mergeCell ref="C117:D117"/>
    <mergeCell ref="A119:B119"/>
    <mergeCell ref="C119:D119"/>
    <mergeCell ref="C101:D101"/>
    <mergeCell ref="A106:B106"/>
    <mergeCell ref="A107:B107"/>
    <mergeCell ref="A108:B108"/>
    <mergeCell ref="A109:B109"/>
    <mergeCell ref="A118:B118"/>
    <mergeCell ref="C118:D118"/>
    <mergeCell ref="A101:B101"/>
    <mergeCell ref="A111:B111"/>
    <mergeCell ref="A112:B112"/>
    <mergeCell ref="A113:B113"/>
    <mergeCell ref="A114:B114"/>
  </mergeCells>
  <phoneticPr fontId="2" type="noConversion"/>
  <pageMargins left="0.2" right="0.2" top="0.2" bottom="0.2" header="0" footer="0"/>
  <pageSetup scale="75" orientation="portrait" r:id="rId1"/>
  <headerFooter alignWithMargins="0"/>
  <rowBreaks count="1" manualBreakCount="1">
    <brk id="64" max="16383" man="1"/>
  </rowBreak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85546875" defaultRowHeight="12.75"/>
  <cols>
    <col min="1" max="16384" width="10.85546875" style="47"/>
  </cols>
  <sheetData>
    <row r="1" spans="1:1" ht="31.5">
      <c r="A1" s="48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Modèle</vt:lpstr>
      <vt:lpstr>Calcul perso</vt:lpstr>
    </vt:vector>
  </TitlesOfParts>
  <Company>Aucune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 5</dc:title>
  <dc:creator>olblai</dc:creator>
  <cp:lastModifiedBy>Amine El Maroizy</cp:lastModifiedBy>
  <cp:lastPrinted>2019-11-21T17:44:27Z</cp:lastPrinted>
  <dcterms:created xsi:type="dcterms:W3CDTF">2006-11-14T14:22:35Z</dcterms:created>
  <dcterms:modified xsi:type="dcterms:W3CDTF">2019-11-21T17:45:37Z</dcterms:modified>
</cp:coreProperties>
</file>