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https://d.docs.live.net/2787b8cdc92dffbb/Automne 2020 (Session 5-2)/Économie/TP/TP5/"/>
    </mc:Choice>
  </mc:AlternateContent>
  <xr:revisionPtr revIDLastSave="59" documentId="8_{289ED01C-33DB-4814-9E41-9DB69FE1ECE9}" xr6:coauthVersionLast="45" xr6:coauthVersionMax="45" xr10:uidLastSave="{49D500DA-CB40-4F89-A898-468A6BCB2E29}"/>
  <workbookProtection workbookAlgorithmName="SHA-512" workbookHashValue="QrCWnejmt+KUQ4rYyRw0tv9VWe5LL7HdNQh6OWlgtAPBz+Rc+j2Ei7Sq1RJnqKXKAfK3/IpjfRIz6lxMYu/fSg==" workbookSaltValue="mUF5/B2zm1vV+TCdDPjQJQ==" workbookSpinCount="100000" lockStructure="1"/>
  <bookViews>
    <workbookView xWindow="-110" yWindow="-110" windowWidth="22780" windowHeight="14660" activeTab="1" xr2:uid="{00000000-000D-0000-FFFF-FFFF00000000}"/>
  </bookViews>
  <sheets>
    <sheet name="Directives" sheetId="1" r:id="rId1"/>
    <sheet name="Ennoncé" sheetId="2" r:id="rId2"/>
    <sheet name="Feuil3" sheetId="3" state="hidden" r:id="rId3"/>
    <sheet name="Feuil4" sheetId="4" state="hidden" r:id="rId4"/>
    <sheet name="Feuil5"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2" i="2" l="1"/>
  <c r="M49" i="2"/>
  <c r="N53" i="2"/>
  <c r="R59" i="2"/>
  <c r="R49" i="2"/>
  <c r="N58" i="2"/>
  <c r="R53" i="2" l="1"/>
  <c r="M54" i="2" l="1"/>
  <c r="N52" i="2"/>
  <c r="L21" i="2"/>
  <c r="L20" i="2"/>
  <c r="O9" i="2"/>
  <c r="O8" i="2"/>
  <c r="O72" i="2" l="1"/>
  <c r="P72" i="2"/>
  <c r="Q72" i="2"/>
  <c r="R72" i="2"/>
  <c r="S72" i="2"/>
  <c r="T72" i="2"/>
  <c r="U72" i="2"/>
  <c r="N43" i="2"/>
  <c r="O70" i="2"/>
  <c r="P70" i="2"/>
  <c r="Q70" i="2"/>
  <c r="R70" i="2"/>
  <c r="S70" i="2"/>
  <c r="T70" i="2"/>
  <c r="N70" i="2"/>
  <c r="M67" i="2"/>
  <c r="M66" i="2"/>
  <c r="Q59" i="2"/>
  <c r="R54" i="2"/>
  <c r="R55" i="2"/>
  <c r="R56" i="2"/>
  <c r="R52" i="2"/>
  <c r="R51" i="2"/>
  <c r="R50" i="2"/>
  <c r="L58" i="2"/>
  <c r="L59" i="2"/>
  <c r="L10" i="2"/>
  <c r="M48" i="2" l="1"/>
  <c r="O44" i="2"/>
  <c r="P44" i="2"/>
  <c r="Q44" i="2"/>
  <c r="R44" i="2"/>
  <c r="S44" i="2"/>
  <c r="T44" i="2"/>
  <c r="U44" i="2"/>
  <c r="O43" i="2"/>
  <c r="P43" i="2"/>
  <c r="Q43" i="2"/>
  <c r="R43" i="2"/>
  <c r="S43" i="2"/>
  <c r="T43" i="2"/>
  <c r="U43" i="2"/>
  <c r="V43" i="2"/>
  <c r="O42" i="2"/>
  <c r="P42" i="2"/>
  <c r="Q42" i="2"/>
  <c r="R42" i="2"/>
  <c r="S42" i="2"/>
  <c r="T42" i="2"/>
  <c r="U42" i="2"/>
  <c r="V40" i="2"/>
  <c r="R34" i="2"/>
  <c r="M43" i="2"/>
  <c r="V38" i="2"/>
  <c r="V37" i="2"/>
  <c r="N34" i="2"/>
  <c r="N31" i="2"/>
  <c r="P29" i="2"/>
  <c r="Q29" i="2"/>
  <c r="R29" i="2"/>
  <c r="S29" i="2"/>
  <c r="T29" i="2"/>
  <c r="U29" i="2"/>
  <c r="V29" i="2"/>
  <c r="O29" i="2"/>
  <c r="P26" i="2"/>
  <c r="Q26" i="2"/>
  <c r="R26" i="2"/>
  <c r="S26" i="2"/>
  <c r="T26" i="2"/>
  <c r="U26" i="2"/>
  <c r="V26" i="2"/>
  <c r="O26" i="2"/>
  <c r="T25" i="2"/>
  <c r="U25" i="2"/>
  <c r="V25" i="2"/>
  <c r="S25" i="2"/>
  <c r="P25" i="2"/>
  <c r="Q25" i="2"/>
  <c r="R25" i="2"/>
  <c r="O25" i="2"/>
  <c r="M19" i="2"/>
  <c r="M16" i="2"/>
  <c r="M20" i="2"/>
  <c r="L15" i="2"/>
  <c r="N32" i="2"/>
  <c r="L7" i="2"/>
  <c r="L19" i="2"/>
  <c r="M21" i="2" l="1"/>
  <c r="V39" i="2" s="1"/>
  <c r="V42" i="2" s="1"/>
  <c r="N33" i="2"/>
  <c r="N42" i="2" s="1"/>
  <c r="U70" i="2" l="1"/>
  <c r="L74" i="2" s="1"/>
  <c r="V44" i="2"/>
  <c r="R57" i="2" s="1"/>
  <c r="N59" i="2"/>
  <c r="M71" i="2"/>
  <c r="L75" i="2" s="1"/>
  <c r="N44" i="2"/>
  <c r="O62" i="2" l="1"/>
  <c r="M45" i="2"/>
  <c r="S49" i="2"/>
  <c r="S50" i="2" s="1"/>
  <c r="S51" i="2" s="1"/>
  <c r="S52" i="2" s="1"/>
  <c r="S53" i="2" s="1"/>
  <c r="S54" i="2" s="1"/>
  <c r="S55" i="2" s="1"/>
  <c r="W75" i="2"/>
  <c r="M102" i="3" l="1"/>
  <c r="S56" i="2"/>
  <c r="S57" i="2" s="1"/>
  <c r="M106" i="3"/>
  <c r="U69" i="5"/>
  <c r="T69" i="5"/>
  <c r="S69" i="5"/>
  <c r="R69" i="5"/>
  <c r="Q69" i="5"/>
  <c r="P69" i="5"/>
  <c r="O69" i="5"/>
  <c r="N69" i="5"/>
  <c r="M67" i="5"/>
  <c r="Q59" i="5"/>
  <c r="M48" i="5"/>
  <c r="F44" i="5"/>
  <c r="D44" i="5"/>
  <c r="V43" i="5"/>
  <c r="U43" i="5"/>
  <c r="T43" i="5"/>
  <c r="S43" i="5"/>
  <c r="R43" i="5"/>
  <c r="Q43" i="5"/>
  <c r="P43" i="5"/>
  <c r="O43" i="5"/>
  <c r="N43" i="5"/>
  <c r="V38" i="5"/>
  <c r="R34" i="5"/>
  <c r="N34" i="5"/>
  <c r="N31" i="5"/>
  <c r="O28" i="5"/>
  <c r="O29" i="5" s="1"/>
  <c r="O42" i="5" s="1"/>
  <c r="V27" i="5"/>
  <c r="U27" i="5"/>
  <c r="T27" i="5"/>
  <c r="S27" i="5"/>
  <c r="S28" i="5" s="1"/>
  <c r="S29" i="5" s="1"/>
  <c r="S42" i="5" s="1"/>
  <c r="R27" i="5"/>
  <c r="Q27" i="5"/>
  <c r="Q28" i="5" s="1"/>
  <c r="P27" i="5"/>
  <c r="V26" i="5"/>
  <c r="U26" i="5"/>
  <c r="T26" i="5"/>
  <c r="R26" i="5"/>
  <c r="Q26" i="5"/>
  <c r="P26" i="5"/>
  <c r="V25" i="5"/>
  <c r="U25" i="5"/>
  <c r="T25" i="5"/>
  <c r="S25" i="5"/>
  <c r="R25" i="5"/>
  <c r="Q25" i="5"/>
  <c r="P25" i="5"/>
  <c r="O25" i="5"/>
  <c r="M21" i="5"/>
  <c r="V39" i="5" s="1"/>
  <c r="M20" i="5"/>
  <c r="M19" i="5"/>
  <c r="V37" i="5" s="1"/>
  <c r="L9" i="5"/>
  <c r="L21" i="5" s="1"/>
  <c r="N33" i="5" s="1"/>
  <c r="P8" i="5"/>
  <c r="P8" i="3" s="1"/>
  <c r="F1" i="4"/>
  <c r="E1" i="4"/>
  <c r="D1" i="4"/>
  <c r="C1" i="4"/>
  <c r="U120" i="3"/>
  <c r="Q120" i="3"/>
  <c r="R107" i="3"/>
  <c r="M107" i="3"/>
  <c r="M105" i="3"/>
  <c r="M104" i="3"/>
  <c r="R103" i="3"/>
  <c r="M103" i="3"/>
  <c r="R102" i="3"/>
  <c r="R101" i="3"/>
  <c r="M101" i="3"/>
  <c r="R100" i="3"/>
  <c r="M100" i="3"/>
  <c r="R99" i="3"/>
  <c r="M99" i="3"/>
  <c r="R98" i="3"/>
  <c r="M98" i="3"/>
  <c r="R97" i="3"/>
  <c r="M97" i="3"/>
  <c r="N96" i="3"/>
  <c r="N95" i="3"/>
  <c r="N93" i="3"/>
  <c r="N90" i="3"/>
  <c r="N88" i="3"/>
  <c r="U69" i="3"/>
  <c r="T69" i="3"/>
  <c r="S69" i="3"/>
  <c r="R69" i="3"/>
  <c r="Q69" i="3"/>
  <c r="P69" i="3"/>
  <c r="O69" i="3"/>
  <c r="N69" i="3"/>
  <c r="O62" i="3"/>
  <c r="N103" i="3" s="1"/>
  <c r="Q59" i="3"/>
  <c r="V43" i="3"/>
  <c r="T43" i="3"/>
  <c r="R43" i="3"/>
  <c r="N43" i="3"/>
  <c r="M43" i="3"/>
  <c r="P43" i="3" s="1"/>
  <c r="V41" i="3"/>
  <c r="U41" i="3"/>
  <c r="T41" i="3"/>
  <c r="S41" i="3"/>
  <c r="R41" i="3"/>
  <c r="Q41" i="3"/>
  <c r="P41" i="3"/>
  <c r="O41" i="3"/>
  <c r="N41" i="3"/>
  <c r="V40" i="3"/>
  <c r="U40" i="3"/>
  <c r="T40" i="3"/>
  <c r="S40" i="3"/>
  <c r="R40" i="3"/>
  <c r="Q40" i="3"/>
  <c r="P40" i="3"/>
  <c r="O40" i="3"/>
  <c r="N40" i="3"/>
  <c r="V39" i="3"/>
  <c r="U39" i="3"/>
  <c r="T39" i="3"/>
  <c r="S39" i="3"/>
  <c r="R39" i="3"/>
  <c r="Q39" i="3"/>
  <c r="P39" i="3"/>
  <c r="O39" i="3"/>
  <c r="N39" i="3"/>
  <c r="V38" i="3"/>
  <c r="U38" i="3"/>
  <c r="T38" i="3"/>
  <c r="S38" i="3"/>
  <c r="R38" i="3"/>
  <c r="Q38" i="3"/>
  <c r="P38" i="3"/>
  <c r="O38" i="3"/>
  <c r="N38" i="3"/>
  <c r="V37" i="3"/>
  <c r="U37" i="3"/>
  <c r="T37" i="3"/>
  <c r="S37" i="3"/>
  <c r="R37" i="3"/>
  <c r="Q37" i="3"/>
  <c r="P37" i="3"/>
  <c r="O37" i="3"/>
  <c r="N37" i="3"/>
  <c r="V36" i="3"/>
  <c r="U36" i="3"/>
  <c r="T36" i="3"/>
  <c r="S36" i="3"/>
  <c r="R36" i="3"/>
  <c r="Q36" i="3"/>
  <c r="P36" i="3"/>
  <c r="O36" i="3"/>
  <c r="N36" i="3"/>
  <c r="V35" i="3"/>
  <c r="U35" i="3"/>
  <c r="T35" i="3"/>
  <c r="S35" i="3"/>
  <c r="R35" i="3"/>
  <c r="Q35" i="3"/>
  <c r="P35" i="3"/>
  <c r="O35" i="3"/>
  <c r="N35" i="3"/>
  <c r="V34" i="3"/>
  <c r="U34" i="3"/>
  <c r="T34" i="3"/>
  <c r="S34" i="3"/>
  <c r="R34" i="3"/>
  <c r="Q34" i="3"/>
  <c r="P34" i="3"/>
  <c r="O34" i="3"/>
  <c r="N34" i="3"/>
  <c r="V33" i="3"/>
  <c r="U33" i="3"/>
  <c r="T33" i="3"/>
  <c r="S33" i="3"/>
  <c r="R33" i="3"/>
  <c r="Q33" i="3"/>
  <c r="P33" i="3"/>
  <c r="O33" i="3"/>
  <c r="N33" i="3"/>
  <c r="V32" i="3"/>
  <c r="U32" i="3"/>
  <c r="T32" i="3"/>
  <c r="S32" i="3"/>
  <c r="R32" i="3"/>
  <c r="Q32" i="3"/>
  <c r="P32" i="3"/>
  <c r="O32" i="3"/>
  <c r="N32" i="3"/>
  <c r="V31" i="3"/>
  <c r="U31" i="3"/>
  <c r="T31" i="3"/>
  <c r="S31" i="3"/>
  <c r="R31" i="3"/>
  <c r="Q31" i="3"/>
  <c r="P31" i="3"/>
  <c r="O31" i="3"/>
  <c r="N31" i="3"/>
  <c r="V29" i="3"/>
  <c r="U29" i="3"/>
  <c r="T29" i="3"/>
  <c r="S29" i="3"/>
  <c r="R29" i="3"/>
  <c r="Q29" i="3"/>
  <c r="P29" i="3"/>
  <c r="O29" i="3"/>
  <c r="V28" i="3"/>
  <c r="U28" i="3"/>
  <c r="T28" i="3"/>
  <c r="S28" i="3"/>
  <c r="R28" i="3"/>
  <c r="Q28" i="3"/>
  <c r="P28" i="3"/>
  <c r="O28" i="3"/>
  <c r="V27" i="3"/>
  <c r="U27" i="3"/>
  <c r="T27" i="3"/>
  <c r="S27" i="3"/>
  <c r="R27" i="3"/>
  <c r="Q27" i="3"/>
  <c r="P27" i="3"/>
  <c r="O27" i="3"/>
  <c r="V26" i="3"/>
  <c r="U26" i="3"/>
  <c r="T26" i="3"/>
  <c r="S26" i="3"/>
  <c r="R26" i="3"/>
  <c r="Q26" i="3"/>
  <c r="P26" i="3"/>
  <c r="O26" i="3"/>
  <c r="V25" i="3"/>
  <c r="U25" i="3"/>
  <c r="T25" i="3"/>
  <c r="S25" i="3"/>
  <c r="M96" i="3" s="1"/>
  <c r="P96" i="3" s="1"/>
  <c r="R25" i="3"/>
  <c r="Q25" i="3"/>
  <c r="P25" i="3"/>
  <c r="O25" i="3"/>
  <c r="N120" i="3" s="1"/>
  <c r="M21" i="3"/>
  <c r="M94" i="3" s="1"/>
  <c r="L21" i="3"/>
  <c r="M20" i="3"/>
  <c r="M93" i="3" s="1"/>
  <c r="L20" i="3"/>
  <c r="M89" i="3" s="1"/>
  <c r="M19" i="3"/>
  <c r="M92" i="3" s="1"/>
  <c r="L19" i="3"/>
  <c r="Q16" i="3"/>
  <c r="Q15" i="3"/>
  <c r="L14" i="3"/>
  <c r="L13" i="3"/>
  <c r="M12" i="3"/>
  <c r="L12" i="3"/>
  <c r="L9" i="3"/>
  <c r="L8" i="3"/>
  <c r="Q7" i="3"/>
  <c r="P7" i="3"/>
  <c r="L7" i="3"/>
  <c r="Q6" i="3"/>
  <c r="P6" i="3"/>
  <c r="L6" i="3"/>
  <c r="N42" i="3" l="1"/>
  <c r="N44" i="3" s="1"/>
  <c r="L72" i="3" s="1"/>
  <c r="M53" i="3"/>
  <c r="R49" i="3" s="1"/>
  <c r="S49" i="3" s="1"/>
  <c r="V40" i="5"/>
  <c r="T42" i="3"/>
  <c r="U28" i="5"/>
  <c r="U29" i="5" s="1"/>
  <c r="U42" i="5" s="1"/>
  <c r="V107" i="3"/>
  <c r="R113" i="3" s="1"/>
  <c r="P42" i="3"/>
  <c r="O120" i="3" s="1"/>
  <c r="Q29" i="5"/>
  <c r="Q42" i="5" s="1"/>
  <c r="P70" i="5" s="1"/>
  <c r="S120" i="3"/>
  <c r="S70" i="3"/>
  <c r="T44" i="3"/>
  <c r="O93" i="3"/>
  <c r="Q93" i="3" s="1"/>
  <c r="S93" i="3" s="1"/>
  <c r="T93" i="3" s="1"/>
  <c r="P93" i="3"/>
  <c r="N98" i="3"/>
  <c r="O98" i="3" s="1"/>
  <c r="R53" i="3"/>
  <c r="R42" i="3"/>
  <c r="V42" i="3"/>
  <c r="R55" i="3"/>
  <c r="N92" i="3"/>
  <c r="O92" i="3" s="1"/>
  <c r="N94" i="3"/>
  <c r="O94" i="3" s="1"/>
  <c r="O42" i="3"/>
  <c r="Q42" i="3"/>
  <c r="S42" i="3"/>
  <c r="U42" i="3"/>
  <c r="Q44" i="5"/>
  <c r="R52" i="5" s="1"/>
  <c r="R70" i="5"/>
  <c r="S44" i="5"/>
  <c r="R54" i="5" s="1"/>
  <c r="T70" i="5"/>
  <c r="U44" i="5"/>
  <c r="R56" i="5" s="1"/>
  <c r="N70" i="5"/>
  <c r="O44" i="5"/>
  <c r="R50" i="5" s="1"/>
  <c r="O96" i="3"/>
  <c r="Q96" i="3" s="1"/>
  <c r="S96" i="3" s="1"/>
  <c r="T96" i="3" s="1"/>
  <c r="P103" i="3"/>
  <c r="N104" i="3"/>
  <c r="O104" i="3" s="1"/>
  <c r="O43" i="3"/>
  <c r="Q43" i="3"/>
  <c r="S43" i="3"/>
  <c r="U43" i="3"/>
  <c r="M48" i="3"/>
  <c r="M49" i="3" s="1"/>
  <c r="N101" i="3" s="1"/>
  <c r="P101" i="3" s="1"/>
  <c r="M67" i="3"/>
  <c r="W75" i="3" s="1"/>
  <c r="N107" i="3" s="1"/>
  <c r="P107" i="3" s="1"/>
  <c r="M88" i="3"/>
  <c r="M90" i="3"/>
  <c r="M95" i="3"/>
  <c r="S113" i="3"/>
  <c r="S114" i="3" s="1"/>
  <c r="P98" i="3"/>
  <c r="O103" i="3"/>
  <c r="P28" i="5"/>
  <c r="P29" i="5" s="1"/>
  <c r="P42" i="5" s="1"/>
  <c r="R28" i="5"/>
  <c r="R29" i="5" s="1"/>
  <c r="T28" i="5"/>
  <c r="T29" i="5" s="1"/>
  <c r="V28" i="5"/>
  <c r="V29" i="5" s="1"/>
  <c r="V42" i="5" s="1"/>
  <c r="L20" i="5"/>
  <c r="M45" i="3" l="1"/>
  <c r="M54" i="3" s="1"/>
  <c r="N102" i="3" s="1"/>
  <c r="P44" i="3"/>
  <c r="R51" i="3" s="1"/>
  <c r="O70" i="3"/>
  <c r="N97" i="3"/>
  <c r="M120" i="3"/>
  <c r="P92" i="3"/>
  <c r="O101" i="3"/>
  <c r="Q101" i="3" s="1"/>
  <c r="S101" i="3" s="1"/>
  <c r="T101" i="3" s="1"/>
  <c r="O107" i="3"/>
  <c r="Q107" i="3" s="1"/>
  <c r="S107" i="3" s="1"/>
  <c r="T107" i="3" s="1"/>
  <c r="P104" i="3"/>
  <c r="Q104" i="3" s="1"/>
  <c r="S104" i="3" s="1"/>
  <c r="T104" i="3" s="1"/>
  <c r="Q92" i="3"/>
  <c r="S92" i="3" s="1"/>
  <c r="T92" i="3" s="1"/>
  <c r="T42" i="5"/>
  <c r="R55" i="5"/>
  <c r="P44" i="5"/>
  <c r="R51" i="5" s="1"/>
  <c r="O70" i="5"/>
  <c r="O90" i="3"/>
  <c r="P90" i="3"/>
  <c r="T120" i="3"/>
  <c r="T70" i="3"/>
  <c r="U44" i="3"/>
  <c r="R56" i="3" s="1"/>
  <c r="P120" i="3"/>
  <c r="P70" i="3"/>
  <c r="Q44" i="3"/>
  <c r="R52" i="3" s="1"/>
  <c r="N99" i="3"/>
  <c r="U70" i="3"/>
  <c r="V44" i="3"/>
  <c r="R57" i="3" s="1"/>
  <c r="Q98" i="3"/>
  <c r="S98" i="3" s="1"/>
  <c r="T98" i="3" s="1"/>
  <c r="P94" i="3"/>
  <c r="Q94" i="3" s="1"/>
  <c r="S94" i="3" s="1"/>
  <c r="T94" i="3" s="1"/>
  <c r="N32" i="5"/>
  <c r="N42" i="5" s="1"/>
  <c r="N89" i="3"/>
  <c r="V44" i="5"/>
  <c r="R57" i="5" s="1"/>
  <c r="U70" i="5"/>
  <c r="R53" i="5"/>
  <c r="R42" i="5"/>
  <c r="Q103" i="3"/>
  <c r="S103" i="3" s="1"/>
  <c r="T103" i="3" s="1"/>
  <c r="O95" i="3"/>
  <c r="Q95" i="3" s="1"/>
  <c r="S95" i="3" s="1"/>
  <c r="T95" i="3" s="1"/>
  <c r="P95" i="3"/>
  <c r="O88" i="3"/>
  <c r="P88" i="3"/>
  <c r="R120" i="3"/>
  <c r="R70" i="3"/>
  <c r="S44" i="3"/>
  <c r="R54" i="3" s="1"/>
  <c r="N70" i="3"/>
  <c r="O44" i="3"/>
  <c r="R50" i="3" s="1"/>
  <c r="Q70" i="3"/>
  <c r="R44" i="3"/>
  <c r="M52" i="3" l="1"/>
  <c r="P97" i="3"/>
  <c r="O97" i="3"/>
  <c r="Q88" i="3"/>
  <c r="S88" i="3" s="1"/>
  <c r="T88" i="3" s="1"/>
  <c r="M121" i="3"/>
  <c r="N100" i="3" s="1"/>
  <c r="O100" i="3" s="1"/>
  <c r="N105" i="3"/>
  <c r="S50" i="3"/>
  <c r="S51" i="3" s="1"/>
  <c r="S52" i="3" s="1"/>
  <c r="S53" i="3" s="1"/>
  <c r="S54" i="3" s="1"/>
  <c r="O63" i="5"/>
  <c r="O59" i="5"/>
  <c r="N44" i="5"/>
  <c r="O58" i="5"/>
  <c r="M53" i="5"/>
  <c r="R49" i="5" s="1"/>
  <c r="S49" i="5" s="1"/>
  <c r="S50" i="5" s="1"/>
  <c r="S51" i="5" s="1"/>
  <c r="S52" i="5" s="1"/>
  <c r="S53" i="5" s="1"/>
  <c r="S54" i="5" s="1"/>
  <c r="W76" i="5"/>
  <c r="L71" i="3"/>
  <c r="M74" i="3" s="1"/>
  <c r="R44" i="5"/>
  <c r="Q70" i="5"/>
  <c r="L71" i="5" s="1"/>
  <c r="O89" i="3"/>
  <c r="P89" i="3"/>
  <c r="O99" i="3"/>
  <c r="P99" i="3"/>
  <c r="O102" i="3"/>
  <c r="P102" i="3"/>
  <c r="Q90" i="3"/>
  <c r="S90" i="3" s="1"/>
  <c r="T90" i="3" s="1"/>
  <c r="T44" i="5"/>
  <c r="S70" i="5"/>
  <c r="Q97" i="3" l="1"/>
  <c r="S97" i="3" s="1"/>
  <c r="T97" i="3" s="1"/>
  <c r="P100" i="3"/>
  <c r="Q100" i="3" s="1"/>
  <c r="S100" i="3" s="1"/>
  <c r="T100" i="3" s="1"/>
  <c r="O62" i="5"/>
  <c r="R59" i="5"/>
  <c r="S55" i="5"/>
  <c r="S56" i="5" s="1"/>
  <c r="S57" i="5" s="1"/>
  <c r="M45" i="5"/>
  <c r="L72" i="5"/>
  <c r="M74" i="5" s="1"/>
  <c r="W75" i="5" s="1"/>
  <c r="R59" i="3"/>
  <c r="N106" i="3" s="1"/>
  <c r="S55" i="3"/>
  <c r="S56" i="3" s="1"/>
  <c r="S57" i="3" s="1"/>
  <c r="Q102" i="3"/>
  <c r="S102" i="3" s="1"/>
  <c r="T102" i="3" s="1"/>
  <c r="Q99" i="3"/>
  <c r="S99" i="3" s="1"/>
  <c r="T99" i="3" s="1"/>
  <c r="Q89" i="3"/>
  <c r="S89" i="3" s="1"/>
  <c r="T89" i="3" s="1"/>
  <c r="P105" i="3"/>
  <c r="O105" i="3"/>
  <c r="Q105" i="3" l="1"/>
  <c r="S105" i="3" s="1"/>
  <c r="T105" i="3" s="1"/>
  <c r="O106" i="3"/>
  <c r="P106" i="3"/>
  <c r="M54" i="5"/>
  <c r="M52" i="5"/>
  <c r="M49" i="5"/>
  <c r="Q106" i="3" l="1"/>
  <c r="S106" i="3" s="1"/>
  <c r="T106" i="3" s="1"/>
  <c r="U107" i="3" s="1"/>
  <c r="X107" i="3" s="1"/>
  <c r="B1" i="4" s="1"/>
</calcChain>
</file>

<file path=xl/sharedStrings.xml><?xml version="1.0" encoding="utf-8"?>
<sst xmlns="http://schemas.openxmlformats.org/spreadsheetml/2006/main" count="383" uniqueCount="176">
  <si>
    <t>DIRECTIVES IMPORTANTES</t>
  </si>
  <si>
    <t>Utiliser seulement une version d'Excel qui est installé sur un ordinateur pour éditer</t>
  </si>
  <si>
    <t>Étapes du TP</t>
  </si>
  <si>
    <t>1- Télécharger sur votre ordinateur le fichier Excel</t>
  </si>
  <si>
    <t>2- Renomer le fichier avec votre numéro de matricule - LAB5 - Gr.lab</t>
  </si>
  <si>
    <t xml:space="preserve">Exemple: </t>
  </si>
  <si>
    <t>Si vous avez le numéro de matricule 1827096 et vous êtes inscrit dans votre dossier étudiant sous le groupe lab 5</t>
  </si>
  <si>
    <t>1827096 - LAB5 - Gr.5-A2020.xlsx</t>
  </si>
  <si>
    <t>Dans le doute, copier/coller l'exemple et modifier le nom du fichier.</t>
  </si>
  <si>
    <t xml:space="preserve">Ne pas vous tromper dans votre matricule, espaces, caractères, numéro de groupe, etc.													
														</t>
  </si>
  <si>
    <t>3- Effectuer et compléter le TP</t>
  </si>
  <si>
    <t xml:space="preserve"> Effectuer vos calculs à l'aide d'Excel seulement, pas de calculatrice. Excel garde toutes les décimales même si elles ne sont pas montrées.</t>
  </si>
  <si>
    <t xml:space="preserve"> Mettre les réponses dans les cases en jaunes seulement</t>
  </si>
  <si>
    <t xml:space="preserve">  Il est possible que pour certaines questions il n'y ait pas de réponse. Dans ce cas, mettre 0 dans la cellule en jaune.</t>
  </si>
  <si>
    <t xml:space="preserve"> NE PAS MODIFIER LE FICHIER (ajouter des lignes ou des colonnes, fusionner, etc.).</t>
  </si>
  <si>
    <t xml:space="preserve"> Ne pas changer le format de la réponse.</t>
  </si>
  <si>
    <t xml:space="preserve"> Ne pas faire de copier/coller ou de couper/coller.</t>
  </si>
  <si>
    <t xml:space="preserve"> Vous pouvez utiliser la section « Notes personnelles non notées » pour mettre ce que vous voulez. Cette section ne sera pas corrigée.</t>
  </si>
  <si>
    <t xml:space="preserve"> Respecter les signes dans le tableau du calcul de la VAN</t>
  </si>
  <si>
    <t>4- Déposer le dans la BONNE boite de dépôt.</t>
  </si>
  <si>
    <t>3 points sur 20 sont donnés pour suivre la démarche parfaitement</t>
  </si>
  <si>
    <t>Amusez vous bien !!!!</t>
  </si>
  <si>
    <t>NOM :</t>
  </si>
  <si>
    <t>Prén. :</t>
  </si>
  <si>
    <t>Matricule</t>
  </si>
  <si>
    <t>Gr.</t>
  </si>
  <si>
    <t>SSH-3201 - Économique de l’ingénieur TP 4 et TP 5</t>
  </si>
  <si>
    <t>Automne 2020</t>
  </si>
  <si>
    <t>PARTIE 1</t>
  </si>
  <si>
    <t>Vous travaillez depuis maintenant 10 ans pour l’entreprise Cov inc. qui se spécialise en équipements de protection bactérienne. Voyant qu’il y a présentement une belle opportunité de marché Post covid-19, une idée a germé et vous aimeriez l’exploiter. Ces 2 derniers mois, elle a investi 12 500 $ en recherche et développement et vous êtes en train d’analyser les données d’analyse de marché que vous aviez commandée auprès d’une firme spécialisée. Cov inc. vient de recevoir la facture de 10 000 $ pour le travail effectué et elle a 30 jours pour faire le payement.</t>
  </si>
  <si>
    <t>a)</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</si>
  <si>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546 000 $ et que la bâtisse est évaluée à 294 000 $. Après plusieurs négociations, vous considérez que vous seriez capable d’en faire faire l’acquisition pour 954 000 $.</t>
  </si>
  <si>
    <t>À noter que des frais notariés de 4 750$ et des droits de mutation de 21 450 $ devront également être déboursés pour conclure cette transaction.</t>
  </si>
  <si>
    <t xml:space="preserve">Débours </t>
  </si>
  <si>
    <t>Valeur de récupération</t>
  </si>
  <si>
    <t xml:space="preserve">Équipement </t>
  </si>
  <si>
    <t xml:space="preserve">Au bout de 8 ans, l’immeuble aura une valeur de revente estimée de 120 000 $ et le terrain devrait prendre 3% de valeur par année. À la fin des 8 années, le terrain sera vendu à sa valeur marchande. </t>
  </si>
  <si>
    <t>Immeuble</t>
  </si>
  <si>
    <t>Terrain</t>
  </si>
  <si>
    <t>b)</t>
  </si>
  <si>
    <t>De plus, elle devra investir dans du nouvel équipement évaluer à 327 000 $, installation et formations de base incluses. Cet équipement possèderait une vie utile de 25 ans. À la fin de sa vie utile, la valeur de revente sera de 35 000 $. On considère que ce type d’équipement perd toujours la même valeur à  chaque année.</t>
  </si>
  <si>
    <t xml:space="preserve">Année </t>
  </si>
  <si>
    <t>Données</t>
  </si>
  <si>
    <t>Ventes en unité</t>
  </si>
  <si>
    <t>Après plusieurs discussions en comité, avec le département des ventes, le département de marketing et la firme de consultation, il est clair que la quantité que l’on pourrait vendre de notre produit représentent la variable la plus incertaine de ce projet. À cet effet, le comité a établi 5 valeurs de cette variable et révèle la distribution de probabilités suivante : </t>
  </si>
  <si>
    <t>Flux monétaires nets d'exploitation</t>
  </si>
  <si>
    <t>Investissements</t>
  </si>
  <si>
    <t xml:space="preserve">Années 1 à 4 (fin d’année) </t>
  </si>
  <si>
    <t xml:space="preserve">Années 5 à 8 (fin d’année) </t>
  </si>
  <si>
    <t>Ventes annuelles prévues</t>
  </si>
  <si>
    <t>Valeurs de récupération</t>
  </si>
  <si>
    <t>Flux monétaires</t>
  </si>
  <si>
    <t>Facteur d'actualisation</t>
  </si>
  <si>
    <t>Flux monétaires actualisés</t>
  </si>
  <si>
    <t xml:space="preserve">À cause de l’augmentation de la production, Il faudra dédier en début de projet un fonds de roulement de 20 000 $ et l’augmenter de 30 000 $ au début de la cinquième année. Le fonds de roulement sera récupéré à la fin du projet. </t>
  </si>
  <si>
    <t>Valeur actuelle nette</t>
  </si>
  <si>
    <t>e)</t>
  </si>
  <si>
    <t>Années</t>
  </si>
  <si>
    <t xml:space="preserve">Le comité a déterminé que l’on pouvait s’attendre à une contribution marginale unitaire (marge sur coût variable unitaire) avant impôt est de 25 $. Les charges d’exploitation fixes avant impôts, autres que l’amortissement comptable, devrait-être de 123 000 $ par année pour les quatres premières années et passeront par la suite à 242 000 $ par année pour les   années restantes du projet. </t>
  </si>
  <si>
    <t>Annuité équivalente</t>
  </si>
  <si>
    <t>c)</t>
  </si>
  <si>
    <t>Indice de Rentabilité</t>
  </si>
  <si>
    <t>Le taux de rendement acceptable minimum (TRAM) avant impôt est de 11%.</t>
  </si>
  <si>
    <t>d)</t>
  </si>
  <si>
    <t>i1</t>
  </si>
  <si>
    <t>ans</t>
  </si>
  <si>
    <t>nb de jours</t>
  </si>
  <si>
    <t>i2</t>
  </si>
  <si>
    <t xml:space="preserve">Travail à faire : </t>
  </si>
  <si>
    <t>a)  Mettre le coût d'acquisition et la valeur de récupération de l'équipement, du bâtiment et du terrain.</t>
  </si>
  <si>
    <t xml:space="preserve">b)  Calculer la valeur actualisée nette (VAN) du projet </t>
  </si>
  <si>
    <t xml:space="preserve">c)  Calculer l’annuitée équivalente du projet </t>
  </si>
  <si>
    <t xml:space="preserve">d)  Calculer l’indice de rentabilité du projet </t>
  </si>
  <si>
    <t>f)</t>
  </si>
  <si>
    <t>e)  Calculer le taux de rendement interne (TRI) (par interpolation) du projet (soyez précis et prenez 1% entre les deux taux)</t>
  </si>
  <si>
    <t>Taux de réinvestissement</t>
  </si>
  <si>
    <t>TRAM</t>
  </si>
  <si>
    <t xml:space="preserve">f)  Calculer le délai de récupération avec rendement </t>
  </si>
  <si>
    <t xml:space="preserve">g)  Calculer le TRIM en considérant un taux de réinvestissement de 10% </t>
  </si>
  <si>
    <t xml:space="preserve">h)  Donner une recommandation sur le projet en vous basant sur vos résultats </t>
  </si>
  <si>
    <t>TRIM</t>
  </si>
  <si>
    <t>h)</t>
  </si>
  <si>
    <t>Été 2020</t>
  </si>
  <si>
    <t>Débours</t>
  </si>
  <si>
    <t>Évaluation</t>
  </si>
  <si>
    <t>proportion</t>
  </si>
  <si>
    <t>Immeuble et terrain</t>
  </si>
  <si>
    <t>Notaires</t>
  </si>
  <si>
    <t>Taxes</t>
  </si>
  <si>
    <t>Total</t>
  </si>
  <si>
    <t>Fond de  roulement</t>
  </si>
  <si>
    <t>À noter que des frais notariés de 4 550$ et des droits de mutation de 21 450 $ devront également être déboursés pour conclure cette transaction.</t>
  </si>
  <si>
    <t xml:space="preserve">Charges fixes </t>
  </si>
  <si>
    <t>Contribution marginale par u</t>
  </si>
  <si>
    <t>Contribution marginael tot</t>
  </si>
  <si>
    <t xml:space="preserve">Fond de roulement </t>
  </si>
  <si>
    <t>Probabilité</t>
  </si>
  <si>
    <t>Équipement</t>
  </si>
  <si>
    <t xml:space="preserve">Immeuble </t>
  </si>
  <si>
    <t xml:space="preserve">Terrain </t>
  </si>
  <si>
    <t>(A/P,11%,8)</t>
  </si>
  <si>
    <t>Flux monétaire</t>
  </si>
  <si>
    <t>Cumul</t>
  </si>
  <si>
    <t>14</t>
  </si>
  <si>
    <t>VAN</t>
  </si>
  <si>
    <t>Investissement</t>
  </si>
  <si>
    <t>15</t>
  </si>
  <si>
    <t>Taux (1% de différence)</t>
  </si>
  <si>
    <t>Partie 1</t>
  </si>
  <si>
    <t>van1</t>
  </si>
  <si>
    <t>van2</t>
  </si>
  <si>
    <t>-0,5 point</t>
  </si>
  <si>
    <t>TRI</t>
  </si>
  <si>
    <t>16</t>
  </si>
  <si>
    <t>Capitalisation FM</t>
  </si>
  <si>
    <t>MF</t>
  </si>
  <si>
    <t>Partie 2</t>
  </si>
  <si>
    <t>MP</t>
  </si>
  <si>
    <t>Calculer la VAN après impôt en cosnidérant que :</t>
  </si>
  <si>
    <t xml:space="preserve">Le taux de déduction pour amortissement fiscal (DPA) qui s’applique à l’équipement est de 20 % calculé sur le solde non amorti. </t>
  </si>
  <si>
    <t xml:space="preserve">Le taux de DPA qui s’applique à l’immeuble est de 4% calculé sur le solde non amorti </t>
  </si>
  <si>
    <t xml:space="preserve">L’entreprise est assujettie à un taux d’impôt marginal de 22,6 % et son taux de rendement acceptable minimum (TRAM) est de 8,5 % après impôt. </t>
  </si>
  <si>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</si>
  <si>
    <t>On vous demande finalement d'effectuer une analyse de sensibilité sur la contribution marginale en la faisant varier de plus 10% et d'en tirer une conclusion. Indiquer l'impact en % sur la VAN.</t>
  </si>
  <si>
    <t>Étudiant</t>
  </si>
  <si>
    <t>Réponse simulée</t>
  </si>
  <si>
    <t>points</t>
  </si>
  <si>
    <t>Pointage</t>
  </si>
  <si>
    <t>Nb de point</t>
  </si>
  <si>
    <t>TOTAL</t>
  </si>
  <si>
    <t>Note finale</t>
  </si>
  <si>
    <t>Note minimale</t>
  </si>
  <si>
    <t>Lab 5 -TP 4</t>
  </si>
  <si>
    <t>Vous travaillez depuis maintenant 10 ans pour l’entreprise Cov inc. qui se spécialise en équipements de protection bactérienne. Voyant qu’il y a présentement une belle opportunité de marché Post covid-19, une idée a germé et vous aimeriez l’exploiter. Ces 10 derniers mois, elle a investi 121 000 $ en recherche et développement et vous êtes en train d’analyser les données d’analyse de marché que vous aviez commandée auprès d’une firme spécialisée. Cov inc. vient de recevoir la facture de 17 000 $ pour le travail effectué et elle a 45 jours pour faire le payement.</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</si>
  <si>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480 000 $ et que la bâtisse est évaluée à 720 000 $. Après plusieurs négociations, vous considérez que vous seriez capable d’en faire faire l’acquisition pour 1 450 000 $.</t>
  </si>
  <si>
    <t>À noter que des frais notariés de 6 550 $ et des droits de mutation de 28 250 $ devront également être déboursés pour conclure cette transaction.</t>
  </si>
  <si>
    <t xml:space="preserve">Au bout de 8 ans, l’immeuble aura une valeur de revente estimée de 630 000 $ et le terrain devrait prendre 4% de valeur par année. À la fin des 8 années, le terrain sera vendu à sa valeur marchande. </t>
  </si>
  <si>
    <t>De plus, elle devra investir dans du nouvel équipement évaluer à 438 000 $, installation et formations de base incluses. Cet équipement possèderait une vie utile de 20 ans. À la fin de sa vie utile, la valeur de revente sera de 75 000 $. On considère que ce type d’équipement perd toujours la même valeur à  chaque année.</t>
  </si>
  <si>
    <t>Après plusieurs discussions en comité, avec le département des ventes, le département de marketing et la firme de consultation, il est clair que la quantité que l’on pourrait vendre de notre produit représentent la variable la plus incertaine de ce projet. À cet effet, le comité a établi des valeurs de cette variable et révèle la distribution de probabilités suivante pour les 8 années de production : </t>
  </si>
  <si>
    <t>Années 1 à 4</t>
  </si>
  <si>
    <t>Années 5 à 8</t>
  </si>
  <si>
    <t xml:space="preserve">À cause de l’augmentation de la production, Il faudra dédier en début de projet un fonds de roulement de 30 000 $ et l’augmenter de 20 000 $ au début de la cinquième année. Le fonds de roulement sera récupéré à la fin du projet. </t>
  </si>
  <si>
    <t>-1 point</t>
  </si>
  <si>
    <t xml:space="preserve">Le comité a déterminé que l’on pouvait s’attendre à une contribution marginale unitaire (marge sur coût variable unitaire) avant impôt est de 30 $. Les charges d’exploitation fixes avant impôts, autres que l’amortissement comptable, devrait-être de 157 000 $ par année pour les quatres premières années et passeront par la suite à 290 000 $ par année pour les années restantes du projet. </t>
  </si>
  <si>
    <t>Le taux de rendement acceptable minimum (TRAM) avant impôt est de 12%.</t>
  </si>
  <si>
    <t>g)</t>
  </si>
  <si>
    <t>Hemed</t>
  </si>
  <si>
    <t>Salha</t>
  </si>
  <si>
    <t>Cout d'acquisition:</t>
  </si>
  <si>
    <t>Terrain + Batisse</t>
  </si>
  <si>
    <t>Fraction terrain</t>
  </si>
  <si>
    <t>Fraction batisse</t>
  </si>
  <si>
    <t>Frais notarié</t>
  </si>
  <si>
    <t>Droit de mutation</t>
  </si>
  <si>
    <t>Amortissement linéaire équipement</t>
  </si>
  <si>
    <t>Contribution marginale</t>
  </si>
  <si>
    <t>Charges d'exploitation fixes</t>
  </si>
  <si>
    <t>Fond de roulement</t>
  </si>
  <si>
    <t>(A/P;11%;8)</t>
  </si>
  <si>
    <t>IR = VAN/abs(VA_DI) +1</t>
  </si>
  <si>
    <t>VA_DI</t>
  </si>
  <si>
    <t>VAN1</t>
  </si>
  <si>
    <t>VAN2</t>
  </si>
  <si>
    <t>TRI=i1+VAN1/(VAN1-VAN2)*(i2-i1)</t>
  </si>
  <si>
    <t>gain valeur terrain</t>
  </si>
  <si>
    <t>FMN actualisée</t>
  </si>
  <si>
    <t>Montant à recouvrer</t>
  </si>
  <si>
    <t>Recettes</t>
  </si>
  <si>
    <t>Fact. de réinvestissement</t>
  </si>
  <si>
    <t>MP =</t>
  </si>
  <si>
    <t>MF =</t>
  </si>
  <si>
    <t>À la suite de l'analyse du projet, je recommande son adoption, car la VAN est positive (&gt;0), l'indice de rentabilité est supérieur à 1, le délai de récupération du projet est inférieur au délai du projet (8 ans) le TRI et le TRIM sont supérieurs au TRAM. Ainsi le projet est acceptable.</t>
  </si>
  <si>
    <t>Valeur éval terrain</t>
  </si>
  <si>
    <t>Valeur éval batisse</t>
  </si>
  <si>
    <t>/an</t>
  </si>
  <si>
    <t>On doit actualiser les débours d'investissement avant d e faire les calculs de délai de récupération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</si>
</sst>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0.00\ &quot;$&quot;_);[Red]\(#,##0.00\ &quot;$&quot;\)"/>
    <numFmt numFmtId="44" formatCode="_ * #,##0.00_)\ &quot;$&quot;_ ;_ * \(#,##0.00\)\ &quot;$&quot;_ ;_ * &quot;-&quot;??_)\ &quot;$&quot;_ ;_ @_ "/>
    <numFmt numFmtId="164" formatCode="&quot; &quot;* #,##0&quot;  &quot;&quot;$&quot;&quot; &quot;;&quot; &quot;* \(#,##0&quot;) &quot;&quot;$&quot;&quot; &quot;;&quot; &quot;* &quot;-&quot;??&quot;  &quot;&quot;$&quot;&quot; &quot;"/>
    <numFmt numFmtId="165" formatCode="&quot; &quot;* #,##0.00&quot;    &quot;;&quot; &quot;* \(#,##0.00&quot;)   &quot;;&quot; &quot;* &quot;-&quot;??&quot;    &quot;"/>
    <numFmt numFmtId="166" formatCode="&quot; &quot;* #,##0.00&quot;  &quot;&quot;$&quot;&quot; &quot;;&quot; &quot;* \(#,##0.00&quot;) &quot;&quot;$&quot;&quot; &quot;;&quot; &quot;* &quot;-&quot;??&quot;  &quot;&quot;$&quot;&quot; &quot;"/>
    <numFmt numFmtId="167" formatCode="#,##0&quot; u&quot;"/>
    <numFmt numFmtId="168" formatCode="#,##0&quot; &quot;&quot;$&quot;&quot; &quot;;#,##0&quot; &quot;&quot;$&quot;&quot;-&quot;"/>
    <numFmt numFmtId="169" formatCode="#,##0&quot; u.&quot;"/>
    <numFmt numFmtId="170" formatCode="#,##0&quot; &quot;&quot;$&quot;"/>
    <numFmt numFmtId="171" formatCode="0.0000"/>
    <numFmt numFmtId="172" formatCode="&quot; &quot;* #,##0.00000&quot;  &quot;;&quot; &quot;* \(#,##0.00000&quot;) &quot;;&quot; &quot;* &quot;-&quot;??&quot;  &quot;"/>
    <numFmt numFmtId="173" formatCode="#,##0&quot; ans&quot;"/>
    <numFmt numFmtId="174" formatCode="#,##0&quot; jours&quot;"/>
    <numFmt numFmtId="175" formatCode="&quot; &quot;* #,##0.00&quot;  &quot;;&quot; &quot;* \(#,##0.00&quot;) &quot;;&quot; &quot;* &quot;-&quot;??&quot;  &quot;"/>
    <numFmt numFmtId="176" formatCode="&quot; &quot;* #,##0&quot;    &quot;;&quot; &quot;* \(#,##0&quot;)   &quot;;&quot; &quot;* &quot;-&quot;??&quot;    &quot;"/>
    <numFmt numFmtId="177" formatCode="_ * #,##0_)\ &quot;$&quot;_ ;_ * \(#,##0\)\ &quot;$&quot;_ ;_ * &quot;-&quot;????_)\ &quot;$&quot;_ ;_ @_ "/>
    <numFmt numFmtId="178" formatCode="_ * #,##0_)\ &quot;$&quot;_ ;_ * \(#,##0\)\ &quot;$&quot;_ ;_ * &quot;-&quot;??_)\ &quot;$&quot;_ ;_ @_ "/>
  </numFmts>
  <fonts count="13" x14ac:knownFonts="1">
    <font>
      <sz val="11"/>
      <color indexed="8"/>
      <name val="Arial"/>
    </font>
    <font>
      <b/>
      <sz val="24"/>
      <color indexed="8"/>
      <name val="Arial"/>
      <family val="2"/>
    </font>
    <font>
      <sz val="12"/>
      <color indexed="8"/>
      <name val="Arial"/>
      <family val="2"/>
    </font>
    <font>
      <b/>
      <sz val="22"/>
      <color indexed="8"/>
      <name val="Arial"/>
      <family val="2"/>
    </font>
    <font>
      <b/>
      <sz val="12"/>
      <color indexed="8"/>
      <name val="Arial"/>
      <family val="2"/>
    </font>
    <font>
      <b/>
      <u/>
      <sz val="12"/>
      <color indexed="8"/>
      <name val="Arial"/>
      <family val="2"/>
    </font>
    <font>
      <b/>
      <sz val="12"/>
      <color indexed="8"/>
      <name val="Calibri"/>
      <family val="2"/>
    </font>
    <font>
      <sz val="12"/>
      <color indexed="8"/>
      <name val="Calibri"/>
      <family val="2"/>
    </font>
    <font>
      <sz val="11"/>
      <color indexed="8"/>
      <name val="Calibri"/>
      <family val="2"/>
    </font>
    <font>
      <b/>
      <sz val="11"/>
      <color indexed="8"/>
      <name val="Calibri"/>
      <family val="2"/>
    </font>
    <font>
      <sz val="11"/>
      <color indexed="8"/>
      <name val="Arial"/>
      <family val="2"/>
    </font>
    <font>
      <sz val="12"/>
      <name val="Calibri"/>
      <family val="2"/>
    </font>
    <font>
      <sz val="11"/>
      <color indexed="8"/>
      <name val="Arial"/>
      <family val="2"/>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theme="9" tint="0.59999389629810485"/>
        <bgColor indexed="64"/>
      </patternFill>
    </fill>
  </fills>
  <borders count="9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medium">
        <color indexed="8"/>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0"/>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thin">
        <color indexed="10"/>
      </top>
      <bottom style="thin">
        <color indexed="10"/>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0"/>
      </left>
      <right style="thin">
        <color indexed="8"/>
      </right>
      <top style="medium">
        <color indexed="8"/>
      </top>
      <bottom style="thin">
        <color indexed="10"/>
      </bottom>
      <diagonal/>
    </border>
    <border>
      <left style="thin">
        <color indexed="8"/>
      </left>
      <right style="medium">
        <color indexed="8"/>
      </right>
      <top style="medium">
        <color indexed="8"/>
      </top>
      <bottom/>
      <diagonal/>
    </border>
    <border>
      <left style="thin">
        <color indexed="8"/>
      </left>
      <right style="medium">
        <color indexed="8"/>
      </right>
      <top/>
      <bottom/>
      <diagonal/>
    </border>
    <border>
      <left style="thin">
        <color indexed="10"/>
      </left>
      <right style="thin">
        <color indexed="8"/>
      </right>
      <top style="thin">
        <color indexed="10"/>
      </top>
      <bottom style="medium">
        <color indexed="8"/>
      </bottom>
      <diagonal/>
    </border>
    <border>
      <left style="thin">
        <color indexed="8"/>
      </left>
      <right style="medium">
        <color indexed="8"/>
      </right>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medium">
        <color indexed="8"/>
      </right>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medium">
        <color indexed="8"/>
      </left>
      <right style="thin">
        <color indexed="10"/>
      </right>
      <top style="thin">
        <color indexed="8"/>
      </top>
      <bottom style="thin">
        <color indexed="10"/>
      </bottom>
      <diagonal/>
    </border>
    <border>
      <left style="thin">
        <color indexed="10"/>
      </left>
      <right style="medium">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medium">
        <color indexed="8"/>
      </right>
      <top style="thin">
        <color indexed="8"/>
      </top>
      <bottom/>
      <diagonal/>
    </border>
    <border>
      <left style="medium">
        <color indexed="8"/>
      </left>
      <right style="thin">
        <color indexed="10"/>
      </right>
      <top style="thin">
        <color indexed="8"/>
      </top>
      <bottom style="medium">
        <color indexed="8"/>
      </bottom>
      <diagonal/>
    </border>
    <border>
      <left style="thin">
        <color indexed="10"/>
      </left>
      <right style="medium">
        <color indexed="8"/>
      </right>
      <top style="thin">
        <color indexed="8"/>
      </top>
      <bottom style="medium">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thin">
        <color indexed="10"/>
      </right>
      <top/>
      <bottom style="medium">
        <color indexed="8"/>
      </bottom>
      <diagonal/>
    </border>
    <border>
      <left style="thin">
        <color indexed="10"/>
      </left>
      <right style="thin">
        <color indexed="10"/>
      </right>
      <top/>
      <bottom style="medium">
        <color indexed="8"/>
      </bottom>
      <diagonal/>
    </border>
    <border>
      <left style="thin">
        <color indexed="10"/>
      </left>
      <right style="medium">
        <color indexed="8"/>
      </right>
      <top/>
      <bottom style="medium">
        <color indexed="8"/>
      </bottom>
      <diagonal/>
    </border>
    <border>
      <left style="thin">
        <color indexed="10"/>
      </left>
      <right style="thin">
        <color indexed="10"/>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medium">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10"/>
      </right>
      <top style="medium">
        <color indexed="8"/>
      </top>
      <bottom/>
      <diagonal/>
    </border>
    <border>
      <left style="thin">
        <color indexed="10"/>
      </left>
      <right style="medium">
        <color indexed="8"/>
      </right>
      <top style="medium">
        <color indexed="8"/>
      </top>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medium">
        <color indexed="8"/>
      </left>
      <right style="thin">
        <color indexed="8"/>
      </right>
      <top style="medium">
        <color indexed="8"/>
      </top>
      <bottom style="thin">
        <color indexed="10"/>
      </bottom>
      <diagonal/>
    </border>
    <border>
      <left style="thin">
        <color indexed="8"/>
      </left>
      <right/>
      <top style="thin">
        <color indexed="8"/>
      </top>
      <bottom/>
      <diagonal/>
    </border>
    <border>
      <left style="medium">
        <color indexed="8"/>
      </left>
      <right style="thin">
        <color indexed="8"/>
      </right>
      <top style="thin">
        <color indexed="10"/>
      </top>
      <bottom style="thin">
        <color indexed="10"/>
      </bottom>
      <diagonal/>
    </border>
    <border>
      <left style="thin">
        <color indexed="8"/>
      </left>
      <right/>
      <top/>
      <bottom/>
      <diagonal/>
    </border>
    <border>
      <left style="medium">
        <color indexed="8"/>
      </left>
      <right style="thin">
        <color indexed="8"/>
      </right>
      <top style="thin">
        <color indexed="10"/>
      </top>
      <bottom style="medium">
        <color indexed="8"/>
      </bottom>
      <diagonal/>
    </border>
    <border>
      <left style="thin">
        <color indexed="8"/>
      </left>
      <right/>
      <top/>
      <bottom style="medium">
        <color indexed="8"/>
      </bottom>
      <diagonal/>
    </border>
    <border>
      <left/>
      <right style="thin">
        <color indexed="10"/>
      </right>
      <top style="medium">
        <color indexed="8"/>
      </top>
      <bottom style="medium">
        <color indexed="8"/>
      </bottom>
      <diagonal/>
    </border>
    <border>
      <left style="thin">
        <color indexed="10"/>
      </left>
      <right/>
      <top style="medium">
        <color indexed="8"/>
      </top>
      <bottom style="medium">
        <color indexed="8"/>
      </bottom>
      <diagonal/>
    </border>
    <border>
      <left/>
      <right style="thin">
        <color indexed="10"/>
      </right>
      <top style="thin">
        <color indexed="8"/>
      </top>
      <bottom/>
      <diagonal/>
    </border>
    <border>
      <left style="thin">
        <color indexed="10"/>
      </left>
      <right style="thin">
        <color indexed="10"/>
      </right>
      <top style="thin">
        <color indexed="8"/>
      </top>
      <bottom/>
      <diagonal/>
    </border>
    <border>
      <left style="thin">
        <color indexed="10"/>
      </left>
      <right/>
      <top style="thin">
        <color indexed="8"/>
      </top>
      <bottom/>
      <diagonal/>
    </border>
    <border>
      <left style="medium">
        <color indexed="8"/>
      </left>
      <right/>
      <top style="medium">
        <color indexed="8"/>
      </top>
      <bottom style="thin">
        <color indexed="10"/>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style="medium">
        <color indexed="8"/>
      </left>
      <right/>
      <top style="thin">
        <color indexed="10"/>
      </top>
      <bottom style="thin">
        <color indexed="10"/>
      </bottom>
      <diagonal/>
    </border>
    <border>
      <left style="medium">
        <color indexed="8"/>
      </left>
      <right style="thin">
        <color indexed="10"/>
      </right>
      <top/>
      <bottom style="thin">
        <color indexed="8"/>
      </bottom>
      <diagonal/>
    </border>
    <border>
      <left style="thin">
        <color indexed="10"/>
      </left>
      <right style="thin">
        <color indexed="10"/>
      </right>
      <top/>
      <bottom style="thin">
        <color indexed="8"/>
      </bottom>
      <diagonal/>
    </border>
    <border>
      <left style="medium">
        <color indexed="8"/>
      </left>
      <right style="thin">
        <color indexed="10"/>
      </right>
      <top style="thin">
        <color indexed="8"/>
      </top>
      <bottom/>
      <diagonal/>
    </border>
    <border>
      <left style="thin">
        <color indexed="10"/>
      </left>
      <right style="medium">
        <color indexed="8"/>
      </right>
      <top style="thin">
        <color indexed="8"/>
      </top>
      <bottom/>
      <diagonal/>
    </border>
  </borders>
  <cellStyleXfs count="3">
    <xf numFmtId="0" fontId="0" fillId="0" borderId="0" applyNumberFormat="0" applyFill="0" applyBorder="0" applyProtection="0"/>
    <xf numFmtId="44" fontId="10" fillId="0" borderId="0" applyFont="0" applyFill="0" applyBorder="0" applyAlignment="0" applyProtection="0"/>
    <xf numFmtId="9" fontId="12" fillId="0" borderId="0" applyFont="0" applyFill="0" applyBorder="0" applyAlignment="0" applyProtection="0"/>
  </cellStyleXfs>
  <cellXfs count="553">
    <xf numFmtId="0" fontId="0" fillId="0" borderId="0" xfId="0" applyFont="1" applyAlignment="1"/>
    <xf numFmtId="0" fontId="0" fillId="0" borderId="0" xfId="0" applyNumberFormat="1" applyFont="1" applyAlignment="1"/>
    <xf numFmtId="0" fontId="1" fillId="2" borderId="1" xfId="0" applyNumberFormat="1" applyFont="1" applyFill="1" applyBorder="1" applyAlignment="1">
      <alignment horizontal="center" vertical="center"/>
    </xf>
    <xf numFmtId="0" fontId="0" fillId="0" borderId="1" xfId="0" applyFont="1" applyBorder="1" applyAlignment="1"/>
    <xf numFmtId="49" fontId="2" fillId="2" borderId="1" xfId="0" applyNumberFormat="1" applyFont="1" applyFill="1" applyBorder="1" applyAlignment="1"/>
    <xf numFmtId="0" fontId="2" fillId="2" borderId="1" xfId="0" applyNumberFormat="1" applyFont="1" applyFill="1" applyBorder="1" applyAlignment="1"/>
    <xf numFmtId="0" fontId="2" fillId="2" borderId="1" xfId="0" applyNumberFormat="1" applyFont="1" applyFill="1" applyBorder="1" applyAlignment="1">
      <alignment horizontal="left"/>
    </xf>
    <xf numFmtId="0" fontId="2" fillId="3" borderId="4" xfId="0" applyNumberFormat="1" applyFont="1" applyFill="1" applyBorder="1" applyAlignment="1"/>
    <xf numFmtId="0" fontId="2" fillId="2" borderId="5" xfId="0" applyNumberFormat="1" applyFont="1" applyFill="1" applyBorder="1" applyAlignment="1"/>
    <xf numFmtId="0" fontId="2" fillId="2" borderId="2" xfId="0" applyNumberFormat="1" applyFont="1" applyFill="1" applyBorder="1" applyAlignment="1"/>
    <xf numFmtId="0" fontId="2" fillId="2" borderId="6" xfId="0" applyNumberFormat="1" applyFont="1" applyFill="1" applyBorder="1" applyAlignment="1"/>
    <xf numFmtId="0" fontId="0" fillId="0" borderId="0" xfId="0" applyNumberFormat="1" applyFont="1" applyAlignment="1"/>
    <xf numFmtId="0" fontId="0" fillId="2" borderId="8" xfId="0" applyFont="1" applyFill="1" applyBorder="1" applyAlignment="1"/>
    <xf numFmtId="49" fontId="6" fillId="2" borderId="9" xfId="0" applyNumberFormat="1" applyFont="1" applyFill="1" applyBorder="1" applyAlignment="1"/>
    <xf numFmtId="49" fontId="6" fillId="2" borderId="9" xfId="0" applyNumberFormat="1" applyFont="1" applyFill="1" applyBorder="1" applyAlignment="1">
      <alignment horizontal="right"/>
    </xf>
    <xf numFmtId="0" fontId="0" fillId="2" borderId="12" xfId="0" applyFont="1" applyFill="1" applyBorder="1" applyAlignment="1"/>
    <xf numFmtId="0" fontId="0" fillId="2" borderId="1" xfId="0" applyFont="1" applyFill="1" applyBorder="1" applyAlignment="1"/>
    <xf numFmtId="0" fontId="4" fillId="2" borderId="13" xfId="0" applyNumberFormat="1" applyFont="1" applyFill="1" applyBorder="1" applyAlignment="1">
      <alignment vertical="center"/>
    </xf>
    <xf numFmtId="0" fontId="0" fillId="2" borderId="13" xfId="0" applyFont="1" applyFill="1" applyBorder="1" applyAlignment="1"/>
    <xf numFmtId="49" fontId="6" fillId="2" borderId="1" xfId="0" applyNumberFormat="1" applyFont="1" applyFill="1" applyBorder="1" applyAlignment="1"/>
    <xf numFmtId="49" fontId="6" fillId="2" borderId="14" xfId="0" applyNumberFormat="1" applyFont="1" applyFill="1" applyBorder="1" applyAlignment="1"/>
    <xf numFmtId="0" fontId="0" fillId="2" borderId="14" xfId="0" applyFont="1" applyFill="1" applyBorder="1" applyAlignment="1"/>
    <xf numFmtId="164" fontId="7" fillId="2" borderId="1" xfId="0" applyNumberFormat="1" applyFont="1" applyFill="1" applyBorder="1" applyAlignment="1"/>
    <xf numFmtId="0" fontId="0" fillId="2" borderId="15" xfId="0" applyFont="1" applyFill="1" applyBorder="1" applyAlignment="1"/>
    <xf numFmtId="0" fontId="0" fillId="2" borderId="19" xfId="0" applyFont="1" applyFill="1" applyBorder="1" applyAlignment="1"/>
    <xf numFmtId="0" fontId="7" fillId="2" borderId="20" xfId="0" applyNumberFormat="1" applyFont="1" applyFill="1" applyBorder="1" applyAlignment="1"/>
    <xf numFmtId="49" fontId="6" fillId="2" borderId="21" xfId="0" applyNumberFormat="1" applyFont="1" applyFill="1" applyBorder="1" applyAlignment="1">
      <alignment horizontal="center"/>
    </xf>
    <xf numFmtId="49" fontId="6" fillId="2" borderId="22" xfId="0" applyNumberFormat="1" applyFont="1" applyFill="1" applyBorder="1" applyAlignment="1"/>
    <xf numFmtId="0" fontId="7" fillId="2" borderId="19" xfId="0" applyNumberFormat="1" applyFont="1" applyFill="1" applyBorder="1" applyAlignment="1"/>
    <xf numFmtId="0" fontId="7" fillId="2" borderId="1" xfId="0" applyNumberFormat="1" applyFont="1" applyFill="1" applyBorder="1" applyAlignment="1"/>
    <xf numFmtId="0" fontId="7" fillId="2" borderId="15" xfId="0" applyNumberFormat="1" applyFont="1" applyFill="1" applyBorder="1" applyAlignment="1"/>
    <xf numFmtId="0" fontId="6" fillId="2" borderId="1" xfId="0" applyNumberFormat="1" applyFont="1" applyFill="1" applyBorder="1" applyAlignment="1">
      <alignment horizontal="center"/>
    </xf>
    <xf numFmtId="49" fontId="6" fillId="2" borderId="23" xfId="0" applyNumberFormat="1" applyFont="1" applyFill="1" applyBorder="1" applyAlignment="1"/>
    <xf numFmtId="164" fontId="7" fillId="3" borderId="24" xfId="0" applyNumberFormat="1" applyFont="1" applyFill="1" applyBorder="1" applyAlignment="1"/>
    <xf numFmtId="166" fontId="7" fillId="3" borderId="25" xfId="0" applyNumberFormat="1" applyFont="1" applyFill="1" applyBorder="1" applyAlignment="1"/>
    <xf numFmtId="0" fontId="7" fillId="2" borderId="1" xfId="0" applyNumberFormat="1" applyFont="1" applyFill="1" applyBorder="1" applyAlignment="1">
      <alignment horizontal="center"/>
    </xf>
    <xf numFmtId="49" fontId="6" fillId="2" borderId="26" xfId="0" applyNumberFormat="1" applyFont="1" applyFill="1" applyBorder="1" applyAlignment="1"/>
    <xf numFmtId="164" fontId="7" fillId="3" borderId="27" xfId="0" applyNumberFormat="1" applyFont="1" applyFill="1" applyBorder="1" applyAlignment="1"/>
    <xf numFmtId="166" fontId="7" fillId="3" borderId="28" xfId="0" applyNumberFormat="1" applyFont="1" applyFill="1" applyBorder="1" applyAlignment="1"/>
    <xf numFmtId="49" fontId="6" fillId="2" borderId="20" xfId="0" applyNumberFormat="1" applyFont="1" applyFill="1" applyBorder="1" applyAlignment="1"/>
    <xf numFmtId="164" fontId="7" fillId="3" borderId="29" xfId="0" applyNumberFormat="1" applyFont="1" applyFill="1" applyBorder="1" applyAlignment="1"/>
    <xf numFmtId="166" fontId="7" fillId="3" borderId="30" xfId="0" applyNumberFormat="1" applyFont="1" applyFill="1" applyBorder="1" applyAlignment="1"/>
    <xf numFmtId="0" fontId="7" fillId="2" borderId="31" xfId="0" applyNumberFormat="1" applyFont="1" applyFill="1" applyBorder="1" applyAlignment="1"/>
    <xf numFmtId="0" fontId="7" fillId="2" borderId="14" xfId="0" applyNumberFormat="1" applyFont="1" applyFill="1" applyBorder="1" applyAlignment="1"/>
    <xf numFmtId="0" fontId="7" fillId="2" borderId="32" xfId="0" applyNumberFormat="1" applyFont="1" applyFill="1" applyBorder="1" applyAlignment="1"/>
    <xf numFmtId="0" fontId="0" fillId="2" borderId="17" xfId="0" applyFont="1" applyFill="1" applyBorder="1" applyAlignment="1"/>
    <xf numFmtId="0" fontId="6" fillId="2" borderId="14" xfId="0" applyNumberFormat="1" applyFont="1" applyFill="1" applyBorder="1" applyAlignment="1"/>
    <xf numFmtId="0" fontId="7" fillId="2" borderId="14" xfId="0" applyNumberFormat="1" applyFont="1" applyFill="1" applyBorder="1" applyAlignment="1">
      <alignment horizontal="center" vertical="center"/>
    </xf>
    <xf numFmtId="0" fontId="7" fillId="2" borderId="33" xfId="0" applyNumberFormat="1" applyFont="1" applyFill="1" applyBorder="1" applyAlignment="1"/>
    <xf numFmtId="49" fontId="6" fillId="5" borderId="34" xfId="0" applyNumberFormat="1" applyFont="1" applyFill="1" applyBorder="1" applyAlignment="1">
      <alignment horizontal="center"/>
    </xf>
    <xf numFmtId="0" fontId="6" fillId="2" borderId="21" xfId="0" applyNumberFormat="1" applyFont="1" applyFill="1" applyBorder="1" applyAlignment="1">
      <alignment horizontal="center"/>
    </xf>
    <xf numFmtId="0" fontId="6" fillId="2" borderId="35" xfId="0" applyNumberFormat="1" applyFont="1" applyFill="1" applyBorder="1" applyAlignment="1">
      <alignment horizontal="center"/>
    </xf>
    <xf numFmtId="0" fontId="6" fillId="2" borderId="22" xfId="0" applyNumberFormat="1" applyFont="1" applyFill="1" applyBorder="1" applyAlignment="1">
      <alignment horizontal="center"/>
    </xf>
    <xf numFmtId="0" fontId="6" fillId="2" borderId="19" xfId="0" applyNumberFormat="1" applyFont="1" applyFill="1" applyBorder="1" applyAlignment="1">
      <alignment horizontal="center"/>
    </xf>
    <xf numFmtId="9" fontId="7" fillId="5" borderId="34" xfId="0" applyNumberFormat="1" applyFont="1" applyFill="1" applyBorder="1" applyAlignment="1">
      <alignment horizontal="center"/>
    </xf>
    <xf numFmtId="167" fontId="7" fillId="2" borderId="36" xfId="0" applyNumberFormat="1" applyFont="1" applyFill="1" applyBorder="1" applyAlignment="1">
      <alignment horizontal="center"/>
    </xf>
    <xf numFmtId="167" fontId="7" fillId="3" borderId="37" xfId="0" applyNumberFormat="1" applyFont="1" applyFill="1" applyBorder="1" applyAlignment="1">
      <alignment horizontal="center"/>
    </xf>
    <xf numFmtId="167" fontId="7" fillId="3" borderId="38" xfId="0" applyNumberFormat="1" applyFont="1" applyFill="1" applyBorder="1" applyAlignment="1">
      <alignment horizontal="center"/>
    </xf>
    <xf numFmtId="167" fontId="7" fillId="2" borderId="19" xfId="0" applyNumberFormat="1" applyFont="1" applyFill="1" applyBorder="1" applyAlignment="1">
      <alignment horizontal="center"/>
    </xf>
    <xf numFmtId="167" fontId="7" fillId="2" borderId="1" xfId="0" applyNumberFormat="1" applyFont="1" applyFill="1" applyBorder="1" applyAlignment="1">
      <alignment horizontal="center"/>
    </xf>
    <xf numFmtId="0" fontId="6" fillId="2" borderId="16" xfId="0" applyNumberFormat="1" applyFont="1" applyFill="1" applyBorder="1" applyAlignment="1">
      <alignment horizontal="left"/>
    </xf>
    <xf numFmtId="0" fontId="7" fillId="2" borderId="39" xfId="0" applyNumberFormat="1" applyFont="1" applyFill="1" applyBorder="1" applyAlignment="1"/>
    <xf numFmtId="168" fontId="7" fillId="5" borderId="40" xfId="0" applyNumberFormat="1" applyFont="1" applyFill="1" applyBorder="1" applyAlignment="1">
      <alignment horizontal="center"/>
    </xf>
    <xf numFmtId="164" fontId="7" fillId="2" borderId="16" xfId="0" applyNumberFormat="1" applyFont="1" applyFill="1" applyBorder="1" applyAlignment="1">
      <alignment horizontal="center"/>
    </xf>
    <xf numFmtId="164" fontId="7" fillId="2" borderId="17" xfId="0" applyNumberFormat="1" applyFont="1" applyFill="1" applyBorder="1" applyAlignment="1">
      <alignment horizontal="center"/>
    </xf>
    <xf numFmtId="164" fontId="7" fillId="2" borderId="18" xfId="0" applyNumberFormat="1" applyFont="1" applyFill="1" applyBorder="1" applyAlignment="1">
      <alignment horizontal="center"/>
    </xf>
    <xf numFmtId="164" fontId="7" fillId="2" borderId="19" xfId="0" applyNumberFormat="1" applyFont="1" applyFill="1" applyBorder="1" applyAlignment="1">
      <alignment horizontal="center"/>
    </xf>
    <xf numFmtId="164" fontId="7" fillId="2" borderId="1" xfId="0" applyNumberFormat="1" applyFont="1" applyFill="1" applyBorder="1" applyAlignment="1">
      <alignment horizontal="center"/>
    </xf>
    <xf numFmtId="0" fontId="6" fillId="2" borderId="19" xfId="0" applyNumberFormat="1" applyFont="1" applyFill="1" applyBorder="1" applyAlignment="1">
      <alignment horizontal="left"/>
    </xf>
    <xf numFmtId="0" fontId="7" fillId="2" borderId="8" xfId="0" applyNumberFormat="1" applyFont="1" applyFill="1" applyBorder="1" applyAlignment="1"/>
    <xf numFmtId="168" fontId="7" fillId="5" borderId="41" xfId="0" applyNumberFormat="1" applyFont="1" applyFill="1" applyBorder="1" applyAlignment="1">
      <alignment horizontal="center"/>
    </xf>
    <xf numFmtId="164" fontId="7" fillId="2" borderId="15" xfId="0" applyNumberFormat="1" applyFont="1" applyFill="1" applyBorder="1" applyAlignment="1">
      <alignment horizontal="center"/>
    </xf>
    <xf numFmtId="164" fontId="7" fillId="2" borderId="19" xfId="0" applyNumberFormat="1" applyFont="1" applyFill="1" applyBorder="1" applyAlignment="1"/>
    <xf numFmtId="0" fontId="7" fillId="2" borderId="42" xfId="0" applyNumberFormat="1" applyFont="1" applyFill="1" applyBorder="1" applyAlignment="1"/>
    <xf numFmtId="168" fontId="7" fillId="5" borderId="43" xfId="0" applyNumberFormat="1" applyFont="1" applyFill="1" applyBorder="1" applyAlignment="1">
      <alignment horizontal="center"/>
    </xf>
    <xf numFmtId="164" fontId="7" fillId="2" borderId="31" xfId="0" applyNumberFormat="1" applyFont="1" applyFill="1" applyBorder="1" applyAlignment="1">
      <alignment horizontal="center"/>
    </xf>
    <xf numFmtId="164" fontId="7" fillId="2" borderId="14" xfId="0" applyNumberFormat="1" applyFont="1" applyFill="1" applyBorder="1" applyAlignment="1"/>
    <xf numFmtId="164" fontId="7" fillId="2" borderId="32" xfId="0" applyNumberFormat="1" applyFont="1" applyFill="1" applyBorder="1" applyAlignment="1"/>
    <xf numFmtId="0" fontId="7" fillId="2" borderId="35" xfId="0" applyNumberFormat="1" applyFont="1" applyFill="1" applyBorder="1" applyAlignment="1"/>
    <xf numFmtId="0" fontId="7" fillId="2" borderId="22" xfId="0" applyNumberFormat="1" applyFont="1" applyFill="1" applyBorder="1" applyAlignment="1"/>
    <xf numFmtId="164" fontId="7" fillId="2" borderId="21" xfId="0" applyNumberFormat="1" applyFont="1" applyFill="1" applyBorder="1" applyAlignment="1"/>
    <xf numFmtId="164" fontId="7" fillId="2" borderId="35" xfId="0" applyNumberFormat="1" applyFont="1" applyFill="1" applyBorder="1" applyAlignment="1"/>
    <xf numFmtId="164" fontId="7" fillId="2" borderId="22" xfId="0" applyNumberFormat="1" applyFont="1" applyFill="1" applyBorder="1" applyAlignment="1"/>
    <xf numFmtId="0" fontId="7" fillId="5" borderId="40" xfId="0" applyNumberFormat="1" applyFont="1" applyFill="1" applyBorder="1" applyAlignment="1">
      <alignment horizontal="center"/>
    </xf>
    <xf numFmtId="164" fontId="7" fillId="2" borderId="17" xfId="0" applyNumberFormat="1" applyFont="1" applyFill="1" applyBorder="1" applyAlignment="1"/>
    <xf numFmtId="0" fontId="7" fillId="2" borderId="18" xfId="0" applyNumberFormat="1" applyFont="1" applyFill="1" applyBorder="1" applyAlignment="1"/>
    <xf numFmtId="0" fontId="7" fillId="5" borderId="41" xfId="0" applyNumberFormat="1" applyFont="1" applyFill="1" applyBorder="1" applyAlignment="1">
      <alignment horizontal="center"/>
    </xf>
    <xf numFmtId="164" fontId="7" fillId="2" borderId="19" xfId="0" applyNumberFormat="1" applyFont="1" applyFill="1" applyBorder="1" applyAlignment="1">
      <alignment horizontal="right"/>
    </xf>
    <xf numFmtId="0" fontId="7" fillId="5" borderId="48" xfId="0" applyNumberFormat="1" applyFont="1" applyFill="1" applyBorder="1" applyAlignment="1">
      <alignment horizontal="center"/>
    </xf>
    <xf numFmtId="0" fontId="7" fillId="2" borderId="49" xfId="0" applyNumberFormat="1" applyFont="1" applyFill="1" applyBorder="1" applyAlignment="1"/>
    <xf numFmtId="164" fontId="7" fillId="2" borderId="49" xfId="0" applyNumberFormat="1" applyFont="1" applyFill="1" applyBorder="1" applyAlignment="1"/>
    <xf numFmtId="0" fontId="7" fillId="2" borderId="50" xfId="0" applyNumberFormat="1" applyFont="1" applyFill="1" applyBorder="1" applyAlignment="1"/>
    <xf numFmtId="0" fontId="7" fillId="2" borderId="53" xfId="0" applyNumberFormat="1" applyFont="1" applyFill="1" applyBorder="1" applyAlignment="1"/>
    <xf numFmtId="9" fontId="7" fillId="5" borderId="54" xfId="0" applyNumberFormat="1" applyFont="1" applyFill="1" applyBorder="1" applyAlignment="1">
      <alignment horizontal="center"/>
    </xf>
    <xf numFmtId="164" fontId="7" fillId="2" borderId="51" xfId="0" applyNumberFormat="1" applyFont="1" applyFill="1" applyBorder="1" applyAlignment="1">
      <alignment horizontal="center"/>
    </xf>
    <xf numFmtId="164" fontId="7" fillId="2" borderId="13" xfId="0" applyNumberFormat="1" applyFont="1" applyFill="1" applyBorder="1" applyAlignment="1"/>
    <xf numFmtId="0" fontId="7" fillId="2" borderId="52" xfId="0" applyNumberFormat="1" applyFont="1" applyFill="1" applyBorder="1" applyAlignment="1"/>
    <xf numFmtId="9" fontId="7" fillId="5" borderId="41" xfId="0" applyNumberFormat="1" applyFont="1" applyFill="1" applyBorder="1" applyAlignment="1">
      <alignment horizontal="center"/>
    </xf>
    <xf numFmtId="164" fontId="7" fillId="2" borderId="15" xfId="0" applyNumberFormat="1" applyFont="1" applyFill="1" applyBorder="1" applyAlignment="1"/>
    <xf numFmtId="169" fontId="7" fillId="2" borderId="17" xfId="0" applyNumberFormat="1" applyFont="1" applyFill="1" applyBorder="1" applyAlignment="1">
      <alignment vertical="center"/>
    </xf>
    <xf numFmtId="9" fontId="7" fillId="2" borderId="17" xfId="0" applyNumberFormat="1" applyFont="1" applyFill="1" applyBorder="1" applyAlignment="1">
      <alignment horizontal="center"/>
    </xf>
    <xf numFmtId="164" fontId="7" fillId="2" borderId="1" xfId="0" applyNumberFormat="1" applyFont="1" applyFill="1" applyBorder="1" applyAlignment="1">
      <alignment horizontal="right"/>
    </xf>
    <xf numFmtId="169" fontId="7" fillId="2" borderId="1" xfId="0" applyNumberFormat="1" applyFont="1" applyFill="1" applyBorder="1" applyAlignment="1">
      <alignment vertical="center"/>
    </xf>
    <xf numFmtId="9" fontId="7" fillId="2" borderId="1" xfId="0" applyNumberFormat="1" applyFont="1" applyFill="1" applyBorder="1" applyAlignment="1">
      <alignment horizontal="center"/>
    </xf>
    <xf numFmtId="0" fontId="7" fillId="2" borderId="47" xfId="0" applyNumberFormat="1" applyFont="1" applyFill="1" applyBorder="1" applyAlignment="1"/>
    <xf numFmtId="9" fontId="7" fillId="5" borderId="48" xfId="0" applyNumberFormat="1" applyFont="1" applyFill="1" applyBorder="1" applyAlignment="1">
      <alignment horizontal="center"/>
    </xf>
    <xf numFmtId="164" fontId="7" fillId="2" borderId="46" xfId="0" applyNumberFormat="1" applyFont="1" applyFill="1" applyBorder="1" applyAlignment="1">
      <alignment horizontal="center"/>
    </xf>
    <xf numFmtId="164" fontId="7" fillId="2" borderId="49" xfId="0" applyNumberFormat="1" applyFont="1" applyFill="1" applyBorder="1" applyAlignment="1">
      <alignment horizontal="right"/>
    </xf>
    <xf numFmtId="170" fontId="7" fillId="5" borderId="54" xfId="0" applyNumberFormat="1" applyFont="1" applyFill="1" applyBorder="1" applyAlignment="1">
      <alignment horizontal="center"/>
    </xf>
    <xf numFmtId="164" fontId="6" fillId="3" borderId="57" xfId="0" applyNumberFormat="1" applyFont="1" applyFill="1" applyBorder="1" applyAlignment="1">
      <alignment horizontal="center"/>
    </xf>
    <xf numFmtId="164" fontId="6" fillId="3" borderId="58" xfId="0" applyNumberFormat="1" applyFont="1" applyFill="1" applyBorder="1" applyAlignment="1">
      <alignment horizontal="center"/>
    </xf>
    <xf numFmtId="164" fontId="6" fillId="3" borderId="59" xfId="0" applyNumberFormat="1" applyFont="1" applyFill="1" applyBorder="1" applyAlignment="1">
      <alignment horizontal="center"/>
    </xf>
    <xf numFmtId="164" fontId="6" fillId="2" borderId="19" xfId="0" applyNumberFormat="1" applyFont="1" applyFill="1" applyBorder="1" applyAlignment="1"/>
    <xf numFmtId="164" fontId="6" fillId="2" borderId="1" xfId="0" applyNumberFormat="1" applyFont="1" applyFill="1" applyBorder="1" applyAlignment="1"/>
    <xf numFmtId="9" fontId="7" fillId="2" borderId="1" xfId="0" applyNumberFormat="1" applyFont="1" applyFill="1" applyBorder="1" applyAlignment="1"/>
    <xf numFmtId="49" fontId="6" fillId="2" borderId="19" xfId="0" applyNumberFormat="1" applyFont="1" applyFill="1" applyBorder="1" applyAlignment="1">
      <alignment horizontal="left"/>
    </xf>
    <xf numFmtId="171" fontId="7" fillId="6" borderId="27" xfId="0" applyNumberFormat="1" applyFont="1" applyFill="1" applyBorder="1" applyAlignment="1">
      <alignment horizontal="center"/>
    </xf>
    <xf numFmtId="171" fontId="7" fillId="6" borderId="4" xfId="0" applyNumberFormat="1" applyFont="1" applyFill="1" applyBorder="1" applyAlignment="1">
      <alignment horizontal="center"/>
    </xf>
    <xf numFmtId="171" fontId="7" fillId="6" borderId="28" xfId="0" applyNumberFormat="1" applyFont="1" applyFill="1" applyBorder="1" applyAlignment="1">
      <alignment horizontal="center"/>
    </xf>
    <xf numFmtId="171" fontId="7" fillId="2" borderId="19" xfId="0" applyNumberFormat="1" applyFont="1" applyFill="1" applyBorder="1" applyAlignment="1"/>
    <xf numFmtId="171" fontId="7" fillId="2" borderId="1" xfId="0" applyNumberFormat="1" applyFont="1" applyFill="1" applyBorder="1" applyAlignment="1"/>
    <xf numFmtId="9" fontId="7" fillId="5" borderId="43" xfId="0" applyNumberFormat="1" applyFont="1" applyFill="1" applyBorder="1" applyAlignment="1">
      <alignment horizontal="center"/>
    </xf>
    <xf numFmtId="164" fontId="6" fillId="2" borderId="60" xfId="0" applyNumberFormat="1" applyFont="1" applyFill="1" applyBorder="1" applyAlignment="1">
      <alignment horizontal="center"/>
    </xf>
    <xf numFmtId="164" fontId="6" fillId="2" borderId="61" xfId="0" applyNumberFormat="1" applyFont="1" applyFill="1" applyBorder="1" applyAlignment="1">
      <alignment horizontal="center"/>
    </xf>
    <xf numFmtId="164" fontId="6" fillId="2" borderId="62" xfId="0" applyNumberFormat="1" applyFont="1" applyFill="1" applyBorder="1" applyAlignment="1">
      <alignment horizontal="center"/>
    </xf>
    <xf numFmtId="164" fontId="6" fillId="2" borderId="19" xfId="0" applyNumberFormat="1" applyFont="1" applyFill="1" applyBorder="1" applyAlignment="1">
      <alignment horizontal="center"/>
    </xf>
    <xf numFmtId="164" fontId="6" fillId="2" borderId="1" xfId="0" applyNumberFormat="1" applyFont="1" applyFill="1" applyBorder="1" applyAlignment="1">
      <alignment horizontal="center"/>
    </xf>
    <xf numFmtId="0" fontId="7" fillId="2" borderId="38" xfId="0" applyNumberFormat="1" applyFont="1" applyFill="1" applyBorder="1" applyAlignment="1"/>
    <xf numFmtId="0" fontId="7" fillId="2" borderId="16" xfId="0" applyNumberFormat="1" applyFont="1" applyFill="1" applyBorder="1" applyAlignment="1"/>
    <xf numFmtId="0" fontId="7" fillId="2" borderId="17" xfId="0" applyNumberFormat="1" applyFont="1" applyFill="1" applyBorder="1" applyAlignment="1"/>
    <xf numFmtId="49" fontId="6" fillId="2" borderId="14" xfId="0" applyNumberFormat="1" applyFont="1" applyFill="1" applyBorder="1" applyAlignment="1">
      <alignment horizontal="left"/>
    </xf>
    <xf numFmtId="164" fontId="6" fillId="2" borderId="14" xfId="0" applyNumberFormat="1" applyFont="1" applyFill="1" applyBorder="1" applyAlignment="1">
      <alignment horizontal="center" vertical="center"/>
    </xf>
    <xf numFmtId="0" fontId="7" fillId="2" borderId="45" xfId="0" applyNumberFormat="1" applyFont="1" applyFill="1" applyBorder="1" applyAlignment="1"/>
    <xf numFmtId="49" fontId="6" fillId="2" borderId="64" xfId="0" applyNumberFormat="1" applyFont="1" applyFill="1" applyBorder="1" applyAlignment="1"/>
    <xf numFmtId="49" fontId="6" fillId="2" borderId="31" xfId="0" applyNumberFormat="1" applyFont="1" applyFill="1" applyBorder="1" applyAlignment="1"/>
    <xf numFmtId="0" fontId="7" fillId="2" borderId="68" xfId="0" applyNumberFormat="1" applyFont="1" applyFill="1" applyBorder="1" applyAlignment="1"/>
    <xf numFmtId="49" fontId="7" fillId="2" borderId="19" xfId="0" applyNumberFormat="1" applyFont="1" applyFill="1" applyBorder="1" applyAlignment="1"/>
    <xf numFmtId="0" fontId="6" fillId="2" borderId="69" xfId="0" applyNumberFormat="1" applyFont="1" applyFill="1" applyBorder="1" applyAlignment="1">
      <alignment horizontal="center"/>
    </xf>
    <xf numFmtId="164" fontId="7" fillId="2" borderId="9" xfId="0" applyNumberFormat="1" applyFont="1" applyFill="1" applyBorder="1" applyAlignment="1"/>
    <xf numFmtId="164" fontId="7" fillId="2" borderId="70" xfId="0" applyNumberFormat="1" applyFont="1" applyFill="1" applyBorder="1" applyAlignment="1"/>
    <xf numFmtId="0" fontId="6" fillId="2" borderId="17" xfId="0" applyNumberFormat="1" applyFont="1" applyFill="1" applyBorder="1" applyAlignment="1">
      <alignment horizontal="left"/>
    </xf>
    <xf numFmtId="0" fontId="6" fillId="2" borderId="17" xfId="0" applyNumberFormat="1" applyFont="1" applyFill="1" applyBorder="1" applyAlignment="1">
      <alignment horizontal="center"/>
    </xf>
    <xf numFmtId="166" fontId="6" fillId="2" borderId="17" xfId="0" applyNumberFormat="1" applyFont="1" applyFill="1" applyBorder="1" applyAlignment="1">
      <alignment horizontal="center" vertical="center"/>
    </xf>
    <xf numFmtId="166" fontId="6" fillId="2" borderId="14" xfId="0" applyNumberFormat="1" applyFont="1" applyFill="1" applyBorder="1" applyAlignment="1">
      <alignment horizontal="center" vertical="center"/>
    </xf>
    <xf numFmtId="164" fontId="6" fillId="2" borderId="17" xfId="0" applyNumberFormat="1" applyFont="1" applyFill="1" applyBorder="1" applyAlignment="1"/>
    <xf numFmtId="166" fontId="6" fillId="2" borderId="18" xfId="0" applyNumberFormat="1" applyFont="1" applyFill="1" applyBorder="1" applyAlignment="1">
      <alignment horizontal="center" vertical="center"/>
    </xf>
    <xf numFmtId="166" fontId="6" fillId="2" borderId="32" xfId="0" applyNumberFormat="1" applyFont="1" applyFill="1" applyBorder="1" applyAlignment="1">
      <alignment horizontal="center" vertical="center"/>
    </xf>
    <xf numFmtId="165" fontId="7" fillId="2" borderId="38" xfId="0" applyNumberFormat="1" applyFont="1" applyFill="1" applyBorder="1" applyAlignment="1"/>
    <xf numFmtId="0" fontId="6" fillId="2" borderId="14" xfId="0" applyNumberFormat="1" applyFont="1" applyFill="1" applyBorder="1" applyAlignment="1">
      <alignment horizontal="left"/>
    </xf>
    <xf numFmtId="0" fontId="7" fillId="2" borderId="14" xfId="0" applyNumberFormat="1" applyFont="1" applyFill="1" applyBorder="1" applyAlignment="1">
      <alignment horizontal="center"/>
    </xf>
    <xf numFmtId="0" fontId="7" fillId="2" borderId="17" xfId="0" applyNumberFormat="1" applyFont="1" applyFill="1" applyBorder="1" applyAlignment="1">
      <alignment horizontal="center"/>
    </xf>
    <xf numFmtId="0" fontId="7" fillId="2" borderId="26" xfId="0" applyNumberFormat="1" applyFont="1" applyFill="1" applyBorder="1" applyAlignment="1"/>
    <xf numFmtId="0" fontId="6" fillId="2" borderId="72" xfId="0" applyNumberFormat="1" applyFont="1" applyFill="1" applyBorder="1" applyAlignment="1">
      <alignment horizontal="center"/>
    </xf>
    <xf numFmtId="164" fontId="7" fillId="2" borderId="73" xfId="0" applyNumberFormat="1" applyFont="1" applyFill="1" applyBorder="1" applyAlignment="1"/>
    <xf numFmtId="164" fontId="7" fillId="2" borderId="74" xfId="0" applyNumberFormat="1" applyFont="1" applyFill="1" applyBorder="1" applyAlignment="1"/>
    <xf numFmtId="0" fontId="6" fillId="2" borderId="1" xfId="0" applyNumberFormat="1" applyFont="1" applyFill="1" applyBorder="1" applyAlignment="1"/>
    <xf numFmtId="0" fontId="6" fillId="2" borderId="1" xfId="0" applyNumberFormat="1" applyFont="1" applyFill="1" applyBorder="1" applyAlignment="1">
      <alignment horizontal="left"/>
    </xf>
    <xf numFmtId="9" fontId="7" fillId="2" borderId="26" xfId="0" applyNumberFormat="1" applyFont="1" applyFill="1" applyBorder="1" applyAlignment="1"/>
    <xf numFmtId="49" fontId="6" fillId="2" borderId="75" xfId="0" applyNumberFormat="1" applyFont="1" applyFill="1" applyBorder="1" applyAlignment="1">
      <alignment horizontal="center"/>
    </xf>
    <xf numFmtId="49" fontId="6" fillId="2" borderId="76" xfId="0" applyNumberFormat="1" applyFont="1" applyFill="1" applyBorder="1" applyAlignment="1">
      <alignment horizontal="center"/>
    </xf>
    <xf numFmtId="164" fontId="7" fillId="2" borderId="16" xfId="0" applyNumberFormat="1" applyFont="1" applyFill="1" applyBorder="1" applyAlignment="1"/>
    <xf numFmtId="173" fontId="6" fillId="3" borderId="29" xfId="0" applyNumberFormat="1" applyFont="1" applyFill="1" applyBorder="1" applyAlignment="1"/>
    <xf numFmtId="174" fontId="6" fillId="3" borderId="30" xfId="0" applyNumberFormat="1" applyFont="1" applyFill="1" applyBorder="1" applyAlignment="1"/>
    <xf numFmtId="49" fontId="7" fillId="2" borderId="1" xfId="0" applyNumberFormat="1" applyFont="1" applyFill="1" applyBorder="1" applyAlignment="1"/>
    <xf numFmtId="10" fontId="7" fillId="2" borderId="19" xfId="0" applyNumberFormat="1" applyFont="1" applyFill="1" applyBorder="1" applyAlignment="1"/>
    <xf numFmtId="10" fontId="6" fillId="3" borderId="38" xfId="0" applyNumberFormat="1" applyFont="1" applyFill="1" applyBorder="1" applyAlignment="1"/>
    <xf numFmtId="10" fontId="7" fillId="2" borderId="17" xfId="0" applyNumberFormat="1" applyFont="1" applyFill="1" applyBorder="1" applyAlignment="1"/>
    <xf numFmtId="49" fontId="6" fillId="2" borderId="16" xfId="0" applyNumberFormat="1" applyFont="1" applyFill="1" applyBorder="1" applyAlignment="1"/>
    <xf numFmtId="9" fontId="6" fillId="2" borderId="17" xfId="0" applyNumberFormat="1" applyFont="1" applyFill="1" applyBorder="1" applyAlignment="1">
      <alignment horizontal="center" vertical="center"/>
    </xf>
    <xf numFmtId="49" fontId="6" fillId="2" borderId="19" xfId="0" applyNumberFormat="1" applyFont="1" applyFill="1" applyBorder="1" applyAlignment="1"/>
    <xf numFmtId="9" fontId="6" fillId="2" borderId="1" xfId="0" applyNumberFormat="1" applyFont="1" applyFill="1" applyBorder="1" applyAlignment="1">
      <alignment horizontal="center" vertical="center"/>
    </xf>
    <xf numFmtId="0" fontId="6" fillId="2" borderId="19" xfId="0" applyNumberFormat="1" applyFont="1" applyFill="1" applyBorder="1" applyAlignment="1"/>
    <xf numFmtId="0" fontId="6" fillId="2" borderId="1" xfId="0" applyNumberFormat="1" applyFont="1" applyFill="1" applyBorder="1" applyAlignment="1">
      <alignment horizontal="center" vertical="center"/>
    </xf>
    <xf numFmtId="0" fontId="6" fillId="2" borderId="15" xfId="0" applyNumberFormat="1" applyFont="1" applyFill="1" applyBorder="1" applyAlignment="1"/>
    <xf numFmtId="175" fontId="7" fillId="2" borderId="1" xfId="0" applyNumberFormat="1" applyFont="1" applyFill="1" applyBorder="1" applyAlignment="1"/>
    <xf numFmtId="175" fontId="7" fillId="2" borderId="15" xfId="0" applyNumberFormat="1" applyFont="1" applyFill="1" applyBorder="1" applyAlignment="1"/>
    <xf numFmtId="10" fontId="7" fillId="2" borderId="1" xfId="0" applyNumberFormat="1" applyFont="1" applyFill="1" applyBorder="1" applyAlignment="1"/>
    <xf numFmtId="0" fontId="7" fillId="2" borderId="1" xfId="0" applyNumberFormat="1" applyFont="1" applyFill="1" applyBorder="1" applyAlignment="1">
      <alignment vertical="center" wrapText="1"/>
    </xf>
    <xf numFmtId="49" fontId="6" fillId="2" borderId="36" xfId="0" applyNumberFormat="1" applyFont="1" applyFill="1" applyBorder="1" applyAlignment="1"/>
    <xf numFmtId="0" fontId="7" fillId="2" borderId="1" xfId="0" applyNumberFormat="1" applyFont="1" applyFill="1" applyBorder="1" applyAlignment="1">
      <alignment wrapText="1"/>
    </xf>
    <xf numFmtId="10" fontId="6" fillId="2" borderId="1" xfId="0" applyNumberFormat="1" applyFont="1" applyFill="1" applyBorder="1" applyAlignment="1"/>
    <xf numFmtId="0" fontId="7" fillId="2" borderId="1" xfId="0" applyNumberFormat="1" applyFont="1" applyFill="1" applyBorder="1" applyAlignment="1">
      <alignment vertical="top" wrapText="1"/>
    </xf>
    <xf numFmtId="0" fontId="0" fillId="0" borderId="0" xfId="0" applyNumberFormat="1" applyFont="1" applyAlignment="1"/>
    <xf numFmtId="49" fontId="7" fillId="2" borderId="9" xfId="0" applyNumberFormat="1" applyFont="1" applyFill="1" applyBorder="1" applyAlignment="1"/>
    <xf numFmtId="49" fontId="7" fillId="2" borderId="77" xfId="0" applyNumberFormat="1" applyFont="1" applyFill="1" applyBorder="1" applyAlignment="1"/>
    <xf numFmtId="0" fontId="7" fillId="2" borderId="78" xfId="0" applyNumberFormat="1" applyFont="1" applyFill="1" applyBorder="1" applyAlignment="1"/>
    <xf numFmtId="0" fontId="7" fillId="2" borderId="9" xfId="0" applyNumberFormat="1" applyFont="1" applyFill="1" applyBorder="1" applyAlignment="1"/>
    <xf numFmtId="0" fontId="6" fillId="2" borderId="9" xfId="0" applyNumberFormat="1" applyFont="1" applyFill="1" applyBorder="1" applyAlignment="1">
      <alignment horizontal="right"/>
    </xf>
    <xf numFmtId="49" fontId="4" fillId="2" borderId="13" xfId="0" applyNumberFormat="1" applyFont="1" applyFill="1" applyBorder="1" applyAlignment="1">
      <alignment vertical="center"/>
    </xf>
    <xf numFmtId="49" fontId="7" fillId="2" borderId="1" xfId="0" applyNumberFormat="1" applyFont="1" applyFill="1" applyBorder="1" applyAlignment="1">
      <alignment vertical="center" wrapText="1"/>
    </xf>
    <xf numFmtId="49" fontId="6" fillId="2" borderId="21" xfId="0" applyNumberFormat="1" applyFont="1" applyFill="1" applyBorder="1" applyAlignment="1"/>
    <xf numFmtId="49" fontId="7" fillId="2" borderId="17" xfId="0" applyNumberFormat="1" applyFont="1" applyFill="1" applyBorder="1" applyAlignment="1"/>
    <xf numFmtId="49" fontId="7" fillId="2" borderId="18" xfId="0" applyNumberFormat="1" applyFont="1" applyFill="1" applyBorder="1" applyAlignment="1"/>
    <xf numFmtId="10" fontId="7" fillId="2" borderId="15" xfId="0" applyNumberFormat="1" applyFont="1" applyFill="1" applyBorder="1" applyAlignment="1"/>
    <xf numFmtId="167" fontId="7" fillId="2" borderId="1" xfId="0" applyNumberFormat="1" applyFont="1" applyFill="1" applyBorder="1" applyAlignment="1"/>
    <xf numFmtId="49" fontId="6" fillId="2" borderId="1" xfId="0" applyNumberFormat="1" applyFont="1" applyFill="1" applyBorder="1" applyAlignment="1">
      <alignment horizontal="right"/>
    </xf>
    <xf numFmtId="49" fontId="6" fillId="2" borderId="19" xfId="0" applyNumberFormat="1" applyFont="1" applyFill="1" applyBorder="1" applyAlignment="1">
      <alignment horizontal="right"/>
    </xf>
    <xf numFmtId="173" fontId="7" fillId="2" borderId="1" xfId="0" applyNumberFormat="1" applyFont="1" applyFill="1" applyBorder="1" applyAlignment="1"/>
    <xf numFmtId="49" fontId="6" fillId="2" borderId="44" xfId="0" applyNumberFormat="1" applyFont="1" applyFill="1" applyBorder="1" applyAlignment="1">
      <alignment horizontal="center"/>
    </xf>
    <xf numFmtId="49" fontId="6" fillId="2" borderId="45" xfId="0" applyNumberFormat="1" applyFont="1" applyFill="1" applyBorder="1" applyAlignment="1"/>
    <xf numFmtId="49" fontId="6" fillId="2" borderId="79" xfId="0" applyNumberFormat="1" applyFont="1" applyFill="1" applyBorder="1" applyAlignment="1"/>
    <xf numFmtId="164" fontId="7" fillId="3" borderId="80" xfId="0" applyNumberFormat="1" applyFont="1" applyFill="1" applyBorder="1" applyAlignment="1"/>
    <xf numFmtId="164" fontId="7" fillId="3" borderId="59" xfId="0" applyNumberFormat="1" applyFont="1" applyFill="1" applyBorder="1" applyAlignment="1"/>
    <xf numFmtId="49" fontId="6" fillId="2" borderId="81" xfId="0" applyNumberFormat="1" applyFont="1" applyFill="1" applyBorder="1" applyAlignment="1"/>
    <xf numFmtId="164" fontId="7" fillId="3" borderId="82" xfId="0" applyNumberFormat="1" applyFont="1" applyFill="1" applyBorder="1" applyAlignment="1"/>
    <xf numFmtId="164" fontId="7" fillId="3" borderId="28" xfId="0" applyNumberFormat="1" applyFont="1" applyFill="1" applyBorder="1" applyAlignment="1"/>
    <xf numFmtId="49" fontId="6" fillId="2" borderId="83" xfId="0" applyNumberFormat="1" applyFont="1" applyFill="1" applyBorder="1" applyAlignment="1"/>
    <xf numFmtId="164" fontId="7" fillId="3" borderId="84" xfId="0" applyNumberFormat="1" applyFont="1" applyFill="1" applyBorder="1" applyAlignment="1"/>
    <xf numFmtId="164" fontId="7" fillId="3" borderId="30" xfId="0" applyNumberFormat="1" applyFont="1" applyFill="1" applyBorder="1" applyAlignment="1"/>
    <xf numFmtId="0" fontId="6" fillId="2" borderId="33" xfId="0" applyNumberFormat="1" applyFont="1" applyFill="1" applyBorder="1" applyAlignment="1"/>
    <xf numFmtId="167" fontId="7" fillId="2" borderId="85" xfId="0" applyNumberFormat="1" applyFont="1" applyFill="1" applyBorder="1" applyAlignment="1">
      <alignment horizontal="center"/>
    </xf>
    <xf numFmtId="167" fontId="7" fillId="2" borderId="35" xfId="0" applyNumberFormat="1" applyFont="1" applyFill="1" applyBorder="1" applyAlignment="1">
      <alignment horizontal="center"/>
    </xf>
    <xf numFmtId="167" fontId="7" fillId="2" borderId="86" xfId="0" applyNumberFormat="1" applyFont="1" applyFill="1" applyBorder="1" applyAlignment="1">
      <alignment horizontal="center"/>
    </xf>
    <xf numFmtId="167" fontId="7" fillId="2" borderId="22" xfId="0" applyNumberFormat="1" applyFont="1" applyFill="1" applyBorder="1" applyAlignment="1">
      <alignment horizontal="center"/>
    </xf>
    <xf numFmtId="0" fontId="6" fillId="2" borderId="39" xfId="0" applyNumberFormat="1" applyFont="1" applyFill="1" applyBorder="1" applyAlignment="1"/>
    <xf numFmtId="0" fontId="6" fillId="2" borderId="8" xfId="0" applyNumberFormat="1" applyFont="1" applyFill="1" applyBorder="1" applyAlignment="1"/>
    <xf numFmtId="0" fontId="6" fillId="2" borderId="42" xfId="0" applyNumberFormat="1" applyFont="1" applyFill="1" applyBorder="1" applyAlignment="1"/>
    <xf numFmtId="164" fontId="7" fillId="2" borderId="14" xfId="0" applyNumberFormat="1" applyFont="1" applyFill="1" applyBorder="1" applyAlignment="1">
      <alignment horizontal="center"/>
    </xf>
    <xf numFmtId="164" fontId="7" fillId="2" borderId="32" xfId="0" applyNumberFormat="1" applyFont="1" applyFill="1" applyBorder="1" applyAlignment="1">
      <alignment horizontal="center"/>
    </xf>
    <xf numFmtId="0" fontId="6" fillId="2" borderId="35" xfId="0" applyNumberFormat="1" applyFont="1" applyFill="1" applyBorder="1" applyAlignment="1"/>
    <xf numFmtId="0" fontId="6" fillId="2" borderId="22" xfId="0" applyNumberFormat="1" applyFont="1" applyFill="1" applyBorder="1" applyAlignment="1"/>
    <xf numFmtId="164" fontId="7" fillId="2" borderId="35" xfId="0" applyNumberFormat="1" applyFont="1" applyFill="1" applyBorder="1" applyAlignment="1">
      <alignment horizontal="center"/>
    </xf>
    <xf numFmtId="164" fontId="7" fillId="2" borderId="22" xfId="0" applyNumberFormat="1" applyFont="1" applyFill="1" applyBorder="1" applyAlignment="1">
      <alignment horizontal="center"/>
    </xf>
    <xf numFmtId="164" fontId="7" fillId="2" borderId="15" xfId="0" applyNumberFormat="1" applyFont="1" applyFill="1" applyBorder="1" applyAlignment="1">
      <alignment horizontal="right"/>
    </xf>
    <xf numFmtId="49" fontId="7" fillId="2" borderId="44" xfId="0" applyNumberFormat="1" applyFont="1" applyFill="1" applyBorder="1" applyAlignment="1">
      <alignment vertical="center"/>
    </xf>
    <xf numFmtId="0" fontId="7" fillId="2" borderId="45" xfId="0" applyNumberFormat="1" applyFont="1" applyFill="1" applyBorder="1" applyAlignment="1">
      <alignment vertical="center"/>
    </xf>
    <xf numFmtId="0" fontId="7" fillId="2" borderId="46" xfId="0" applyNumberFormat="1" applyFont="1" applyFill="1" applyBorder="1" applyAlignment="1">
      <alignment vertical="center"/>
    </xf>
    <xf numFmtId="0" fontId="7" fillId="2" borderId="47" xfId="0" applyNumberFormat="1" applyFont="1" applyFill="1" applyBorder="1" applyAlignment="1">
      <alignment vertical="center"/>
    </xf>
    <xf numFmtId="164" fontId="7" fillId="2" borderId="46" xfId="0" applyNumberFormat="1" applyFont="1" applyFill="1" applyBorder="1" applyAlignment="1">
      <alignment horizontal="right"/>
    </xf>
    <xf numFmtId="164" fontId="7" fillId="2" borderId="50" xfId="0" applyNumberFormat="1" applyFont="1" applyFill="1" applyBorder="1" applyAlignment="1">
      <alignment horizontal="right"/>
    </xf>
    <xf numFmtId="49" fontId="7" fillId="2" borderId="51" xfId="0" applyNumberFormat="1" applyFont="1" applyFill="1" applyBorder="1" applyAlignment="1">
      <alignment vertical="center" wrapText="1"/>
    </xf>
    <xf numFmtId="49" fontId="7" fillId="2" borderId="52" xfId="0" applyNumberFormat="1" applyFont="1" applyFill="1" applyBorder="1" applyAlignment="1">
      <alignment vertical="center"/>
    </xf>
    <xf numFmtId="49" fontId="6" fillId="2" borderId="51" xfId="0" applyNumberFormat="1" applyFont="1" applyFill="1" applyBorder="1" applyAlignment="1"/>
    <xf numFmtId="0" fontId="6" fillId="2" borderId="53" xfId="0" applyNumberFormat="1" applyFont="1" applyFill="1" applyBorder="1" applyAlignment="1"/>
    <xf numFmtId="164" fontId="7" fillId="2" borderId="51" xfId="0" applyNumberFormat="1" applyFont="1" applyFill="1" applyBorder="1" applyAlignment="1">
      <alignment horizontal="right"/>
    </xf>
    <xf numFmtId="164" fontId="7" fillId="2" borderId="13" xfId="0" applyNumberFormat="1" applyFont="1" applyFill="1" applyBorder="1" applyAlignment="1">
      <alignment horizontal="right"/>
    </xf>
    <xf numFmtId="164" fontId="7" fillId="2" borderId="52" xfId="0" applyNumberFormat="1" applyFont="1" applyFill="1" applyBorder="1" applyAlignment="1">
      <alignment horizontal="right"/>
    </xf>
    <xf numFmtId="171" fontId="7" fillId="2" borderId="1" xfId="0" applyNumberFormat="1" applyFont="1" applyFill="1" applyBorder="1" applyAlignment="1">
      <alignment horizontal="center"/>
    </xf>
    <xf numFmtId="0" fontId="7" fillId="2" borderId="19" xfId="0" applyNumberFormat="1" applyFont="1" applyFill="1" applyBorder="1" applyAlignment="1">
      <alignment vertical="center" wrapText="1"/>
    </xf>
    <xf numFmtId="0" fontId="7" fillId="2" borderId="15" xfId="0" applyNumberFormat="1" applyFont="1" applyFill="1" applyBorder="1" applyAlignment="1">
      <alignment vertical="center"/>
    </xf>
    <xf numFmtId="0" fontId="7" fillId="2" borderId="46" xfId="0" applyNumberFormat="1" applyFont="1" applyFill="1" applyBorder="1" applyAlignment="1">
      <alignment vertical="center" wrapText="1"/>
    </xf>
    <xf numFmtId="0" fontId="7" fillId="2" borderId="50" xfId="0" applyNumberFormat="1" applyFont="1" applyFill="1" applyBorder="1" applyAlignment="1">
      <alignment vertical="center"/>
    </xf>
    <xf numFmtId="169" fontId="7" fillId="2" borderId="51" xfId="0" applyNumberFormat="1" applyFont="1" applyFill="1" applyBorder="1" applyAlignment="1">
      <alignment vertical="center"/>
    </xf>
    <xf numFmtId="9" fontId="7" fillId="2" borderId="52" xfId="0" applyNumberFormat="1" applyFont="1" applyFill="1" applyBorder="1" applyAlignment="1">
      <alignment horizontal="center"/>
    </xf>
    <xf numFmtId="169" fontId="7" fillId="2" borderId="19" xfId="0" applyNumberFormat="1" applyFont="1" applyFill="1" applyBorder="1" applyAlignment="1">
      <alignment vertical="center"/>
    </xf>
    <xf numFmtId="9" fontId="7" fillId="2" borderId="15" xfId="0" applyNumberFormat="1" applyFont="1" applyFill="1" applyBorder="1" applyAlignment="1">
      <alignment horizontal="center"/>
    </xf>
    <xf numFmtId="0" fontId="6" fillId="2" borderId="46" xfId="0" applyNumberFormat="1" applyFont="1" applyFill="1" applyBorder="1" applyAlignment="1"/>
    <xf numFmtId="0" fontId="6" fillId="2" borderId="47" xfId="0" applyNumberFormat="1" applyFont="1" applyFill="1" applyBorder="1" applyAlignment="1"/>
    <xf numFmtId="176" fontId="7" fillId="5" borderId="54" xfId="0" applyNumberFormat="1" applyFont="1" applyFill="1" applyBorder="1" applyAlignment="1"/>
    <xf numFmtId="164" fontId="6" fillId="2" borderId="87" xfId="0" applyNumberFormat="1" applyFont="1" applyFill="1" applyBorder="1" applyAlignment="1">
      <alignment horizontal="center"/>
    </xf>
    <xf numFmtId="164" fontId="6" fillId="2" borderId="88" xfId="0" applyNumberFormat="1" applyFont="1" applyFill="1" applyBorder="1" applyAlignment="1">
      <alignment horizontal="center"/>
    </xf>
    <xf numFmtId="164" fontId="6" fillId="2" borderId="89" xfId="0" applyNumberFormat="1" applyFont="1" applyFill="1" applyBorder="1" applyAlignment="1">
      <alignment horizontal="center"/>
    </xf>
    <xf numFmtId="176" fontId="7" fillId="2" borderId="19" xfId="0" applyNumberFormat="1" applyFont="1" applyFill="1" applyBorder="1" applyAlignment="1"/>
    <xf numFmtId="9" fontId="7" fillId="2" borderId="32" xfId="0" applyNumberFormat="1" applyFont="1" applyFill="1" applyBorder="1" applyAlignment="1"/>
    <xf numFmtId="169" fontId="7" fillId="2" borderId="31" xfId="0" applyNumberFormat="1" applyFont="1" applyFill="1" applyBorder="1" applyAlignment="1">
      <alignment vertical="center"/>
    </xf>
    <xf numFmtId="9" fontId="7" fillId="2" borderId="32" xfId="0" applyNumberFormat="1" applyFont="1" applyFill="1" applyBorder="1" applyAlignment="1">
      <alignment horizontal="center"/>
    </xf>
    <xf numFmtId="9" fontId="7" fillId="2" borderId="41" xfId="0" applyNumberFormat="1" applyFont="1" applyFill="1" applyBorder="1" applyAlignment="1">
      <alignment horizontal="center"/>
    </xf>
    <xf numFmtId="9" fontId="7" fillId="2" borderId="17" xfId="0" applyNumberFormat="1" applyFont="1" applyFill="1" applyBorder="1" applyAlignment="1"/>
    <xf numFmtId="164" fontId="6" fillId="3" borderId="36" xfId="0" applyNumberFormat="1" applyFont="1" applyFill="1" applyBorder="1" applyAlignment="1">
      <alignment vertical="center"/>
    </xf>
    <xf numFmtId="164" fontId="6" fillId="3" borderId="38" xfId="0" applyNumberFormat="1" applyFont="1" applyFill="1" applyBorder="1" applyAlignment="1">
      <alignment vertical="center"/>
    </xf>
    <xf numFmtId="176" fontId="7" fillId="2" borderId="17" xfId="0" applyNumberFormat="1" applyFont="1" applyFill="1" applyBorder="1" applyAlignment="1"/>
    <xf numFmtId="0" fontId="6" fillId="2" borderId="17" xfId="0" applyNumberFormat="1" applyFont="1" applyFill="1" applyBorder="1" applyAlignment="1"/>
    <xf numFmtId="172" fontId="6" fillId="2" borderId="63" xfId="0" applyNumberFormat="1" applyFont="1" applyFill="1" applyBorder="1" applyAlignment="1">
      <alignment vertical="center"/>
    </xf>
    <xf numFmtId="172" fontId="6" fillId="2" borderId="45" xfId="0" applyNumberFormat="1" applyFont="1" applyFill="1" applyBorder="1" applyAlignment="1">
      <alignment vertical="center"/>
    </xf>
    <xf numFmtId="49" fontId="6" fillId="2" borderId="65" xfId="0" applyNumberFormat="1" applyFont="1" applyFill="1" applyBorder="1" applyAlignment="1"/>
    <xf numFmtId="49" fontId="6" fillId="2" borderId="66" xfId="0" applyNumberFormat="1" applyFont="1" applyFill="1" applyBorder="1" applyAlignment="1"/>
    <xf numFmtId="166" fontId="6" fillId="3" borderId="67" xfId="0" applyNumberFormat="1" applyFont="1" applyFill="1" applyBorder="1" applyAlignment="1">
      <alignment vertical="center"/>
    </xf>
    <xf numFmtId="166" fontId="6" fillId="3" borderId="68" xfId="0" applyNumberFormat="1" applyFont="1" applyFill="1" applyBorder="1" applyAlignment="1">
      <alignment vertical="center"/>
    </xf>
    <xf numFmtId="164" fontId="7" fillId="3" borderId="9" xfId="0" applyNumberFormat="1" applyFont="1" applyFill="1" applyBorder="1" applyAlignment="1"/>
    <xf numFmtId="0" fontId="7" fillId="2" borderId="19" xfId="0" applyNumberFormat="1" applyFont="1" applyFill="1" applyBorder="1" applyAlignment="1">
      <alignment horizontal="left"/>
    </xf>
    <xf numFmtId="164" fontId="7" fillId="3" borderId="70" xfId="0" applyNumberFormat="1" applyFont="1" applyFill="1" applyBorder="1" applyAlignment="1"/>
    <xf numFmtId="165" fontId="6" fillId="3" borderId="71" xfId="0" applyNumberFormat="1" applyFont="1" applyFill="1" applyBorder="1" applyAlignment="1">
      <alignment vertical="center"/>
    </xf>
    <xf numFmtId="165" fontId="6" fillId="3" borderId="38" xfId="0" applyNumberFormat="1" applyFont="1" applyFill="1" applyBorder="1" applyAlignment="1">
      <alignment vertical="center"/>
    </xf>
    <xf numFmtId="49" fontId="7" fillId="2" borderId="1" xfId="0" applyNumberFormat="1" applyFont="1" applyFill="1" applyBorder="1" applyAlignment="1">
      <alignment vertical="center"/>
    </xf>
    <xf numFmtId="0" fontId="7" fillId="2" borderId="1" xfId="0" applyNumberFormat="1" applyFont="1" applyFill="1" applyBorder="1" applyAlignment="1">
      <alignment vertical="center"/>
    </xf>
    <xf numFmtId="49" fontId="6" fillId="2" borderId="1" xfId="0" applyNumberFormat="1" applyFont="1" applyFill="1" applyBorder="1" applyAlignment="1">
      <alignment horizontal="center"/>
    </xf>
    <xf numFmtId="49" fontId="6" fillId="2" borderId="36" xfId="0" applyNumberFormat="1" applyFont="1" applyFill="1" applyBorder="1" applyAlignment="1">
      <alignment horizontal="center"/>
    </xf>
    <xf numFmtId="49" fontId="7" fillId="2" borderId="1" xfId="0" applyNumberFormat="1" applyFont="1" applyFill="1" applyBorder="1" applyAlignment="1">
      <alignment wrapText="1"/>
    </xf>
    <xf numFmtId="0" fontId="6" fillId="2" borderId="16" xfId="0" applyNumberFormat="1" applyFont="1" applyFill="1" applyBorder="1" applyAlignment="1">
      <alignment vertical="center" wrapText="1"/>
    </xf>
    <xf numFmtId="0" fontId="6" fillId="2" borderId="17" xfId="0" applyNumberFormat="1" applyFont="1" applyFill="1" applyBorder="1" applyAlignment="1">
      <alignment vertical="center" wrapText="1"/>
    </xf>
    <xf numFmtId="0" fontId="6" fillId="2" borderId="18" xfId="0" applyNumberFormat="1" applyFont="1" applyFill="1" applyBorder="1" applyAlignment="1">
      <alignment vertical="center" wrapText="1"/>
    </xf>
    <xf numFmtId="0" fontId="6" fillId="2" borderId="19" xfId="0" applyNumberFormat="1" applyFont="1" applyFill="1" applyBorder="1" applyAlignment="1">
      <alignment vertical="center" wrapText="1"/>
    </xf>
    <xf numFmtId="0" fontId="6" fillId="2" borderId="1" xfId="0" applyNumberFormat="1" applyFont="1" applyFill="1" applyBorder="1" applyAlignment="1">
      <alignment vertical="center" wrapText="1"/>
    </xf>
    <xf numFmtId="0" fontId="6" fillId="2" borderId="15" xfId="0" applyNumberFormat="1" applyFont="1" applyFill="1" applyBorder="1" applyAlignment="1">
      <alignment vertical="center" wrapText="1"/>
    </xf>
    <xf numFmtId="0" fontId="6" fillId="2" borderId="31" xfId="0" applyNumberFormat="1" applyFont="1" applyFill="1" applyBorder="1" applyAlignment="1">
      <alignment vertical="center" wrapText="1"/>
    </xf>
    <xf numFmtId="0" fontId="6" fillId="2" borderId="14" xfId="0" applyNumberFormat="1" applyFont="1" applyFill="1" applyBorder="1" applyAlignment="1">
      <alignment vertical="center" wrapText="1"/>
    </xf>
    <xf numFmtId="0" fontId="6" fillId="2" borderId="32" xfId="0" applyNumberFormat="1" applyFont="1" applyFill="1" applyBorder="1" applyAlignment="1">
      <alignment vertical="center" wrapText="1"/>
    </xf>
    <xf numFmtId="49" fontId="7" fillId="2" borderId="1" xfId="0" applyNumberFormat="1" applyFont="1" applyFill="1" applyBorder="1" applyAlignment="1">
      <alignment vertical="top" wrapText="1"/>
    </xf>
    <xf numFmtId="49" fontId="8" fillId="2" borderId="1" xfId="0" applyNumberFormat="1" applyFont="1" applyFill="1" applyBorder="1" applyAlignment="1"/>
    <xf numFmtId="0" fontId="8" fillId="2" borderId="1" xfId="0" applyNumberFormat="1" applyFont="1" applyFill="1" applyBorder="1" applyAlignment="1"/>
    <xf numFmtId="49" fontId="9" fillId="2" borderId="1" xfId="0" applyNumberFormat="1" applyFont="1" applyFill="1" applyBorder="1" applyAlignment="1">
      <alignment horizontal="center"/>
    </xf>
    <xf numFmtId="2" fontId="7" fillId="2" borderId="1" xfId="0" applyNumberFormat="1" applyFont="1" applyFill="1" applyBorder="1" applyAlignment="1"/>
    <xf numFmtId="166" fontId="7" fillId="2" borderId="1" xfId="0" applyNumberFormat="1" applyFont="1" applyFill="1" applyBorder="1" applyAlignment="1"/>
    <xf numFmtId="174" fontId="7" fillId="2" borderId="1" xfId="0" applyNumberFormat="1" applyFont="1" applyFill="1" applyBorder="1" applyAlignment="1"/>
    <xf numFmtId="0" fontId="0" fillId="2" borderId="49" xfId="0" applyFont="1" applyFill="1" applyBorder="1" applyAlignment="1"/>
    <xf numFmtId="10" fontId="7" fillId="2" borderId="49" xfId="0" applyNumberFormat="1" applyFont="1" applyFill="1" applyBorder="1" applyAlignment="1"/>
    <xf numFmtId="0" fontId="8" fillId="2" borderId="49" xfId="0" applyNumberFormat="1" applyFont="1" applyFill="1" applyBorder="1" applyAlignment="1"/>
    <xf numFmtId="2" fontId="7" fillId="2" borderId="49" xfId="0" applyNumberFormat="1" applyFont="1" applyFill="1" applyBorder="1" applyAlignment="1"/>
    <xf numFmtId="0" fontId="7" fillId="2" borderId="13" xfId="0" applyNumberFormat="1" applyFont="1" applyFill="1" applyBorder="1" applyAlignment="1"/>
    <xf numFmtId="0" fontId="8" fillId="2" borderId="13" xfId="0" applyNumberFormat="1" applyFont="1" applyFill="1" applyBorder="1" applyAlignment="1"/>
    <xf numFmtId="2" fontId="7" fillId="2" borderId="13" xfId="0" applyNumberFormat="1" applyFont="1" applyFill="1" applyBorder="1" applyAlignment="1"/>
    <xf numFmtId="49" fontId="9" fillId="2" borderId="1" xfId="0" applyNumberFormat="1" applyFont="1" applyFill="1" applyBorder="1" applyAlignment="1"/>
    <xf numFmtId="2" fontId="9" fillId="2" borderId="1" xfId="0" applyNumberFormat="1" applyFont="1" applyFill="1" applyBorder="1" applyAlignment="1"/>
    <xf numFmtId="164" fontId="7" fillId="2" borderId="12" xfId="0" applyNumberFormat="1" applyFont="1" applyFill="1" applyBorder="1" applyAlignment="1"/>
    <xf numFmtId="0" fontId="0" fillId="0" borderId="0" xfId="0" applyNumberFormat="1" applyFont="1" applyAlignment="1"/>
    <xf numFmtId="49" fontId="0" fillId="2" borderId="1" xfId="0" applyNumberFormat="1" applyFont="1" applyFill="1" applyBorder="1" applyAlignment="1"/>
    <xf numFmtId="2" fontId="0" fillId="2" borderId="1" xfId="0" applyNumberFormat="1" applyFont="1" applyFill="1" applyBorder="1" applyAlignment="1"/>
    <xf numFmtId="0" fontId="0" fillId="2" borderId="1" xfId="0" applyNumberFormat="1" applyFont="1" applyFill="1" applyBorder="1" applyAlignment="1"/>
    <xf numFmtId="0" fontId="0" fillId="0" borderId="0" xfId="0" applyNumberFormat="1" applyFont="1" applyAlignment="1"/>
    <xf numFmtId="166" fontId="7" fillId="2" borderId="19" xfId="0" applyNumberFormat="1" applyFont="1" applyFill="1" applyBorder="1" applyAlignment="1"/>
    <xf numFmtId="164" fontId="7" fillId="2" borderId="90" xfId="0" applyNumberFormat="1" applyFont="1" applyFill="1" applyBorder="1" applyAlignment="1">
      <alignment horizontal="center"/>
    </xf>
    <xf numFmtId="164" fontId="7" fillId="7" borderId="91" xfId="0" applyNumberFormat="1" applyFont="1" applyFill="1" applyBorder="1" applyAlignment="1">
      <alignment horizontal="center"/>
    </xf>
    <xf numFmtId="164" fontId="7" fillId="2" borderId="92" xfId="0" applyNumberFormat="1" applyFont="1" applyFill="1" applyBorder="1" applyAlignment="1">
      <alignment horizontal="center"/>
    </xf>
    <xf numFmtId="164" fontId="7" fillId="2" borderId="93" xfId="0" applyNumberFormat="1" applyFont="1" applyFill="1" applyBorder="1" applyAlignment="1">
      <alignment horizontal="center"/>
    </xf>
    <xf numFmtId="164" fontId="7" fillId="2" borderId="94" xfId="0" applyNumberFormat="1" applyFont="1" applyFill="1" applyBorder="1" applyAlignment="1">
      <alignment horizontal="center"/>
    </xf>
    <xf numFmtId="164" fontId="7" fillId="7" borderId="4" xfId="0" applyNumberFormat="1" applyFont="1" applyFill="1" applyBorder="1" applyAlignment="1"/>
    <xf numFmtId="164" fontId="7" fillId="2" borderId="5" xfId="0" applyNumberFormat="1" applyFont="1" applyFill="1" applyBorder="1" applyAlignment="1">
      <alignment horizontal="center"/>
    </xf>
    <xf numFmtId="164" fontId="7" fillId="2" borderId="6" xfId="0" applyNumberFormat="1" applyFont="1" applyFill="1" applyBorder="1" applyAlignment="1">
      <alignment horizontal="center"/>
    </xf>
    <xf numFmtId="164" fontId="7" fillId="2" borderId="61" xfId="0" applyNumberFormat="1" applyFont="1" applyFill="1" applyBorder="1" applyAlignment="1"/>
    <xf numFmtId="164" fontId="7" fillId="2" borderId="75" xfId="0" applyNumberFormat="1" applyFont="1" applyFill="1" applyBorder="1" applyAlignment="1">
      <alignment horizontal="center"/>
    </xf>
    <xf numFmtId="164" fontId="7" fillId="7" borderId="27" xfId="0" applyNumberFormat="1" applyFont="1" applyFill="1" applyBorder="1" applyAlignment="1">
      <alignment horizontal="right"/>
    </xf>
    <xf numFmtId="164" fontId="7" fillId="2" borderId="5" xfId="0" applyNumberFormat="1" applyFont="1" applyFill="1" applyBorder="1" applyAlignment="1"/>
    <xf numFmtId="164" fontId="7" fillId="2" borderId="2" xfId="0" applyNumberFormat="1" applyFont="1" applyFill="1" applyBorder="1" applyAlignment="1"/>
    <xf numFmtId="164" fontId="7" fillId="2" borderId="3" xfId="0" applyNumberFormat="1" applyFont="1" applyFill="1" applyBorder="1" applyAlignment="1"/>
    <xf numFmtId="0" fontId="7" fillId="2" borderId="95" xfId="0" applyNumberFormat="1" applyFont="1" applyFill="1" applyBorder="1" applyAlignment="1"/>
    <xf numFmtId="0" fontId="7" fillId="2" borderId="96" xfId="0" applyNumberFormat="1" applyFont="1" applyFill="1" applyBorder="1" applyAlignment="1"/>
    <xf numFmtId="164" fontId="6" fillId="2" borderId="97" xfId="0" applyNumberFormat="1" applyFont="1" applyFill="1" applyBorder="1" applyAlignment="1">
      <alignment horizontal="center"/>
    </xf>
    <xf numFmtId="164" fontId="6" fillId="2" borderId="98" xfId="0" applyNumberFormat="1" applyFont="1" applyFill="1" applyBorder="1" applyAlignment="1">
      <alignment horizontal="center"/>
    </xf>
    <xf numFmtId="49" fontId="7" fillId="2" borderId="16" xfId="0" applyNumberFormat="1" applyFont="1" applyFill="1" applyBorder="1" applyAlignment="1"/>
    <xf numFmtId="165" fontId="7" fillId="2" borderId="17" xfId="0" applyNumberFormat="1" applyFont="1" applyFill="1" applyBorder="1" applyAlignment="1" applyProtection="1">
      <protection locked="0"/>
    </xf>
    <xf numFmtId="165" fontId="7" fillId="2" borderId="18" xfId="0" applyNumberFormat="1" applyFont="1" applyFill="1" applyBorder="1" applyAlignment="1" applyProtection="1">
      <protection locked="0"/>
    </xf>
    <xf numFmtId="165" fontId="7" fillId="2" borderId="19" xfId="0" applyNumberFormat="1" applyFont="1" applyFill="1" applyBorder="1" applyAlignment="1" applyProtection="1">
      <protection locked="0"/>
    </xf>
    <xf numFmtId="165" fontId="7" fillId="2" borderId="1" xfId="0" applyNumberFormat="1" applyFont="1" applyFill="1" applyBorder="1" applyAlignment="1" applyProtection="1">
      <protection locked="0"/>
    </xf>
    <xf numFmtId="165" fontId="7" fillId="2" borderId="15" xfId="0" applyNumberFormat="1" applyFont="1" applyFill="1" applyBorder="1" applyAlignment="1" applyProtection="1">
      <protection locked="0"/>
    </xf>
    <xf numFmtId="165" fontId="7" fillId="2" borderId="1" xfId="0" applyNumberFormat="1" applyFont="1" applyFill="1" applyBorder="1" applyAlignment="1" applyProtection="1">
      <alignment horizontal="right"/>
      <protection locked="0"/>
    </xf>
    <xf numFmtId="165" fontId="7" fillId="2" borderId="14" xfId="0" applyNumberFormat="1" applyFont="1" applyFill="1" applyBorder="1" applyAlignment="1" applyProtection="1">
      <protection locked="0"/>
    </xf>
    <xf numFmtId="0" fontId="7" fillId="2" borderId="20" xfId="0" applyNumberFormat="1" applyFont="1" applyFill="1" applyBorder="1" applyAlignment="1" applyProtection="1">
      <protection locked="0"/>
    </xf>
    <xf numFmtId="49" fontId="6" fillId="2" borderId="21" xfId="0" applyNumberFormat="1" applyFont="1" applyFill="1" applyBorder="1" applyAlignment="1" applyProtection="1">
      <alignment horizontal="center"/>
      <protection locked="0"/>
    </xf>
    <xf numFmtId="49" fontId="6" fillId="2" borderId="22" xfId="0" applyNumberFormat="1" applyFont="1" applyFill="1" applyBorder="1" applyAlignment="1" applyProtection="1">
      <protection locked="0"/>
    </xf>
    <xf numFmtId="0" fontId="7" fillId="2" borderId="19" xfId="0" applyNumberFormat="1" applyFont="1" applyFill="1" applyBorder="1" applyAlignment="1" applyProtection="1">
      <protection locked="0"/>
    </xf>
    <xf numFmtId="0" fontId="7" fillId="2" borderId="1" xfId="0" applyNumberFormat="1" applyFont="1" applyFill="1" applyBorder="1" applyAlignment="1" applyProtection="1">
      <protection locked="0"/>
    </xf>
    <xf numFmtId="0" fontId="7" fillId="2" borderId="15" xfId="0" applyNumberFormat="1" applyFont="1" applyFill="1" applyBorder="1" applyAlignment="1" applyProtection="1">
      <protection locked="0"/>
    </xf>
    <xf numFmtId="49" fontId="6" fillId="2" borderId="23" xfId="0" applyNumberFormat="1" applyFont="1" applyFill="1" applyBorder="1" applyAlignment="1" applyProtection="1">
      <protection locked="0"/>
    </xf>
    <xf numFmtId="164" fontId="7" fillId="3" borderId="24" xfId="0" applyNumberFormat="1" applyFont="1" applyFill="1" applyBorder="1" applyAlignment="1" applyProtection="1">
      <protection locked="0"/>
    </xf>
    <xf numFmtId="166" fontId="7" fillId="3" borderId="25" xfId="0" applyNumberFormat="1" applyFont="1" applyFill="1" applyBorder="1" applyAlignment="1" applyProtection="1">
      <protection locked="0"/>
    </xf>
    <xf numFmtId="49" fontId="6" fillId="2" borderId="26" xfId="0" applyNumberFormat="1" applyFont="1" applyFill="1" applyBorder="1" applyAlignment="1" applyProtection="1">
      <protection locked="0"/>
    </xf>
    <xf numFmtId="164" fontId="7" fillId="3" borderId="27" xfId="0" applyNumberFormat="1" applyFont="1" applyFill="1" applyBorder="1" applyAlignment="1" applyProtection="1">
      <protection locked="0"/>
    </xf>
    <xf numFmtId="166" fontId="7" fillId="3" borderId="28" xfId="0" applyNumberFormat="1" applyFont="1" applyFill="1" applyBorder="1" applyAlignment="1" applyProtection="1">
      <protection locked="0"/>
    </xf>
    <xf numFmtId="49" fontId="6" fillId="2" borderId="20" xfId="0" applyNumberFormat="1" applyFont="1" applyFill="1" applyBorder="1" applyAlignment="1" applyProtection="1">
      <protection locked="0"/>
    </xf>
    <xf numFmtId="164" fontId="7" fillId="3" borderId="29" xfId="0" applyNumberFormat="1" applyFont="1" applyFill="1" applyBorder="1" applyAlignment="1" applyProtection="1">
      <protection locked="0"/>
    </xf>
    <xf numFmtId="0" fontId="7" fillId="2" borderId="31" xfId="0" applyNumberFormat="1" applyFont="1" applyFill="1" applyBorder="1" applyAlignment="1" applyProtection="1">
      <protection locked="0"/>
    </xf>
    <xf numFmtId="0" fontId="7" fillId="2" borderId="14" xfId="0" applyNumberFormat="1" applyFont="1" applyFill="1" applyBorder="1" applyAlignment="1" applyProtection="1">
      <protection locked="0"/>
    </xf>
    <xf numFmtId="0" fontId="7" fillId="2" borderId="32" xfId="0" applyNumberFormat="1" applyFont="1" applyFill="1" applyBorder="1" applyAlignment="1" applyProtection="1">
      <protection locked="0"/>
    </xf>
    <xf numFmtId="49" fontId="6" fillId="5" borderId="34" xfId="0" applyNumberFormat="1" applyFont="1" applyFill="1" applyBorder="1" applyAlignment="1" applyProtection="1">
      <alignment horizontal="center"/>
      <protection locked="0"/>
    </xf>
    <xf numFmtId="0" fontId="6" fillId="2" borderId="21" xfId="0" applyNumberFormat="1" applyFont="1" applyFill="1" applyBorder="1" applyAlignment="1" applyProtection="1">
      <alignment horizontal="center"/>
      <protection locked="0"/>
    </xf>
    <xf numFmtId="0" fontId="6" fillId="2" borderId="35" xfId="0" applyNumberFormat="1" applyFont="1" applyFill="1" applyBorder="1" applyAlignment="1" applyProtection="1">
      <alignment horizontal="center"/>
      <protection locked="0"/>
    </xf>
    <xf numFmtId="0" fontId="6" fillId="2" borderId="22" xfId="0" applyNumberFormat="1" applyFont="1" applyFill="1" applyBorder="1" applyAlignment="1" applyProtection="1">
      <alignment horizontal="center"/>
      <protection locked="0"/>
    </xf>
    <xf numFmtId="167" fontId="7" fillId="2" borderId="36" xfId="0" applyNumberFormat="1" applyFont="1" applyFill="1" applyBorder="1" applyAlignment="1" applyProtection="1">
      <alignment horizontal="center"/>
      <protection locked="0"/>
    </xf>
    <xf numFmtId="167" fontId="7" fillId="3" borderId="37" xfId="0" applyNumberFormat="1" applyFont="1" applyFill="1" applyBorder="1" applyAlignment="1" applyProtection="1">
      <alignment horizontal="center"/>
      <protection locked="0"/>
    </xf>
    <xf numFmtId="168" fontId="7" fillId="5" borderId="40" xfId="0" applyNumberFormat="1" applyFont="1" applyFill="1" applyBorder="1" applyAlignment="1" applyProtection="1">
      <alignment horizontal="center"/>
      <protection locked="0"/>
    </xf>
    <xf numFmtId="164" fontId="7" fillId="2" borderId="16" xfId="0" applyNumberFormat="1" applyFont="1" applyFill="1" applyBorder="1" applyAlignment="1" applyProtection="1">
      <alignment horizontal="center"/>
      <protection locked="0"/>
    </xf>
    <xf numFmtId="164" fontId="7" fillId="2" borderId="17" xfId="0" applyNumberFormat="1" applyFont="1" applyFill="1" applyBorder="1" applyAlignment="1" applyProtection="1">
      <alignment horizontal="center"/>
      <protection locked="0"/>
    </xf>
    <xf numFmtId="168" fontId="7" fillId="5" borderId="41" xfId="0" applyNumberFormat="1" applyFont="1" applyFill="1" applyBorder="1" applyAlignment="1" applyProtection="1">
      <alignment horizontal="center"/>
      <protection locked="0"/>
    </xf>
    <xf numFmtId="164" fontId="7" fillId="2" borderId="19" xfId="0" applyNumberFormat="1" applyFont="1" applyFill="1" applyBorder="1" applyAlignment="1" applyProtection="1">
      <alignment horizontal="center"/>
      <protection locked="0"/>
    </xf>
    <xf numFmtId="164" fontId="7" fillId="2" borderId="1" xfId="0" applyNumberFormat="1" applyFont="1" applyFill="1" applyBorder="1" applyAlignment="1" applyProtection="1">
      <protection locked="0"/>
    </xf>
    <xf numFmtId="164" fontId="7" fillId="2" borderId="1" xfId="0" applyNumberFormat="1" applyFont="1" applyFill="1" applyBorder="1" applyAlignment="1" applyProtection="1">
      <alignment horizontal="center"/>
      <protection locked="0"/>
    </xf>
    <xf numFmtId="168" fontId="7" fillId="5" borderId="43" xfId="0" applyNumberFormat="1" applyFont="1" applyFill="1" applyBorder="1" applyAlignment="1" applyProtection="1">
      <alignment horizontal="center"/>
      <protection locked="0"/>
    </xf>
    <xf numFmtId="164" fontId="7" fillId="2" borderId="31" xfId="0" applyNumberFormat="1" applyFont="1" applyFill="1" applyBorder="1" applyAlignment="1" applyProtection="1">
      <alignment horizontal="center"/>
      <protection locked="0"/>
    </xf>
    <xf numFmtId="164" fontId="7" fillId="2" borderId="14" xfId="0" applyNumberFormat="1" applyFont="1" applyFill="1" applyBorder="1" applyAlignment="1" applyProtection="1">
      <protection locked="0"/>
    </xf>
    <xf numFmtId="164" fontId="7" fillId="2" borderId="32" xfId="0" applyNumberFormat="1" applyFont="1" applyFill="1" applyBorder="1" applyAlignment="1" applyProtection="1">
      <protection locked="0"/>
    </xf>
    <xf numFmtId="164" fontId="7" fillId="2" borderId="21" xfId="0" applyNumberFormat="1" applyFont="1" applyFill="1" applyBorder="1" applyAlignment="1" applyProtection="1">
      <protection locked="0"/>
    </xf>
    <xf numFmtId="164" fontId="7" fillId="2" borderId="35" xfId="0" applyNumberFormat="1" applyFont="1" applyFill="1" applyBorder="1" applyAlignment="1" applyProtection="1">
      <protection locked="0"/>
    </xf>
    <xf numFmtId="0" fontId="7" fillId="5" borderId="40" xfId="0" applyNumberFormat="1" applyFont="1" applyFill="1" applyBorder="1" applyAlignment="1" applyProtection="1">
      <alignment horizontal="center"/>
      <protection locked="0"/>
    </xf>
    <xf numFmtId="164" fontId="7" fillId="2" borderId="17" xfId="0" applyNumberFormat="1" applyFont="1" applyFill="1" applyBorder="1" applyAlignment="1" applyProtection="1">
      <protection locked="0"/>
    </xf>
    <xf numFmtId="0" fontId="7" fillId="2" borderId="18" xfId="0" applyNumberFormat="1" applyFont="1" applyFill="1" applyBorder="1" applyAlignment="1" applyProtection="1">
      <protection locked="0"/>
    </xf>
    <xf numFmtId="0" fontId="7" fillId="5" borderId="41" xfId="0" applyNumberFormat="1" applyFont="1" applyFill="1" applyBorder="1" applyAlignment="1" applyProtection="1">
      <alignment horizontal="center"/>
      <protection locked="0"/>
    </xf>
    <xf numFmtId="164" fontId="7" fillId="2" borderId="19" xfId="0" applyNumberFormat="1" applyFont="1" applyFill="1" applyBorder="1" applyAlignment="1" applyProtection="1">
      <alignment horizontal="right"/>
      <protection locked="0"/>
    </xf>
    <xf numFmtId="0" fontId="7" fillId="5" borderId="48" xfId="0" applyNumberFormat="1" applyFont="1" applyFill="1" applyBorder="1" applyAlignment="1" applyProtection="1">
      <alignment horizontal="center"/>
      <protection locked="0"/>
    </xf>
    <xf numFmtId="0" fontId="7" fillId="2" borderId="46" xfId="0" applyNumberFormat="1" applyFont="1" applyFill="1" applyBorder="1" applyAlignment="1" applyProtection="1">
      <protection locked="0"/>
    </xf>
    <xf numFmtId="0" fontId="7" fillId="2" borderId="49" xfId="0" applyNumberFormat="1" applyFont="1" applyFill="1" applyBorder="1" applyAlignment="1" applyProtection="1">
      <protection locked="0"/>
    </xf>
    <xf numFmtId="164" fontId="7" fillId="2" borderId="49" xfId="0" applyNumberFormat="1" applyFont="1" applyFill="1" applyBorder="1" applyAlignment="1" applyProtection="1">
      <protection locked="0"/>
    </xf>
    <xf numFmtId="0" fontId="7" fillId="2" borderId="50" xfId="0" applyNumberFormat="1" applyFont="1" applyFill="1" applyBorder="1" applyAlignment="1" applyProtection="1">
      <protection locked="0"/>
    </xf>
    <xf numFmtId="9" fontId="7" fillId="5" borderId="54" xfId="0" applyNumberFormat="1" applyFont="1" applyFill="1" applyBorder="1" applyAlignment="1" applyProtection="1">
      <alignment horizontal="center"/>
      <protection locked="0"/>
    </xf>
    <xf numFmtId="164" fontId="7" fillId="2" borderId="51" xfId="0" applyNumberFormat="1" applyFont="1" applyFill="1" applyBorder="1" applyAlignment="1" applyProtection="1">
      <alignment horizontal="center"/>
      <protection locked="0"/>
    </xf>
    <xf numFmtId="164" fontId="7" fillId="2" borderId="13" xfId="0" applyNumberFormat="1" applyFont="1" applyFill="1" applyBorder="1" applyAlignment="1" applyProtection="1">
      <protection locked="0"/>
    </xf>
    <xf numFmtId="0" fontId="7" fillId="2" borderId="52" xfId="0" applyNumberFormat="1" applyFont="1" applyFill="1" applyBorder="1" applyAlignment="1" applyProtection="1">
      <protection locked="0"/>
    </xf>
    <xf numFmtId="9" fontId="7" fillId="5" borderId="41" xfId="0" applyNumberFormat="1" applyFont="1" applyFill="1" applyBorder="1" applyAlignment="1" applyProtection="1">
      <alignment horizontal="center"/>
      <protection locked="0"/>
    </xf>
    <xf numFmtId="164" fontId="7" fillId="2" borderId="15" xfId="0" applyNumberFormat="1" applyFont="1" applyFill="1" applyBorder="1" applyAlignment="1" applyProtection="1">
      <protection locked="0"/>
    </xf>
    <xf numFmtId="164" fontId="7" fillId="2" borderId="1" xfId="0" applyNumberFormat="1" applyFont="1" applyFill="1" applyBorder="1" applyAlignment="1" applyProtection="1">
      <alignment horizontal="right"/>
      <protection locked="0"/>
    </xf>
    <xf numFmtId="9" fontId="7" fillId="5" borderId="48" xfId="0" applyNumberFormat="1" applyFont="1" applyFill="1" applyBorder="1" applyAlignment="1" applyProtection="1">
      <alignment horizontal="center"/>
      <protection locked="0"/>
    </xf>
    <xf numFmtId="164" fontId="7" fillId="2" borderId="46" xfId="0" applyNumberFormat="1" applyFont="1" applyFill="1" applyBorder="1" applyAlignment="1" applyProtection="1">
      <alignment horizontal="center"/>
      <protection locked="0"/>
    </xf>
    <xf numFmtId="164" fontId="7" fillId="2" borderId="49" xfId="0" applyNumberFormat="1" applyFont="1" applyFill="1" applyBorder="1" applyAlignment="1" applyProtection="1">
      <alignment horizontal="right"/>
      <protection locked="0"/>
    </xf>
    <xf numFmtId="170" fontId="7" fillId="5" borderId="54" xfId="0" applyNumberFormat="1" applyFont="1" applyFill="1" applyBorder="1" applyAlignment="1" applyProtection="1">
      <alignment horizontal="center"/>
      <protection locked="0"/>
    </xf>
    <xf numFmtId="164" fontId="6" fillId="3" borderId="57" xfId="0" applyNumberFormat="1" applyFont="1" applyFill="1" applyBorder="1" applyAlignment="1" applyProtection="1">
      <alignment horizontal="center"/>
      <protection locked="0"/>
    </xf>
    <xf numFmtId="171" fontId="7" fillId="6" borderId="27" xfId="0" applyNumberFormat="1" applyFont="1" applyFill="1" applyBorder="1" applyAlignment="1" applyProtection="1">
      <alignment horizontal="center"/>
      <protection locked="0"/>
    </xf>
    <xf numFmtId="9" fontId="7" fillId="5" borderId="43" xfId="0" applyNumberFormat="1" applyFont="1" applyFill="1" applyBorder="1" applyAlignment="1" applyProtection="1">
      <alignment horizontal="center"/>
      <protection locked="0"/>
    </xf>
    <xf numFmtId="164" fontId="6" fillId="2" borderId="60" xfId="0" applyNumberFormat="1" applyFont="1" applyFill="1" applyBorder="1" applyAlignment="1" applyProtection="1">
      <alignment horizontal="center"/>
      <protection locked="0"/>
    </xf>
    <xf numFmtId="0" fontId="7" fillId="2" borderId="16" xfId="0" applyNumberFormat="1" applyFont="1" applyFill="1" applyBorder="1" applyAlignment="1" applyProtection="1">
      <protection locked="0"/>
    </xf>
    <xf numFmtId="0" fontId="7" fillId="2" borderId="17" xfId="0" applyNumberFormat="1" applyFont="1" applyFill="1" applyBorder="1" applyAlignment="1" applyProtection="1">
      <protection locked="0"/>
    </xf>
    <xf numFmtId="0" fontId="7" fillId="2" borderId="17" xfId="0" applyNumberFormat="1" applyFont="1" applyFill="1" applyBorder="1" applyAlignment="1" applyProtection="1">
      <protection locked="0"/>
    </xf>
    <xf numFmtId="49" fontId="6" fillId="2" borderId="64" xfId="0" applyNumberFormat="1" applyFont="1" applyFill="1" applyBorder="1" applyAlignment="1" applyProtection="1">
      <protection locked="0"/>
    </xf>
    <xf numFmtId="0" fontId="6" fillId="2" borderId="65" xfId="0" applyNumberFormat="1" applyFont="1" applyFill="1" applyBorder="1" applyAlignment="1" applyProtection="1">
      <protection locked="0"/>
    </xf>
    <xf numFmtId="0" fontId="6" fillId="2" borderId="66" xfId="0" applyNumberFormat="1" applyFont="1" applyFill="1" applyBorder="1" applyAlignment="1" applyProtection="1">
      <protection locked="0"/>
    </xf>
    <xf numFmtId="0" fontId="6" fillId="2" borderId="69" xfId="0" applyNumberFormat="1" applyFont="1" applyFill="1" applyBorder="1" applyAlignment="1" applyProtection="1">
      <alignment horizontal="center"/>
      <protection locked="0"/>
    </xf>
    <xf numFmtId="164" fontId="7" fillId="2" borderId="9" xfId="0" applyNumberFormat="1" applyFont="1" applyFill="1" applyBorder="1" applyAlignment="1" applyProtection="1">
      <protection locked="0"/>
    </xf>
    <xf numFmtId="164" fontId="7" fillId="2" borderId="70" xfId="0" applyNumberFormat="1" applyFont="1" applyFill="1" applyBorder="1" applyAlignment="1" applyProtection="1">
      <protection locked="0"/>
    </xf>
    <xf numFmtId="0" fontId="6" fillId="2" borderId="72" xfId="0" applyNumberFormat="1" applyFont="1" applyFill="1" applyBorder="1" applyAlignment="1" applyProtection="1">
      <alignment horizontal="center"/>
      <protection locked="0"/>
    </xf>
    <xf numFmtId="164" fontId="7" fillId="2" borderId="73" xfId="0" applyNumberFormat="1" applyFont="1" applyFill="1" applyBorder="1" applyAlignment="1" applyProtection="1">
      <protection locked="0"/>
    </xf>
    <xf numFmtId="49" fontId="6" fillId="2" borderId="75" xfId="0" applyNumberFormat="1" applyFont="1" applyFill="1" applyBorder="1" applyAlignment="1" applyProtection="1">
      <alignment horizontal="center"/>
      <protection locked="0"/>
    </xf>
    <xf numFmtId="49" fontId="6" fillId="2" borderId="76" xfId="0" applyNumberFormat="1" applyFont="1" applyFill="1" applyBorder="1" applyAlignment="1" applyProtection="1">
      <alignment horizontal="center"/>
      <protection locked="0"/>
    </xf>
    <xf numFmtId="173" fontId="6" fillId="3" borderId="29" xfId="0" applyNumberFormat="1" applyFont="1" applyFill="1" applyBorder="1" applyAlignment="1" applyProtection="1">
      <protection locked="0"/>
    </xf>
    <xf numFmtId="174" fontId="6" fillId="3" borderId="30" xfId="0" applyNumberFormat="1" applyFont="1" applyFill="1" applyBorder="1" applyAlignment="1" applyProtection="1">
      <protection locked="0"/>
    </xf>
    <xf numFmtId="164" fontId="7" fillId="2" borderId="16" xfId="0" applyNumberFormat="1" applyFont="1" applyFill="1" applyBorder="1" applyAlignment="1" applyProtection="1"/>
    <xf numFmtId="164" fontId="7" fillId="2" borderId="19" xfId="0" applyNumberFormat="1" applyFont="1" applyFill="1" applyBorder="1" applyAlignment="1" applyProtection="1"/>
    <xf numFmtId="0" fontId="6" fillId="2" borderId="16" xfId="0" applyNumberFormat="1" applyFont="1" applyFill="1" applyBorder="1" applyAlignment="1" applyProtection="1">
      <alignment horizontal="left"/>
      <protection locked="0"/>
    </xf>
    <xf numFmtId="0" fontId="6" fillId="2" borderId="17" xfId="0" applyNumberFormat="1" applyFont="1" applyFill="1" applyBorder="1" applyAlignment="1" applyProtection="1">
      <alignment horizontal="left"/>
      <protection locked="0"/>
    </xf>
    <xf numFmtId="0" fontId="7" fillId="2" borderId="17" xfId="0" applyNumberFormat="1" applyFont="1" applyFill="1" applyBorder="1" applyAlignment="1" applyProtection="1">
      <alignment horizontal="center"/>
      <protection locked="0"/>
    </xf>
    <xf numFmtId="49" fontId="6" fillId="2" borderId="19" xfId="0" applyNumberFormat="1" applyFont="1" applyFill="1" applyBorder="1" applyAlignment="1" applyProtection="1">
      <alignment horizontal="left"/>
      <protection locked="0"/>
    </xf>
    <xf numFmtId="0" fontId="6" fillId="2" borderId="1" xfId="0" applyNumberFormat="1" applyFont="1" applyFill="1" applyBorder="1" applyAlignment="1" applyProtection="1">
      <alignment horizontal="left"/>
      <protection locked="0"/>
    </xf>
    <xf numFmtId="9" fontId="7" fillId="2" borderId="1" xfId="0" applyNumberFormat="1" applyFont="1" applyFill="1" applyBorder="1" applyAlignment="1" applyProtection="1">
      <protection locked="0"/>
    </xf>
    <xf numFmtId="0" fontId="6" fillId="2" borderId="1" xfId="0" applyNumberFormat="1" applyFont="1" applyFill="1" applyBorder="1" applyAlignment="1" applyProtection="1">
      <alignment horizontal="center"/>
      <protection locked="0"/>
    </xf>
    <xf numFmtId="0" fontId="6" fillId="2" borderId="19" xfId="0" applyNumberFormat="1" applyFont="1" applyFill="1" applyBorder="1" applyAlignment="1" applyProtection="1">
      <alignment horizontal="left"/>
      <protection locked="0"/>
    </xf>
    <xf numFmtId="0" fontId="7" fillId="2" borderId="14" xfId="0" applyNumberFormat="1" applyFont="1" applyFill="1" applyBorder="1" applyAlignment="1" applyProtection="1">
      <alignment horizontal="center"/>
      <protection locked="0"/>
    </xf>
    <xf numFmtId="0" fontId="6" fillId="2" borderId="36" xfId="0" applyNumberFormat="1" applyFont="1" applyFill="1" applyBorder="1" applyAlignment="1" applyProtection="1">
      <alignment horizontal="center"/>
      <protection locked="0"/>
    </xf>
    <xf numFmtId="10" fontId="6" fillId="3" borderId="38" xfId="0" applyNumberFormat="1" applyFont="1" applyFill="1" applyBorder="1" applyAlignment="1" applyProtection="1">
      <protection locked="0"/>
    </xf>
    <xf numFmtId="49" fontId="6" fillId="2" borderId="16" xfId="0" applyNumberFormat="1" applyFont="1" applyFill="1" applyBorder="1" applyAlignment="1" applyProtection="1">
      <protection locked="0"/>
    </xf>
    <xf numFmtId="9" fontId="6" fillId="2" borderId="17" xfId="0" applyNumberFormat="1" applyFont="1" applyFill="1" applyBorder="1" applyAlignment="1" applyProtection="1">
      <alignment horizontal="center" vertical="center"/>
      <protection locked="0"/>
    </xf>
    <xf numFmtId="49" fontId="6" fillId="2" borderId="19" xfId="0" applyNumberFormat="1" applyFont="1" applyFill="1" applyBorder="1" applyAlignment="1" applyProtection="1">
      <protection locked="0"/>
    </xf>
    <xf numFmtId="0" fontId="7" fillId="2" borderId="1" xfId="0" applyNumberFormat="1" applyFont="1" applyFill="1" applyBorder="1" applyAlignment="1" applyProtection="1">
      <alignment horizontal="center"/>
      <protection locked="0"/>
    </xf>
    <xf numFmtId="9" fontId="6" fillId="2" borderId="1" xfId="0" applyNumberFormat="1" applyFont="1" applyFill="1" applyBorder="1" applyAlignment="1" applyProtection="1">
      <alignment horizontal="center" vertical="center"/>
      <protection locked="0"/>
    </xf>
    <xf numFmtId="0" fontId="6" fillId="2" borderId="19" xfId="0" applyNumberFormat="1" applyFont="1" applyFill="1" applyBorder="1" applyAlignment="1" applyProtection="1">
      <protection locked="0"/>
    </xf>
    <xf numFmtId="0" fontId="6" fillId="2" borderId="1" xfId="0" applyNumberFormat="1" applyFont="1" applyFill="1" applyBorder="1" applyAlignment="1" applyProtection="1">
      <alignment horizontal="center" vertical="center"/>
      <protection locked="0"/>
    </xf>
    <xf numFmtId="0" fontId="6" fillId="2" borderId="1" xfId="0" applyNumberFormat="1" applyFont="1" applyFill="1" applyBorder="1" applyAlignment="1" applyProtection="1">
      <protection locked="0"/>
    </xf>
    <xf numFmtId="0" fontId="6" fillId="2" borderId="15" xfId="0" applyNumberFormat="1" applyFont="1" applyFill="1" applyBorder="1" applyAlignment="1" applyProtection="1">
      <protection locked="0"/>
    </xf>
    <xf numFmtId="175" fontId="7" fillId="2" borderId="1" xfId="0" applyNumberFormat="1" applyFont="1" applyFill="1" applyBorder="1" applyAlignment="1" applyProtection="1">
      <protection locked="0"/>
    </xf>
    <xf numFmtId="175" fontId="7" fillId="2" borderId="15" xfId="0" applyNumberFormat="1" applyFont="1" applyFill="1" applyBorder="1" applyAlignment="1" applyProtection="1">
      <protection locked="0"/>
    </xf>
    <xf numFmtId="10" fontId="7" fillId="2" borderId="1" xfId="0" applyNumberFormat="1" applyFont="1" applyFill="1" applyBorder="1" applyAlignment="1" applyProtection="1">
      <protection locked="0"/>
    </xf>
    <xf numFmtId="49" fontId="6" fillId="2" borderId="36" xfId="0" applyNumberFormat="1" applyFont="1" applyFill="1" applyBorder="1" applyAlignment="1" applyProtection="1">
      <protection locked="0"/>
    </xf>
    <xf numFmtId="0" fontId="6" fillId="2" borderId="16" xfId="0" applyNumberFormat="1" applyFont="1" applyFill="1" applyBorder="1" applyAlignment="1" applyProtection="1">
      <protection locked="0"/>
    </xf>
    <xf numFmtId="166" fontId="6" fillId="2" borderId="18" xfId="0" applyNumberFormat="1" applyFont="1" applyFill="1" applyBorder="1" applyAlignment="1" applyProtection="1">
      <alignment horizontal="center" vertical="center"/>
      <protection locked="0"/>
    </xf>
    <xf numFmtId="0" fontId="6" fillId="2" borderId="31" xfId="0" applyNumberFormat="1" applyFont="1" applyFill="1" applyBorder="1" applyAlignment="1" applyProtection="1">
      <protection locked="0"/>
    </xf>
    <xf numFmtId="0" fontId="6" fillId="3" borderId="9" xfId="0" applyNumberFormat="1" applyFont="1" applyFill="1" applyBorder="1" applyAlignment="1" applyProtection="1">
      <alignment horizontal="right"/>
      <protection locked="0"/>
    </xf>
    <xf numFmtId="0" fontId="7" fillId="3" borderId="9" xfId="0" applyNumberFormat="1" applyFont="1" applyFill="1" applyBorder="1" applyAlignment="1" applyProtection="1">
      <protection locked="0"/>
    </xf>
    <xf numFmtId="49" fontId="7" fillId="3" borderId="9" xfId="0" applyNumberFormat="1" applyFont="1" applyFill="1" applyBorder="1" applyAlignment="1" applyProtection="1">
      <protection locked="0"/>
    </xf>
    <xf numFmtId="165" fontId="6" fillId="2" borderId="16" xfId="0" applyNumberFormat="1" applyFont="1" applyFill="1" applyBorder="1" applyAlignment="1" applyProtection="1">
      <protection locked="0"/>
    </xf>
    <xf numFmtId="165" fontId="7" fillId="2" borderId="19" xfId="0" applyNumberFormat="1" applyFont="1" applyFill="1" applyBorder="1" applyAlignment="1" applyProtection="1">
      <alignment horizontal="left"/>
      <protection locked="0"/>
    </xf>
    <xf numFmtId="165" fontId="6" fillId="2" borderId="19" xfId="0" applyNumberFormat="1" applyFont="1" applyFill="1" applyBorder="1" applyAlignment="1" applyProtection="1">
      <protection locked="0"/>
    </xf>
    <xf numFmtId="2" fontId="7" fillId="5" borderId="34" xfId="0" applyNumberFormat="1" applyFont="1" applyFill="1" applyBorder="1" applyAlignment="1" applyProtection="1">
      <alignment horizontal="center"/>
      <protection locked="0"/>
    </xf>
    <xf numFmtId="177" fontId="6" fillId="2" borderId="14" xfId="0" applyNumberFormat="1" applyFont="1" applyFill="1" applyBorder="1" applyAlignment="1" applyProtection="1">
      <protection locked="0"/>
    </xf>
    <xf numFmtId="8" fontId="6" fillId="2" borderId="1" xfId="0" applyNumberFormat="1" applyFont="1" applyFill="1" applyBorder="1" applyAlignment="1" applyProtection="1">
      <alignment horizontal="center"/>
      <protection locked="0"/>
    </xf>
    <xf numFmtId="164" fontId="6" fillId="2" borderId="1" xfId="0" applyNumberFormat="1" applyFont="1" applyFill="1" applyBorder="1" applyAlignment="1" applyProtection="1">
      <alignment horizontal="left"/>
      <protection locked="0"/>
    </xf>
    <xf numFmtId="166" fontId="11" fillId="3" borderId="30" xfId="0" applyNumberFormat="1" applyFont="1" applyFill="1" applyBorder="1" applyAlignment="1" applyProtection="1">
      <protection locked="0"/>
    </xf>
    <xf numFmtId="2" fontId="7" fillId="2" borderId="1" xfId="0" applyNumberFormat="1" applyFont="1" applyFill="1" applyBorder="1" applyAlignment="1" applyProtection="1">
      <protection locked="0"/>
    </xf>
    <xf numFmtId="1" fontId="7" fillId="2" borderId="1" xfId="0" applyNumberFormat="1" applyFont="1" applyFill="1" applyBorder="1" applyAlignment="1" applyProtection="1">
      <protection locked="0"/>
    </xf>
    <xf numFmtId="8" fontId="7" fillId="2" borderId="1" xfId="0" applyNumberFormat="1" applyFont="1" applyFill="1" applyBorder="1" applyAlignment="1" applyProtection="1">
      <protection locked="0"/>
    </xf>
    <xf numFmtId="178" fontId="7" fillId="2" borderId="1" xfId="1" applyNumberFormat="1" applyFont="1" applyFill="1" applyBorder="1" applyAlignment="1" applyProtection="1">
      <protection locked="0"/>
    </xf>
    <xf numFmtId="44" fontId="7" fillId="2" borderId="1" xfId="1" applyFont="1" applyFill="1" applyBorder="1" applyAlignment="1" applyProtection="1">
      <protection locked="0"/>
    </xf>
    <xf numFmtId="9" fontId="7" fillId="2" borderId="1" xfId="2" applyFont="1" applyFill="1" applyBorder="1" applyAlignment="1" applyProtection="1">
      <protection locked="0"/>
    </xf>
    <xf numFmtId="164" fontId="6" fillId="2" borderId="32" xfId="0" applyNumberFormat="1" applyFont="1" applyFill="1" applyBorder="1" applyAlignment="1" applyProtection="1">
      <alignment horizontal="center" vertical="center"/>
      <protection locked="0"/>
    </xf>
    <xf numFmtId="164" fontId="6" fillId="2" borderId="17" xfId="0" applyNumberFormat="1" applyFont="1" applyFill="1" applyBorder="1" applyAlignment="1" applyProtection="1">
      <alignment horizontal="left"/>
      <protection locked="0"/>
    </xf>
    <xf numFmtId="166" fontId="6" fillId="2" borderId="14" xfId="0" applyNumberFormat="1" applyFont="1" applyFill="1" applyBorder="1" applyAlignment="1" applyProtection="1">
      <alignment horizontal="left" vertical="center"/>
      <protection locked="0"/>
    </xf>
    <xf numFmtId="165" fontId="6" fillId="8" borderId="1" xfId="0" applyNumberFormat="1" applyFont="1" applyFill="1" applyBorder="1" applyAlignment="1" applyProtection="1">
      <protection locked="0"/>
    </xf>
    <xf numFmtId="165" fontId="7" fillId="8" borderId="1" xfId="0" applyNumberFormat="1" applyFont="1" applyFill="1" applyBorder="1" applyAlignment="1" applyProtection="1">
      <protection locked="0"/>
    </xf>
    <xf numFmtId="165" fontId="7" fillId="8" borderId="15" xfId="0" applyNumberFormat="1" applyFont="1" applyFill="1" applyBorder="1" applyAlignment="1" applyProtection="1">
      <protection locked="0"/>
    </xf>
    <xf numFmtId="0" fontId="0" fillId="8" borderId="19" xfId="0" applyFont="1" applyFill="1" applyBorder="1" applyAlignment="1"/>
    <xf numFmtId="0" fontId="0" fillId="8" borderId="1" xfId="0" applyFont="1" applyFill="1" applyBorder="1" applyAlignment="1"/>
    <xf numFmtId="164" fontId="7" fillId="8" borderId="9" xfId="0" applyNumberFormat="1" applyFont="1" applyFill="1" applyBorder="1" applyAlignment="1" applyProtection="1">
      <protection locked="0"/>
    </xf>
    <xf numFmtId="49" fontId="2" fillId="2" borderId="1" xfId="0" applyNumberFormat="1" applyFont="1" applyFill="1" applyBorder="1" applyAlignment="1">
      <alignment horizontal="left"/>
    </xf>
    <xf numFmtId="0" fontId="2" fillId="2" borderId="1" xfId="0" applyNumberFormat="1" applyFont="1" applyFill="1" applyBorder="1" applyAlignment="1">
      <alignment horizontal="left"/>
    </xf>
    <xf numFmtId="49" fontId="2" fillId="2" borderId="1" xfId="0" applyNumberFormat="1" applyFont="1" applyFill="1" applyBorder="1" applyAlignment="1">
      <alignment horizontal="center"/>
    </xf>
    <xf numFmtId="0" fontId="2" fillId="2" borderId="1" xfId="0" applyNumberFormat="1" applyFont="1" applyFill="1" applyBorder="1" applyAlignment="1">
      <alignment horizontal="center"/>
    </xf>
    <xf numFmtId="49" fontId="5" fillId="4" borderId="7" xfId="0" applyNumberFormat="1" applyFont="1" applyFill="1" applyBorder="1" applyAlignment="1">
      <alignment horizontal="center"/>
    </xf>
    <xf numFmtId="0" fontId="5" fillId="4" borderId="4" xfId="0" applyNumberFormat="1" applyFont="1" applyFill="1" applyBorder="1" applyAlignment="1">
      <alignment horizontal="center"/>
    </xf>
    <xf numFmtId="49" fontId="4" fillId="2" borderId="1" xfId="0" applyNumberFormat="1" applyFont="1" applyFill="1" applyBorder="1" applyAlignment="1">
      <alignment horizontal="left"/>
    </xf>
    <xf numFmtId="0" fontId="4" fillId="2" borderId="1" xfId="0" applyNumberFormat="1" applyFont="1" applyFill="1" applyBorder="1" applyAlignment="1">
      <alignment horizontal="left"/>
    </xf>
    <xf numFmtId="49" fontId="3" fillId="3" borderId="4" xfId="0" applyNumberFormat="1" applyFont="1" applyFill="1" applyBorder="1" applyAlignment="1">
      <alignment horizontal="center"/>
    </xf>
    <xf numFmtId="0" fontId="3" fillId="3" borderId="4" xfId="0" applyNumberFormat="1" applyFont="1" applyFill="1" applyBorder="1" applyAlignment="1">
      <alignment horizontal="center"/>
    </xf>
    <xf numFmtId="49" fontId="2" fillId="2" borderId="2" xfId="0" applyNumberFormat="1" applyFont="1" applyFill="1" applyBorder="1" applyAlignment="1">
      <alignment horizontal="left"/>
    </xf>
    <xf numFmtId="0" fontId="2" fillId="2" borderId="2" xfId="0" applyNumberFormat="1" applyFont="1" applyFill="1" applyBorder="1" applyAlignment="1">
      <alignment horizontal="left"/>
    </xf>
    <xf numFmtId="49" fontId="2" fillId="2" borderId="1" xfId="0" applyNumberFormat="1" applyFont="1" applyFill="1" applyBorder="1" applyAlignment="1">
      <alignment horizontal="center" vertical="center"/>
    </xf>
    <xf numFmtId="0" fontId="0" fillId="2" borderId="3"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2" fillId="2" borderId="6" xfId="0" applyNumberFormat="1" applyFont="1" applyFill="1" applyBorder="1" applyAlignment="1">
      <alignment horizontal="left"/>
    </xf>
    <xf numFmtId="0" fontId="2" fillId="2" borderId="3" xfId="0" applyNumberFormat="1" applyFont="1" applyFill="1" applyBorder="1" applyAlignment="1">
      <alignment horizontal="left"/>
    </xf>
    <xf numFmtId="49" fontId="2" fillId="2" borderId="5"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49" fontId="3" fillId="2" borderId="1" xfId="0" applyNumberFormat="1" applyFont="1" applyFill="1" applyBorder="1" applyAlignment="1">
      <alignment horizontal="center" wrapText="1"/>
    </xf>
    <xf numFmtId="0" fontId="3" fillId="2" borderId="6" xfId="0" applyNumberFormat="1" applyFont="1" applyFill="1" applyBorder="1" applyAlignment="1">
      <alignment horizontal="center" wrapText="1"/>
    </xf>
    <xf numFmtId="0" fontId="3" fillId="2" borderId="1" xfId="0" applyNumberFormat="1" applyFont="1" applyFill="1" applyBorder="1" applyAlignment="1">
      <alignment horizontal="center" wrapText="1"/>
    </xf>
    <xf numFmtId="0" fontId="6" fillId="2" borderId="16" xfId="0" applyNumberFormat="1" applyFont="1" applyFill="1" applyBorder="1" applyAlignment="1" applyProtection="1">
      <alignment horizontal="center" vertical="center" wrapText="1"/>
      <protection locked="0"/>
    </xf>
    <xf numFmtId="0" fontId="6" fillId="2" borderId="17" xfId="0" applyNumberFormat="1" applyFont="1" applyFill="1" applyBorder="1" applyAlignment="1" applyProtection="1">
      <alignment horizontal="center" vertical="center" wrapText="1"/>
      <protection locked="0"/>
    </xf>
    <xf numFmtId="0" fontId="6" fillId="2" borderId="18" xfId="0" applyNumberFormat="1" applyFont="1" applyFill="1" applyBorder="1" applyAlignment="1" applyProtection="1">
      <alignment horizontal="center" vertical="center" wrapText="1"/>
      <protection locked="0"/>
    </xf>
    <xf numFmtId="0" fontId="6" fillId="2" borderId="19" xfId="0" applyNumberFormat="1" applyFont="1" applyFill="1" applyBorder="1" applyAlignment="1" applyProtection="1">
      <alignment horizontal="center" vertical="center" wrapText="1"/>
      <protection locked="0"/>
    </xf>
    <xf numFmtId="0" fontId="6" fillId="2" borderId="1" xfId="0" applyNumberFormat="1" applyFont="1" applyFill="1" applyBorder="1" applyAlignment="1" applyProtection="1">
      <alignment horizontal="center" vertical="center" wrapText="1"/>
      <protection locked="0"/>
    </xf>
    <xf numFmtId="0" fontId="6" fillId="2" borderId="15" xfId="0" applyNumberFormat="1" applyFont="1" applyFill="1" applyBorder="1" applyAlignment="1" applyProtection="1">
      <alignment horizontal="center" vertical="center" wrapText="1"/>
      <protection locked="0"/>
    </xf>
    <xf numFmtId="0" fontId="6" fillId="2" borderId="31" xfId="0" applyNumberFormat="1" applyFont="1" applyFill="1" applyBorder="1" applyAlignment="1" applyProtection="1">
      <alignment horizontal="center" vertical="center" wrapText="1"/>
      <protection locked="0"/>
    </xf>
    <xf numFmtId="0" fontId="6" fillId="2" borderId="14" xfId="0" applyNumberFormat="1" applyFont="1" applyFill="1" applyBorder="1" applyAlignment="1" applyProtection="1">
      <alignment horizontal="center" vertical="center" wrapText="1"/>
      <protection locked="0"/>
    </xf>
    <xf numFmtId="0" fontId="6" fillId="2" borderId="32" xfId="0" applyNumberFormat="1" applyFont="1" applyFill="1" applyBorder="1" applyAlignment="1" applyProtection="1">
      <alignment horizontal="center" vertical="center" wrapText="1"/>
      <protection locked="0"/>
    </xf>
    <xf numFmtId="49" fontId="7" fillId="2" borderId="1" xfId="0" applyNumberFormat="1" applyFont="1" applyFill="1" applyBorder="1" applyAlignment="1">
      <alignment horizontal="left"/>
    </xf>
    <xf numFmtId="0" fontId="7" fillId="2" borderId="1" xfId="0" applyNumberFormat="1" applyFont="1" applyFill="1" applyBorder="1" applyAlignment="1">
      <alignment horizontal="left"/>
    </xf>
    <xf numFmtId="0" fontId="6" fillId="2" borderId="31" xfId="0" applyNumberFormat="1" applyFont="1" applyFill="1" applyBorder="1" applyAlignment="1" applyProtection="1">
      <alignment horizontal="left"/>
      <protection locked="0"/>
    </xf>
    <xf numFmtId="0" fontId="7" fillId="2" borderId="42" xfId="0" applyNumberFormat="1" applyFont="1" applyFill="1" applyBorder="1" applyAlignment="1" applyProtection="1">
      <protection locked="0"/>
    </xf>
    <xf numFmtId="49" fontId="7"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7" fillId="2" borderId="51" xfId="0" applyNumberFormat="1" applyFont="1" applyFill="1" applyBorder="1" applyAlignment="1">
      <alignment horizontal="center" vertical="center" wrapText="1"/>
    </xf>
    <xf numFmtId="0" fontId="7" fillId="2" borderId="52" xfId="0" applyNumberFormat="1" applyFont="1" applyFill="1" applyBorder="1" applyAlignment="1">
      <alignment horizontal="center" vertical="center" wrapText="1"/>
    </xf>
    <xf numFmtId="0" fontId="7" fillId="2" borderId="19"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7" fillId="2" borderId="46" xfId="0" applyNumberFormat="1" applyFont="1" applyFill="1" applyBorder="1" applyAlignment="1">
      <alignment horizontal="center" vertical="center" wrapText="1"/>
    </xf>
    <xf numFmtId="0" fontId="7" fillId="2" borderId="50" xfId="0" applyNumberFormat="1" applyFont="1" applyFill="1" applyBorder="1" applyAlignment="1">
      <alignment horizontal="center" vertical="center" wrapText="1"/>
    </xf>
    <xf numFmtId="0" fontId="7" fillId="2" borderId="46" xfId="0" applyNumberFormat="1" applyFont="1" applyFill="1" applyBorder="1" applyAlignment="1" applyProtection="1">
      <alignment horizontal="left" vertical="center"/>
      <protection locked="0"/>
    </xf>
    <xf numFmtId="0" fontId="7" fillId="2" borderId="47" xfId="0" applyNumberFormat="1" applyFont="1" applyFill="1" applyBorder="1" applyAlignment="1" applyProtection="1">
      <alignment horizontal="left" vertical="center"/>
      <protection locked="0"/>
    </xf>
    <xf numFmtId="164" fontId="6" fillId="3" borderId="36" xfId="0" applyNumberFormat="1" applyFont="1" applyFill="1" applyBorder="1" applyAlignment="1" applyProtection="1">
      <alignment horizontal="center" vertical="center"/>
      <protection locked="0"/>
    </xf>
    <xf numFmtId="0" fontId="7" fillId="2" borderId="38" xfId="0" applyNumberFormat="1" applyFont="1" applyFill="1" applyBorder="1" applyAlignment="1" applyProtection="1">
      <protection locked="0"/>
    </xf>
    <xf numFmtId="169" fontId="7" fillId="2" borderId="55" xfId="0" applyNumberFormat="1" applyFont="1" applyFill="1" applyBorder="1" applyAlignment="1">
      <alignment horizontal="center" vertical="center"/>
    </xf>
    <xf numFmtId="169" fontId="7" fillId="2" borderId="56" xfId="0" applyNumberFormat="1" applyFont="1" applyFill="1" applyBorder="1" applyAlignment="1">
      <alignment horizontal="center" vertical="center"/>
    </xf>
    <xf numFmtId="49" fontId="6" fillId="2" borderId="16" xfId="0" applyNumberFormat="1" applyFont="1" applyFill="1" applyBorder="1" applyAlignment="1" applyProtection="1">
      <alignment horizontal="left"/>
      <protection locked="0"/>
    </xf>
    <xf numFmtId="0" fontId="7" fillId="2" borderId="39" xfId="0" applyNumberFormat="1" applyFont="1" applyFill="1" applyBorder="1" applyAlignment="1" applyProtection="1">
      <protection locked="0"/>
    </xf>
    <xf numFmtId="49" fontId="6" fillId="2" borderId="31" xfId="0" applyNumberFormat="1" applyFont="1" applyFill="1" applyBorder="1" applyAlignment="1" applyProtection="1">
      <alignment horizontal="center"/>
      <protection locked="0"/>
    </xf>
    <xf numFmtId="0" fontId="7" fillId="2" borderId="42" xfId="0" applyNumberFormat="1" applyFont="1" applyFill="1" applyBorder="1" applyAlignment="1" applyProtection="1">
      <alignment horizontal="center"/>
      <protection locked="0"/>
    </xf>
    <xf numFmtId="0" fontId="6" fillId="2" borderId="16" xfId="0" applyNumberFormat="1" applyFont="1" applyFill="1" applyBorder="1" applyAlignment="1" applyProtection="1">
      <alignment horizontal="left"/>
      <protection locked="0"/>
    </xf>
    <xf numFmtId="0" fontId="6" fillId="2" borderId="19" xfId="0" applyNumberFormat="1" applyFont="1" applyFill="1" applyBorder="1" applyAlignment="1" applyProtection="1">
      <alignment horizontal="left"/>
      <protection locked="0"/>
    </xf>
    <xf numFmtId="0" fontId="7" fillId="2" borderId="8" xfId="0" applyNumberFormat="1" applyFont="1" applyFill="1" applyBorder="1" applyAlignment="1" applyProtection="1">
      <protection locked="0"/>
    </xf>
    <xf numFmtId="172" fontId="6" fillId="2" borderId="63" xfId="0" applyNumberFormat="1" applyFont="1" applyFill="1" applyBorder="1" applyAlignment="1" applyProtection="1">
      <alignment horizontal="center" vertical="center"/>
      <protection locked="0"/>
    </xf>
    <xf numFmtId="0" fontId="7" fillId="2" borderId="45" xfId="0" applyNumberFormat="1" applyFont="1" applyFill="1" applyBorder="1" applyAlignment="1" applyProtection="1">
      <protection locked="0"/>
    </xf>
    <xf numFmtId="49" fontId="7" fillId="2" borderId="1"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49" fontId="7" fillId="2" borderId="44" xfId="0" applyNumberFormat="1" applyFont="1" applyFill="1" applyBorder="1" applyAlignment="1">
      <alignment horizontal="center" vertical="center"/>
    </xf>
    <xf numFmtId="0" fontId="7" fillId="2" borderId="45" xfId="0" applyNumberFormat="1" applyFont="1" applyFill="1" applyBorder="1" applyAlignment="1">
      <alignment horizontal="center" vertical="center"/>
    </xf>
    <xf numFmtId="0" fontId="7" fillId="2" borderId="17" xfId="0" applyNumberFormat="1" applyFont="1" applyFill="1" applyBorder="1" applyAlignment="1" applyProtection="1">
      <protection locked="0"/>
    </xf>
    <xf numFmtId="49" fontId="7" fillId="3" borderId="10" xfId="0" applyNumberFormat="1" applyFont="1" applyFill="1" applyBorder="1" applyAlignment="1" applyProtection="1">
      <alignment horizontal="center"/>
      <protection locked="0"/>
    </xf>
    <xf numFmtId="0" fontId="7" fillId="3" borderId="11" xfId="0" applyNumberFormat="1" applyFont="1" applyFill="1" applyBorder="1" applyAlignment="1" applyProtection="1">
      <protection locked="0"/>
    </xf>
    <xf numFmtId="49" fontId="6" fillId="2" borderId="14" xfId="0" applyNumberFormat="1" applyFont="1" applyFill="1" applyBorder="1" applyAlignment="1">
      <alignment horizontal="left"/>
    </xf>
    <xf numFmtId="0" fontId="7" fillId="2" borderId="14" xfId="0" applyNumberFormat="1" applyFont="1" applyFill="1" applyBorder="1" applyAlignment="1"/>
    <xf numFmtId="49" fontId="6" fillId="2" borderId="21" xfId="0" applyNumberFormat="1" applyFont="1" applyFill="1" applyBorder="1" applyAlignment="1" applyProtection="1">
      <alignment horizontal="left"/>
      <protection locked="0"/>
    </xf>
    <xf numFmtId="0" fontId="7" fillId="2" borderId="22" xfId="0" applyNumberFormat="1" applyFont="1" applyFill="1" applyBorder="1" applyAlignment="1" applyProtection="1">
      <protection locked="0"/>
    </xf>
    <xf numFmtId="49" fontId="6" fillId="2" borderId="31" xfId="0" applyNumberFormat="1" applyFont="1" applyFill="1" applyBorder="1" applyAlignment="1" applyProtection="1">
      <alignment horizontal="left"/>
      <protection locked="0"/>
    </xf>
    <xf numFmtId="49" fontId="6" fillId="2" borderId="19" xfId="0" applyNumberFormat="1" applyFont="1" applyFill="1" applyBorder="1" applyAlignment="1" applyProtection="1">
      <alignment horizontal="left"/>
      <protection locked="0"/>
    </xf>
    <xf numFmtId="49" fontId="4" fillId="2" borderId="1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7" fillId="2" borderId="35" xfId="0" applyNumberFormat="1" applyFont="1" applyFill="1" applyBorder="1" applyAlignment="1" applyProtection="1">
      <protection locked="0"/>
    </xf>
    <xf numFmtId="0" fontId="7" fillId="2" borderId="33" xfId="0" applyNumberFormat="1" applyFont="1" applyFill="1" applyBorder="1" applyAlignment="1" applyProtection="1">
      <protection locked="0"/>
    </xf>
    <xf numFmtId="49" fontId="6" fillId="2" borderId="51" xfId="0" applyNumberFormat="1" applyFont="1" applyFill="1" applyBorder="1" applyAlignment="1" applyProtection="1">
      <alignment horizontal="left"/>
      <protection locked="0"/>
    </xf>
    <xf numFmtId="0" fontId="7" fillId="2" borderId="53" xfId="0" applyNumberFormat="1" applyFont="1" applyFill="1" applyBorder="1" applyAlignment="1" applyProtection="1">
      <protection locked="0"/>
    </xf>
    <xf numFmtId="165" fontId="6" fillId="3" borderId="71" xfId="0" applyNumberFormat="1" applyFont="1" applyFill="1" applyBorder="1" applyAlignment="1" applyProtection="1">
      <alignment horizontal="center" vertical="center"/>
      <protection locked="0"/>
    </xf>
    <xf numFmtId="165" fontId="7" fillId="2" borderId="38" xfId="0" applyNumberFormat="1" applyFont="1" applyFill="1" applyBorder="1" applyAlignment="1" applyProtection="1">
      <protection locked="0"/>
    </xf>
    <xf numFmtId="49" fontId="6" fillId="2" borderId="21" xfId="0" applyNumberFormat="1" applyFont="1" applyFill="1" applyBorder="1" applyAlignment="1" applyProtection="1">
      <alignment horizontal="center"/>
      <protection locked="0"/>
    </xf>
    <xf numFmtId="166" fontId="6" fillId="3" borderId="67" xfId="0" applyNumberFormat="1" applyFont="1" applyFill="1" applyBorder="1" applyAlignment="1" applyProtection="1">
      <alignment horizontal="center" vertical="center"/>
      <protection locked="0"/>
    </xf>
    <xf numFmtId="0" fontId="7" fillId="2" borderId="68" xfId="0" applyNumberFormat="1" applyFont="1" applyFill="1" applyBorder="1" applyAlignment="1" applyProtection="1">
      <protection locked="0"/>
    </xf>
    <xf numFmtId="0" fontId="6" fillId="2" borderId="46" xfId="0" applyNumberFormat="1" applyFont="1" applyFill="1" applyBorder="1" applyAlignment="1" applyProtection="1">
      <alignment horizontal="left"/>
      <protection locked="0"/>
    </xf>
    <xf numFmtId="0" fontId="7" fillId="2" borderId="47" xfId="0" applyNumberFormat="1" applyFont="1" applyFill="1" applyBorder="1" applyAlignment="1" applyProtection="1">
      <protection locked="0"/>
    </xf>
  </cellXfs>
  <cellStyles count="3">
    <cellStyle name="Monétaire" xfId="1" builtinId="4"/>
    <cellStyle name="Normal" xfId="0" builtinId="0"/>
    <cellStyle name="Pourcentage" xfId="2" builtinId="5"/>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BDD6EE"/>
      <rgbColor rgb="FFD8D8D8"/>
      <rgbColor rgb="FFFF0000"/>
      <rgbColor rgb="FFBFBFBF"/>
      <rgbColor rgb="FFF2F2F2"/>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a:ea typeface="Helvetica"/>
        <a:cs typeface="Helvetica"/>
      </a:majorFont>
      <a:minorFont>
        <a:latin typeface="Helvetica"/>
        <a:ea typeface="Helvetica"/>
        <a:cs typeface="Helvetica"/>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9"/>
  <sheetViews>
    <sheetView showGridLines="0" topLeftCell="A13" zoomScale="74" workbookViewId="0">
      <selection activeCell="A20" sqref="A20:M20"/>
    </sheetView>
  </sheetViews>
  <sheetFormatPr baseColWidth="10" defaultColWidth="11.83203125" defaultRowHeight="14" customHeight="1" x14ac:dyDescent="0.3"/>
  <cols>
    <col min="1" max="256" width="11.83203125" style="1" customWidth="1"/>
  </cols>
  <sheetData>
    <row r="1" spans="1:16" ht="14.5" customHeight="1" x14ac:dyDescent="0.3">
      <c r="A1" s="481" t="s">
        <v>0</v>
      </c>
      <c r="B1" s="482"/>
      <c r="C1" s="482"/>
      <c r="D1" s="482"/>
      <c r="E1" s="482"/>
      <c r="F1" s="482"/>
      <c r="G1" s="482"/>
      <c r="H1" s="482"/>
      <c r="I1" s="482"/>
      <c r="J1" s="482"/>
      <c r="K1" s="482"/>
      <c r="L1" s="482"/>
      <c r="M1" s="482"/>
      <c r="N1" s="482"/>
      <c r="O1" s="482"/>
      <c r="P1" s="3"/>
    </row>
    <row r="2" spans="1:16" ht="15.5" customHeight="1" x14ac:dyDescent="0.3">
      <c r="A2" s="482"/>
      <c r="B2" s="482"/>
      <c r="C2" s="482"/>
      <c r="D2" s="482"/>
      <c r="E2" s="482"/>
      <c r="F2" s="482"/>
      <c r="G2" s="482"/>
      <c r="H2" s="482"/>
      <c r="I2" s="482"/>
      <c r="J2" s="482"/>
      <c r="K2" s="482"/>
      <c r="L2" s="482"/>
      <c r="M2" s="482"/>
      <c r="N2" s="482"/>
      <c r="O2" s="482"/>
      <c r="P2" s="3"/>
    </row>
    <row r="3" spans="1:16" ht="30" customHeight="1" x14ac:dyDescent="0.3">
      <c r="A3" s="2"/>
      <c r="B3" s="2"/>
      <c r="C3" s="2"/>
      <c r="D3" s="2"/>
      <c r="E3" s="2"/>
      <c r="F3" s="2"/>
      <c r="G3" s="2"/>
      <c r="H3" s="2"/>
      <c r="I3" s="2"/>
      <c r="J3" s="2"/>
      <c r="K3" s="2"/>
      <c r="L3" s="2"/>
      <c r="M3" s="2"/>
      <c r="N3" s="2"/>
      <c r="O3" s="2"/>
      <c r="P3" s="3"/>
    </row>
    <row r="4" spans="1:16" ht="30" customHeight="1" x14ac:dyDescent="0.3">
      <c r="A4" s="481" t="s">
        <v>1</v>
      </c>
      <c r="B4" s="482"/>
      <c r="C4" s="482"/>
      <c r="D4" s="482"/>
      <c r="E4" s="482"/>
      <c r="F4" s="482"/>
      <c r="G4" s="482"/>
      <c r="H4" s="482"/>
      <c r="I4" s="482"/>
      <c r="J4" s="482"/>
      <c r="K4" s="482"/>
      <c r="L4" s="482"/>
      <c r="M4" s="482"/>
      <c r="N4" s="482"/>
      <c r="O4" s="482"/>
      <c r="P4" s="3"/>
    </row>
    <row r="5" spans="1:16" ht="14.5" customHeight="1" x14ac:dyDescent="0.3">
      <c r="A5" s="3"/>
      <c r="B5" s="3"/>
      <c r="C5" s="3"/>
      <c r="D5" s="3"/>
      <c r="E5" s="3"/>
      <c r="F5" s="3"/>
      <c r="G5" s="3"/>
      <c r="H5" s="3"/>
      <c r="I5" s="3"/>
      <c r="J5" s="3"/>
      <c r="K5" s="3"/>
      <c r="L5" s="3"/>
      <c r="M5" s="3"/>
      <c r="N5" s="3"/>
      <c r="O5" s="3"/>
      <c r="P5" s="3"/>
    </row>
    <row r="6" spans="1:16" ht="16" customHeight="1" x14ac:dyDescent="0.35">
      <c r="A6" s="4" t="s">
        <v>2</v>
      </c>
      <c r="B6" s="5"/>
      <c r="C6" s="5"/>
      <c r="D6" s="5"/>
      <c r="E6" s="5"/>
      <c r="F6" s="5"/>
      <c r="G6" s="5"/>
      <c r="H6" s="5"/>
      <c r="I6" s="5"/>
      <c r="J6" s="5"/>
      <c r="K6" s="3"/>
      <c r="L6" s="3"/>
      <c r="M6" s="3"/>
      <c r="N6" s="3"/>
      <c r="O6" s="3"/>
      <c r="P6" s="3"/>
    </row>
    <row r="7" spans="1:16" ht="16" customHeight="1" x14ac:dyDescent="0.35">
      <c r="A7" s="4" t="s">
        <v>3</v>
      </c>
      <c r="B7" s="5"/>
      <c r="C7" s="5"/>
      <c r="D7" s="5"/>
      <c r="E7" s="5"/>
      <c r="F7" s="5"/>
      <c r="G7" s="5"/>
      <c r="H7" s="5"/>
      <c r="I7" s="5"/>
      <c r="J7" s="5"/>
      <c r="K7" s="3"/>
      <c r="L7" s="3"/>
      <c r="M7" s="3"/>
      <c r="N7" s="3"/>
      <c r="O7" s="3"/>
      <c r="P7" s="3"/>
    </row>
    <row r="8" spans="1:16" ht="16" customHeight="1" x14ac:dyDescent="0.35">
      <c r="A8" s="4" t="s">
        <v>4</v>
      </c>
      <c r="B8" s="5"/>
      <c r="C8" s="5"/>
      <c r="D8" s="5"/>
      <c r="E8" s="5"/>
      <c r="F8" s="5"/>
      <c r="G8" s="5"/>
      <c r="H8" s="5"/>
      <c r="I8" s="5"/>
      <c r="J8" s="5"/>
      <c r="K8" s="3"/>
      <c r="L8" s="3"/>
      <c r="M8" s="3"/>
      <c r="N8" s="3"/>
      <c r="O8" s="3"/>
      <c r="P8" s="3"/>
    </row>
    <row r="9" spans="1:16" ht="16" customHeight="1" x14ac:dyDescent="0.35">
      <c r="A9" s="479" t="s">
        <v>5</v>
      </c>
      <c r="B9" s="477" t="s">
        <v>6</v>
      </c>
      <c r="C9" s="478"/>
      <c r="D9" s="478"/>
      <c r="E9" s="478"/>
      <c r="F9" s="478"/>
      <c r="G9" s="478"/>
      <c r="H9" s="468"/>
      <c r="I9" s="468"/>
      <c r="J9" s="468"/>
      <c r="K9" s="468"/>
      <c r="L9" s="468"/>
      <c r="M9" s="468"/>
      <c r="N9" s="3"/>
      <c r="O9" s="3"/>
      <c r="P9" s="3"/>
    </row>
    <row r="10" spans="1:16" ht="14.5" customHeight="1" x14ac:dyDescent="0.3">
      <c r="A10" s="480"/>
      <c r="B10" s="475" t="s">
        <v>7</v>
      </c>
      <c r="C10" s="476"/>
      <c r="D10" s="476"/>
      <c r="E10" s="476"/>
      <c r="F10" s="476"/>
      <c r="G10" s="476"/>
      <c r="H10" s="485" t="s">
        <v>8</v>
      </c>
      <c r="I10" s="486"/>
      <c r="J10" s="486"/>
      <c r="K10" s="486"/>
      <c r="L10" s="486"/>
      <c r="M10" s="486"/>
      <c r="N10" s="3"/>
      <c r="O10" s="3"/>
      <c r="P10" s="3"/>
    </row>
    <row r="11" spans="1:16" ht="14.5" customHeight="1" x14ac:dyDescent="0.3">
      <c r="A11" s="480"/>
      <c r="B11" s="476"/>
      <c r="C11" s="476"/>
      <c r="D11" s="476"/>
      <c r="E11" s="476"/>
      <c r="F11" s="476"/>
      <c r="G11" s="476"/>
      <c r="H11" s="487"/>
      <c r="I11" s="486"/>
      <c r="J11" s="486"/>
      <c r="K11" s="486"/>
      <c r="L11" s="486"/>
      <c r="M11" s="486"/>
      <c r="N11" s="3"/>
      <c r="O11" s="3"/>
      <c r="P11" s="3"/>
    </row>
    <row r="12" spans="1:16" ht="8.5" customHeight="1" x14ac:dyDescent="0.3">
      <c r="A12" s="488" t="s">
        <v>9</v>
      </c>
      <c r="B12" s="489"/>
      <c r="C12" s="489"/>
      <c r="D12" s="489"/>
      <c r="E12" s="489"/>
      <c r="F12" s="489"/>
      <c r="G12" s="489"/>
      <c r="H12" s="490"/>
      <c r="I12" s="490"/>
      <c r="J12" s="490"/>
      <c r="K12" s="490"/>
      <c r="L12" s="490"/>
      <c r="M12" s="490"/>
      <c r="N12" s="490"/>
      <c r="O12" s="490"/>
      <c r="P12" s="490"/>
    </row>
    <row r="13" spans="1:16" ht="71.25" customHeight="1" x14ac:dyDescent="0.3">
      <c r="A13" s="490"/>
      <c r="B13" s="490"/>
      <c r="C13" s="490"/>
      <c r="D13" s="490"/>
      <c r="E13" s="490"/>
      <c r="F13" s="490"/>
      <c r="G13" s="490"/>
      <c r="H13" s="490"/>
      <c r="I13" s="490"/>
      <c r="J13" s="490"/>
      <c r="K13" s="490"/>
      <c r="L13" s="490"/>
      <c r="M13" s="490"/>
      <c r="N13" s="490"/>
      <c r="O13" s="490"/>
      <c r="P13" s="490"/>
    </row>
    <row r="14" spans="1:16" ht="14.5" customHeight="1" x14ac:dyDescent="0.3">
      <c r="A14" s="3"/>
      <c r="B14" s="3"/>
      <c r="C14" s="3"/>
      <c r="D14" s="3"/>
      <c r="E14" s="3"/>
      <c r="F14" s="3"/>
      <c r="G14" s="3"/>
      <c r="H14" s="3"/>
      <c r="I14" s="3"/>
      <c r="J14" s="3"/>
      <c r="K14" s="3"/>
      <c r="L14" s="3"/>
      <c r="M14" s="3"/>
      <c r="N14" s="3"/>
      <c r="O14" s="3"/>
      <c r="P14" s="3"/>
    </row>
    <row r="15" spans="1:16" ht="16" customHeight="1" x14ac:dyDescent="0.35">
      <c r="A15" s="473" t="s">
        <v>10</v>
      </c>
      <c r="B15" s="474"/>
      <c r="C15" s="474"/>
      <c r="D15" s="5"/>
      <c r="E15" s="5"/>
      <c r="F15" s="5"/>
      <c r="G15" s="5"/>
      <c r="H15" s="5"/>
      <c r="I15" s="5"/>
      <c r="J15" s="5"/>
      <c r="K15" s="5"/>
      <c r="L15" s="3"/>
      <c r="M15" s="3"/>
      <c r="N15" s="3"/>
      <c r="O15" s="3"/>
      <c r="P15" s="3"/>
    </row>
    <row r="16" spans="1:16" ht="16" customHeight="1" x14ac:dyDescent="0.35">
      <c r="A16" s="467" t="s">
        <v>11</v>
      </c>
      <c r="B16" s="468"/>
      <c r="C16" s="468"/>
      <c r="D16" s="468"/>
      <c r="E16" s="468"/>
      <c r="F16" s="478"/>
      <c r="G16" s="468"/>
      <c r="H16" s="468"/>
      <c r="I16" s="468"/>
      <c r="J16" s="468"/>
      <c r="K16" s="468"/>
      <c r="L16" s="468"/>
      <c r="M16" s="468"/>
      <c r="N16" s="3"/>
      <c r="O16" s="3"/>
      <c r="P16" s="3"/>
    </row>
    <row r="17" spans="1:16" ht="16" customHeight="1" x14ac:dyDescent="0.35">
      <c r="A17" s="467" t="s">
        <v>12</v>
      </c>
      <c r="B17" s="468"/>
      <c r="C17" s="468"/>
      <c r="D17" s="468"/>
      <c r="E17" s="484"/>
      <c r="F17" s="7"/>
      <c r="G17" s="8"/>
      <c r="H17" s="5"/>
      <c r="I17" s="5"/>
      <c r="J17" s="5"/>
      <c r="K17" s="5"/>
      <c r="L17" s="3"/>
      <c r="M17" s="3"/>
      <c r="N17" s="3"/>
      <c r="O17" s="3"/>
      <c r="P17" s="3"/>
    </row>
    <row r="18" spans="1:16" ht="16" customHeight="1" x14ac:dyDescent="0.35">
      <c r="A18" s="467" t="s">
        <v>13</v>
      </c>
      <c r="B18" s="468"/>
      <c r="C18" s="468"/>
      <c r="D18" s="468"/>
      <c r="E18" s="468"/>
      <c r="F18" s="483"/>
      <c r="G18" s="468"/>
      <c r="H18" s="468"/>
      <c r="I18" s="468"/>
      <c r="J18" s="468"/>
      <c r="K18" s="468"/>
      <c r="L18" s="468"/>
      <c r="M18" s="468"/>
      <c r="N18" s="3"/>
      <c r="O18" s="3"/>
      <c r="P18" s="3"/>
    </row>
    <row r="19" spans="1:16" ht="16" customHeight="1" x14ac:dyDescent="0.35">
      <c r="A19" s="467" t="s">
        <v>14</v>
      </c>
      <c r="B19" s="468"/>
      <c r="C19" s="468"/>
      <c r="D19" s="468"/>
      <c r="E19" s="468"/>
      <c r="F19" s="468"/>
      <c r="G19" s="468"/>
      <c r="H19" s="468"/>
      <c r="I19" s="468"/>
      <c r="J19" s="468"/>
      <c r="K19" s="468"/>
      <c r="L19" s="468"/>
      <c r="M19" s="468"/>
      <c r="N19" s="3"/>
      <c r="O19" s="3"/>
      <c r="P19" s="3"/>
    </row>
    <row r="20" spans="1:16" ht="16" customHeight="1" x14ac:dyDescent="0.35">
      <c r="A20" s="467" t="s">
        <v>15</v>
      </c>
      <c r="B20" s="468"/>
      <c r="C20" s="468"/>
      <c r="D20" s="468"/>
      <c r="E20" s="468"/>
      <c r="F20" s="468"/>
      <c r="G20" s="468"/>
      <c r="H20" s="468"/>
      <c r="I20" s="468"/>
      <c r="J20" s="468"/>
      <c r="K20" s="468"/>
      <c r="L20" s="468"/>
      <c r="M20" s="468"/>
      <c r="N20" s="3"/>
      <c r="O20" s="3"/>
      <c r="P20" s="3"/>
    </row>
    <row r="21" spans="1:16" ht="16" customHeight="1" x14ac:dyDescent="0.35">
      <c r="A21" s="467" t="s">
        <v>16</v>
      </c>
      <c r="B21" s="468"/>
      <c r="C21" s="468"/>
      <c r="D21" s="468"/>
      <c r="E21" s="468"/>
      <c r="F21" s="468"/>
      <c r="G21" s="468"/>
      <c r="H21" s="468"/>
      <c r="I21" s="468"/>
      <c r="J21" s="468"/>
      <c r="K21" s="468"/>
      <c r="L21" s="468"/>
      <c r="M21" s="468"/>
      <c r="N21" s="3"/>
      <c r="O21" s="3"/>
      <c r="P21" s="3"/>
    </row>
    <row r="22" spans="1:16" ht="16" customHeight="1" x14ac:dyDescent="0.35">
      <c r="A22" s="467" t="s">
        <v>17</v>
      </c>
      <c r="B22" s="468"/>
      <c r="C22" s="468"/>
      <c r="D22" s="468"/>
      <c r="E22" s="468"/>
      <c r="F22" s="468"/>
      <c r="G22" s="468"/>
      <c r="H22" s="468"/>
      <c r="I22" s="468"/>
      <c r="J22" s="468"/>
      <c r="K22" s="468"/>
      <c r="L22" s="468"/>
      <c r="M22" s="468"/>
      <c r="N22" s="3"/>
      <c r="O22" s="3"/>
      <c r="P22" s="3"/>
    </row>
    <row r="23" spans="1:16" ht="16" customHeight="1" x14ac:dyDescent="0.35">
      <c r="A23" s="467" t="s">
        <v>18</v>
      </c>
      <c r="B23" s="468"/>
      <c r="C23" s="468"/>
      <c r="D23" s="468"/>
      <c r="E23" s="468"/>
      <c r="F23" s="468"/>
      <c r="G23" s="468"/>
      <c r="H23" s="468"/>
      <c r="I23" s="468"/>
      <c r="J23" s="468"/>
      <c r="K23" s="468"/>
      <c r="L23" s="468"/>
      <c r="M23" s="468"/>
      <c r="N23" s="3"/>
      <c r="O23" s="3"/>
      <c r="P23" s="3"/>
    </row>
    <row r="24" spans="1:16" ht="16" customHeight="1" x14ac:dyDescent="0.35">
      <c r="A24" s="6"/>
      <c r="B24" s="6"/>
      <c r="C24" s="6"/>
      <c r="D24" s="6"/>
      <c r="E24" s="6"/>
      <c r="F24" s="6"/>
      <c r="G24" s="6"/>
      <c r="H24" s="6"/>
      <c r="I24" s="6"/>
      <c r="J24" s="6"/>
      <c r="K24" s="6"/>
      <c r="L24" s="6"/>
      <c r="M24" s="6"/>
      <c r="N24" s="3"/>
      <c r="O24" s="3"/>
      <c r="P24" s="3"/>
    </row>
    <row r="25" spans="1:16" ht="16" customHeight="1" x14ac:dyDescent="0.35">
      <c r="A25" s="473" t="s">
        <v>19</v>
      </c>
      <c r="B25" s="474"/>
      <c r="C25" s="474"/>
      <c r="D25" s="474"/>
      <c r="E25" s="474"/>
      <c r="F25" s="474"/>
      <c r="G25" s="474"/>
      <c r="H25" s="474"/>
      <c r="I25" s="474"/>
      <c r="J25" s="474"/>
      <c r="K25" s="474"/>
      <c r="L25" s="474"/>
      <c r="M25" s="474"/>
      <c r="N25" s="3"/>
      <c r="O25" s="3"/>
      <c r="P25" s="3"/>
    </row>
    <row r="26" spans="1:16" ht="16" customHeight="1" x14ac:dyDescent="0.35">
      <c r="A26" s="9"/>
      <c r="B26" s="9"/>
      <c r="C26" s="9"/>
      <c r="D26" s="9"/>
      <c r="E26" s="9"/>
      <c r="F26" s="9"/>
      <c r="G26" s="5"/>
      <c r="H26" s="5"/>
      <c r="I26" s="5"/>
      <c r="J26" s="5"/>
      <c r="K26" s="5"/>
      <c r="L26" s="3"/>
      <c r="M26" s="3"/>
      <c r="N26" s="3"/>
      <c r="O26" s="3"/>
      <c r="P26" s="3"/>
    </row>
    <row r="27" spans="1:16" ht="16" customHeight="1" x14ac:dyDescent="0.35">
      <c r="A27" s="471" t="s">
        <v>20</v>
      </c>
      <c r="B27" s="472"/>
      <c r="C27" s="472"/>
      <c r="D27" s="472"/>
      <c r="E27" s="472"/>
      <c r="F27" s="472"/>
      <c r="G27" s="8"/>
      <c r="H27" s="5"/>
      <c r="I27" s="5"/>
      <c r="J27" s="5"/>
      <c r="K27" s="5"/>
      <c r="L27" s="3"/>
      <c r="M27" s="3"/>
      <c r="N27" s="3"/>
      <c r="O27" s="3"/>
      <c r="P27" s="3"/>
    </row>
    <row r="28" spans="1:16" ht="16" customHeight="1" x14ac:dyDescent="0.35">
      <c r="A28" s="10"/>
      <c r="B28" s="10"/>
      <c r="C28" s="10"/>
      <c r="D28" s="10"/>
      <c r="E28" s="10"/>
      <c r="F28" s="10"/>
      <c r="G28" s="5"/>
      <c r="H28" s="5"/>
      <c r="I28" s="5"/>
      <c r="J28" s="5"/>
      <c r="K28" s="5"/>
      <c r="L28" s="3"/>
      <c r="M28" s="3"/>
      <c r="N28" s="3"/>
      <c r="O28" s="3"/>
      <c r="P28" s="3"/>
    </row>
    <row r="29" spans="1:16" ht="16" customHeight="1" x14ac:dyDescent="0.35">
      <c r="A29" s="469" t="s">
        <v>21</v>
      </c>
      <c r="B29" s="470"/>
      <c r="C29" s="470"/>
      <c r="D29" s="5"/>
      <c r="E29" s="5"/>
      <c r="F29" s="5"/>
      <c r="G29" s="5"/>
      <c r="H29" s="5"/>
      <c r="I29" s="5"/>
      <c r="J29" s="5"/>
      <c r="K29" s="5"/>
      <c r="L29" s="3"/>
      <c r="M29" s="3"/>
      <c r="N29" s="3"/>
      <c r="O29" s="3"/>
      <c r="P29" s="3"/>
    </row>
  </sheetData>
  <mergeCells count="19">
    <mergeCell ref="B10:G11"/>
    <mergeCell ref="B9:M9"/>
    <mergeCell ref="A9:A11"/>
    <mergeCell ref="A1:O2"/>
    <mergeCell ref="A18:M18"/>
    <mergeCell ref="A17:E17"/>
    <mergeCell ref="H10:M11"/>
    <mergeCell ref="A15:C15"/>
    <mergeCell ref="A12:P13"/>
    <mergeCell ref="A16:M16"/>
    <mergeCell ref="A4:O4"/>
    <mergeCell ref="A23:M23"/>
    <mergeCell ref="A22:M22"/>
    <mergeCell ref="A21:M21"/>
    <mergeCell ref="A19:M19"/>
    <mergeCell ref="A29:C29"/>
    <mergeCell ref="A27:F27"/>
    <mergeCell ref="A20:M20"/>
    <mergeCell ref="A25:M25"/>
  </mergeCells>
  <pageMargins left="0.7" right="0.7" top="0.75" bottom="0.75" header="0.3" footer="0.3"/>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94"/>
  <sheetViews>
    <sheetView showGridLines="0" tabSelected="1" topLeftCell="G47" zoomScale="79" workbookViewId="0">
      <selection activeCell="N73" sqref="N73"/>
    </sheetView>
  </sheetViews>
  <sheetFormatPr baseColWidth="10" defaultColWidth="10.83203125" defaultRowHeight="16" customHeight="1" x14ac:dyDescent="0.3"/>
  <cols>
    <col min="1" max="2" width="10.83203125" style="11" customWidth="1"/>
    <col min="3" max="3" width="11" style="11" customWidth="1"/>
    <col min="4" max="4" width="12.33203125" style="11" customWidth="1"/>
    <col min="5" max="5" width="11" style="11" customWidth="1"/>
    <col min="6" max="6" width="11.83203125" style="11" customWidth="1"/>
    <col min="7" max="7" width="10.83203125" style="11" customWidth="1"/>
    <col min="8" max="8" width="20.83203125" style="11" customWidth="1"/>
    <col min="9" max="10" width="10.83203125" style="11" customWidth="1"/>
    <col min="11" max="11" width="17.6640625" style="11" customWidth="1"/>
    <col min="12" max="12" width="13.5" style="11" customWidth="1"/>
    <col min="13" max="13" width="21" style="11" customWidth="1"/>
    <col min="14" max="14" width="13" style="11" customWidth="1"/>
    <col min="15" max="15" width="11" style="11" customWidth="1"/>
    <col min="16" max="16" width="15" style="11" customWidth="1"/>
    <col min="17" max="17" width="12" style="11" customWidth="1"/>
    <col min="18" max="18" width="15.33203125" style="11" customWidth="1"/>
    <col min="19" max="19" width="13" style="11" customWidth="1"/>
    <col min="20" max="20" width="10.83203125" style="11" customWidth="1"/>
    <col min="21" max="21" width="12" style="11" customWidth="1"/>
    <col min="22" max="22" width="12.33203125" style="11" customWidth="1"/>
    <col min="23" max="23" width="11" style="11" customWidth="1"/>
    <col min="24" max="256" width="10.83203125" style="11" customWidth="1"/>
  </cols>
  <sheetData>
    <row r="1" spans="1:24" ht="17" customHeight="1" x14ac:dyDescent="0.35">
      <c r="A1" s="12"/>
      <c r="B1" s="13" t="s">
        <v>22</v>
      </c>
      <c r="C1" s="443" t="s">
        <v>146</v>
      </c>
      <c r="D1" s="13" t="s">
        <v>23</v>
      </c>
      <c r="E1" s="532" t="s">
        <v>147</v>
      </c>
      <c r="F1" s="533"/>
      <c r="G1" s="13" t="s">
        <v>24</v>
      </c>
      <c r="H1" s="442">
        <v>1949062</v>
      </c>
      <c r="I1" s="14" t="s">
        <v>25</v>
      </c>
      <c r="J1" s="441">
        <v>3</v>
      </c>
      <c r="K1" s="15"/>
      <c r="L1" s="16"/>
      <c r="M1" s="16"/>
      <c r="N1" s="16"/>
      <c r="O1" s="16"/>
      <c r="P1" s="16"/>
      <c r="Q1" s="16"/>
      <c r="R1" s="16"/>
      <c r="S1" s="16"/>
      <c r="T1" s="16"/>
      <c r="U1" s="16"/>
      <c r="V1" s="16"/>
      <c r="W1" s="16"/>
      <c r="X1" s="16"/>
    </row>
    <row r="2" spans="1:24" ht="17" customHeight="1" x14ac:dyDescent="0.35">
      <c r="A2" s="16"/>
      <c r="B2" s="540" t="s">
        <v>26</v>
      </c>
      <c r="C2" s="541"/>
      <c r="D2" s="541"/>
      <c r="E2" s="541"/>
      <c r="F2" s="541"/>
      <c r="G2" s="540" t="s">
        <v>27</v>
      </c>
      <c r="H2" s="541"/>
      <c r="I2" s="17"/>
      <c r="J2" s="18"/>
      <c r="K2" s="19" t="s">
        <v>28</v>
      </c>
      <c r="L2" s="16"/>
      <c r="M2" s="16"/>
      <c r="N2" s="16"/>
      <c r="O2" s="16"/>
      <c r="P2" s="16"/>
      <c r="Q2" s="16"/>
      <c r="R2" s="16"/>
      <c r="S2" s="16"/>
      <c r="T2" s="16"/>
      <c r="U2" s="16"/>
      <c r="V2" s="16"/>
      <c r="W2" s="16"/>
      <c r="X2" s="16"/>
    </row>
    <row r="3" spans="1:24" ht="16" customHeight="1" x14ac:dyDescent="0.3">
      <c r="A3" s="16"/>
      <c r="B3" s="504" t="s">
        <v>29</v>
      </c>
      <c r="C3" s="505"/>
      <c r="D3" s="505"/>
      <c r="E3" s="505"/>
      <c r="F3" s="505"/>
      <c r="G3" s="505"/>
      <c r="H3" s="505"/>
      <c r="I3" s="16"/>
      <c r="J3" s="16"/>
      <c r="K3" s="16"/>
      <c r="L3" s="16"/>
      <c r="M3" s="16"/>
      <c r="N3" s="16"/>
      <c r="O3" s="16"/>
      <c r="P3" s="16"/>
      <c r="Q3" s="16"/>
      <c r="R3" s="16"/>
      <c r="S3" s="16"/>
      <c r="T3" s="16"/>
      <c r="U3" s="16"/>
      <c r="V3" s="16"/>
      <c r="W3" s="16"/>
      <c r="X3" s="16"/>
    </row>
    <row r="4" spans="1:24" ht="14" customHeight="1" x14ac:dyDescent="0.35">
      <c r="A4" s="16"/>
      <c r="B4" s="505"/>
      <c r="C4" s="505"/>
      <c r="D4" s="505"/>
      <c r="E4" s="505"/>
      <c r="F4" s="505"/>
      <c r="G4" s="505"/>
      <c r="H4" s="505"/>
      <c r="I4" s="16"/>
      <c r="J4" s="16"/>
      <c r="K4" s="20" t="s">
        <v>30</v>
      </c>
      <c r="L4" s="21"/>
      <c r="M4" s="21"/>
      <c r="N4" s="21"/>
      <c r="O4" s="21"/>
      <c r="P4" s="21"/>
      <c r="Q4" s="21"/>
      <c r="R4" s="22"/>
      <c r="S4" s="16"/>
      <c r="T4" s="16"/>
      <c r="U4" s="16"/>
      <c r="V4" s="16"/>
      <c r="W4" s="16"/>
      <c r="X4" s="16"/>
    </row>
    <row r="5" spans="1:24" ht="14" customHeight="1" x14ac:dyDescent="0.35">
      <c r="A5" s="16"/>
      <c r="B5" s="505"/>
      <c r="C5" s="505"/>
      <c r="D5" s="505"/>
      <c r="E5" s="505"/>
      <c r="F5" s="505"/>
      <c r="G5" s="505"/>
      <c r="H5" s="505"/>
      <c r="I5" s="16"/>
      <c r="J5" s="23"/>
      <c r="K5" s="444" t="s">
        <v>148</v>
      </c>
      <c r="L5" s="329"/>
      <c r="M5" s="329"/>
      <c r="N5" s="329"/>
      <c r="O5" s="329"/>
      <c r="P5" s="329"/>
      <c r="Q5" s="330"/>
      <c r="R5" s="24"/>
      <c r="S5" s="16"/>
      <c r="T5" s="16"/>
      <c r="U5" s="16"/>
      <c r="V5" s="16"/>
      <c r="W5" s="16"/>
      <c r="X5" s="16"/>
    </row>
    <row r="6" spans="1:24" ht="14" customHeight="1" x14ac:dyDescent="0.35">
      <c r="A6" s="16"/>
      <c r="B6" s="505"/>
      <c r="C6" s="505"/>
      <c r="D6" s="505"/>
      <c r="E6" s="505"/>
      <c r="F6" s="505"/>
      <c r="G6" s="505"/>
      <c r="H6" s="505"/>
      <c r="I6" s="16"/>
      <c r="J6" s="23"/>
      <c r="K6" s="331" t="s">
        <v>97</v>
      </c>
      <c r="L6" s="456">
        <v>327000</v>
      </c>
      <c r="M6" s="332"/>
      <c r="N6" s="332"/>
      <c r="O6" s="332"/>
      <c r="P6" s="332"/>
      <c r="Q6" s="333"/>
      <c r="R6" s="24"/>
      <c r="S6" s="16"/>
      <c r="T6" s="16"/>
      <c r="U6" s="16"/>
      <c r="V6" s="16"/>
      <c r="W6" s="16"/>
      <c r="X6" s="16"/>
    </row>
    <row r="7" spans="1:24" ht="14" customHeight="1" x14ac:dyDescent="0.35">
      <c r="A7" s="16"/>
      <c r="B7" s="505"/>
      <c r="C7" s="505"/>
      <c r="D7" s="505"/>
      <c r="E7" s="505"/>
      <c r="F7" s="505"/>
      <c r="G7" s="505"/>
      <c r="H7" s="505"/>
      <c r="I7" s="16"/>
      <c r="J7" s="23"/>
      <c r="K7" s="331" t="s">
        <v>149</v>
      </c>
      <c r="L7" s="456">
        <f>954000</f>
        <v>954000</v>
      </c>
      <c r="M7" s="332"/>
      <c r="N7" s="332"/>
      <c r="O7" s="332"/>
      <c r="P7" s="332"/>
      <c r="Q7" s="333"/>
      <c r="R7" s="24"/>
      <c r="S7" s="16"/>
      <c r="T7" s="16"/>
      <c r="U7" s="16"/>
      <c r="V7" s="16"/>
      <c r="W7" s="16"/>
      <c r="X7" s="16"/>
    </row>
    <row r="8" spans="1:24" ht="14" customHeight="1" x14ac:dyDescent="0.35">
      <c r="A8" s="16"/>
      <c r="B8" s="505"/>
      <c r="C8" s="505"/>
      <c r="D8" s="505"/>
      <c r="E8" s="505"/>
      <c r="F8" s="505"/>
      <c r="G8" s="505"/>
      <c r="H8" s="505"/>
      <c r="I8" s="16"/>
      <c r="J8" s="23"/>
      <c r="K8" s="331" t="s">
        <v>172</v>
      </c>
      <c r="L8" s="456">
        <v>546000</v>
      </c>
      <c r="M8" s="332"/>
      <c r="N8" s="332" t="s">
        <v>150</v>
      </c>
      <c r="O8" s="334">
        <f>L8/($L$8+$L$9)</f>
        <v>0.65</v>
      </c>
      <c r="P8" s="332"/>
      <c r="Q8" s="333"/>
      <c r="R8" s="24"/>
      <c r="S8" s="16"/>
      <c r="T8" s="16"/>
      <c r="U8" s="16"/>
      <c r="V8" s="16"/>
      <c r="W8" s="16"/>
      <c r="X8" s="16"/>
    </row>
    <row r="9" spans="1:24" ht="17" customHeight="1" x14ac:dyDescent="0.35">
      <c r="A9" s="16"/>
      <c r="B9" s="505"/>
      <c r="C9" s="505"/>
      <c r="D9" s="505"/>
      <c r="E9" s="505"/>
      <c r="F9" s="505"/>
      <c r="G9" s="505"/>
      <c r="H9" s="505"/>
      <c r="I9" s="16"/>
      <c r="J9" s="23"/>
      <c r="K9" s="445" t="s">
        <v>173</v>
      </c>
      <c r="L9" s="456">
        <v>294000</v>
      </c>
      <c r="M9" s="332"/>
      <c r="N9" s="332" t="s">
        <v>151</v>
      </c>
      <c r="O9" s="334">
        <f>L9/($L$8+$L$9)</f>
        <v>0.35</v>
      </c>
      <c r="P9" s="332"/>
      <c r="Q9" s="333"/>
      <c r="R9" s="24"/>
      <c r="S9" s="16"/>
      <c r="T9" s="16"/>
      <c r="U9" s="16"/>
      <c r="V9" s="16"/>
      <c r="W9" s="16"/>
      <c r="X9" s="16"/>
    </row>
    <row r="10" spans="1:24" ht="17" customHeight="1" x14ac:dyDescent="0.35">
      <c r="A10" s="16"/>
      <c r="B10" s="505"/>
      <c r="C10" s="505"/>
      <c r="D10" s="505"/>
      <c r="E10" s="505"/>
      <c r="F10" s="505"/>
      <c r="G10" s="505"/>
      <c r="H10" s="505"/>
      <c r="I10" s="16"/>
      <c r="J10" s="23"/>
      <c r="K10" s="331" t="s">
        <v>152</v>
      </c>
      <c r="L10" s="456">
        <f>4750</f>
        <v>4750</v>
      </c>
      <c r="M10" s="332"/>
      <c r="N10" s="332"/>
      <c r="O10" s="332"/>
      <c r="P10" s="332"/>
      <c r="Q10" s="333"/>
      <c r="R10" s="24"/>
      <c r="S10" s="16"/>
      <c r="T10" s="16"/>
      <c r="U10" s="16"/>
      <c r="V10" s="16"/>
      <c r="W10" s="16"/>
      <c r="X10" s="16"/>
    </row>
    <row r="11" spans="1:24" ht="16" customHeight="1" x14ac:dyDescent="0.35">
      <c r="A11" s="16"/>
      <c r="B11" s="504" t="s">
        <v>31</v>
      </c>
      <c r="C11" s="505"/>
      <c r="D11" s="505"/>
      <c r="E11" s="505"/>
      <c r="F11" s="505"/>
      <c r="G11" s="505"/>
      <c r="H11" s="505"/>
      <c r="I11" s="16"/>
      <c r="J11" s="23"/>
      <c r="K11" s="331" t="s">
        <v>153</v>
      </c>
      <c r="L11" s="456">
        <v>21450</v>
      </c>
      <c r="M11" s="332"/>
      <c r="N11" s="332"/>
      <c r="O11" s="332"/>
      <c r="P11" s="332"/>
      <c r="Q11" s="333"/>
      <c r="R11" s="24"/>
      <c r="S11" s="16"/>
      <c r="T11" s="16"/>
      <c r="U11" s="16"/>
      <c r="V11" s="16"/>
      <c r="W11" s="16"/>
      <c r="X11" s="16"/>
    </row>
    <row r="12" spans="1:24" ht="17" customHeight="1" x14ac:dyDescent="0.35">
      <c r="A12" s="16"/>
      <c r="B12" s="505"/>
      <c r="C12" s="505"/>
      <c r="D12" s="505"/>
      <c r="E12" s="505"/>
      <c r="F12" s="505"/>
      <c r="G12" s="505"/>
      <c r="H12" s="505"/>
      <c r="I12" s="16"/>
      <c r="J12" s="23"/>
      <c r="K12" s="331"/>
      <c r="L12" s="332"/>
      <c r="M12" s="332"/>
      <c r="N12" s="332"/>
      <c r="O12" s="461" t="s">
        <v>175</v>
      </c>
      <c r="P12" s="462"/>
      <c r="Q12" s="463"/>
      <c r="R12" s="464"/>
      <c r="S12" s="465"/>
      <c r="T12" s="465"/>
      <c r="U12" s="465"/>
      <c r="V12" s="16"/>
      <c r="W12" s="16"/>
      <c r="X12" s="16"/>
    </row>
    <row r="13" spans="1:24" ht="17" customHeight="1" x14ac:dyDescent="0.35">
      <c r="A13" s="16"/>
      <c r="B13" s="505"/>
      <c r="C13" s="505"/>
      <c r="D13" s="505"/>
      <c r="E13" s="505"/>
      <c r="F13" s="505"/>
      <c r="G13" s="505"/>
      <c r="H13" s="505"/>
      <c r="I13" s="16"/>
      <c r="J13" s="23"/>
      <c r="K13" s="446" t="s">
        <v>34</v>
      </c>
      <c r="L13" s="332"/>
      <c r="M13" s="332"/>
      <c r="N13" s="332"/>
      <c r="O13" s="332"/>
      <c r="P13" s="332"/>
      <c r="Q13" s="333"/>
      <c r="R13" s="24"/>
      <c r="S13" s="16"/>
      <c r="T13" s="16"/>
      <c r="U13" s="16"/>
      <c r="V13" s="16"/>
      <c r="W13" s="16"/>
      <c r="X13" s="16"/>
    </row>
    <row r="14" spans="1:24" ht="17" customHeight="1" x14ac:dyDescent="0.35">
      <c r="A14" s="16"/>
      <c r="B14" s="505"/>
      <c r="C14" s="505"/>
      <c r="D14" s="505"/>
      <c r="E14" s="505"/>
      <c r="F14" s="505"/>
      <c r="G14" s="505"/>
      <c r="H14" s="505"/>
      <c r="I14" s="16"/>
      <c r="J14" s="23"/>
      <c r="K14" s="331" t="s">
        <v>37</v>
      </c>
      <c r="L14" s="456">
        <v>120000</v>
      </c>
      <c r="M14" s="332"/>
      <c r="N14" s="332"/>
      <c r="O14" s="332"/>
      <c r="P14" s="332"/>
      <c r="Q14" s="333"/>
      <c r="R14" s="24"/>
      <c r="S14" s="16"/>
      <c r="T14" s="16"/>
      <c r="U14" s="16"/>
      <c r="V14" s="16"/>
      <c r="W14" s="16"/>
      <c r="X14" s="16"/>
    </row>
    <row r="15" spans="1:24" ht="17" customHeight="1" x14ac:dyDescent="0.35">
      <c r="A15" s="16"/>
      <c r="B15" s="505"/>
      <c r="C15" s="505"/>
      <c r="D15" s="505"/>
      <c r="E15" s="505"/>
      <c r="F15" s="505"/>
      <c r="G15" s="505"/>
      <c r="H15" s="505"/>
      <c r="I15" s="16"/>
      <c r="J15" s="23"/>
      <c r="K15" s="331" t="s">
        <v>164</v>
      </c>
      <c r="L15" s="457">
        <f>3%</f>
        <v>0.03</v>
      </c>
      <c r="M15" s="332"/>
      <c r="N15" s="332"/>
      <c r="O15" s="332"/>
      <c r="P15" s="332"/>
      <c r="Q15" s="333"/>
      <c r="R15" s="24"/>
      <c r="S15" s="16"/>
      <c r="T15" s="16"/>
      <c r="U15" s="16"/>
      <c r="V15" s="16"/>
      <c r="W15" s="16"/>
      <c r="X15" s="16"/>
    </row>
    <row r="16" spans="1:24" ht="17" customHeight="1" x14ac:dyDescent="0.35">
      <c r="A16" s="16"/>
      <c r="B16" s="505"/>
      <c r="C16" s="505"/>
      <c r="D16" s="505"/>
      <c r="E16" s="505"/>
      <c r="F16" s="505"/>
      <c r="G16" s="505"/>
      <c r="H16" s="505"/>
      <c r="I16" s="16"/>
      <c r="J16" s="23"/>
      <c r="K16" s="331" t="s">
        <v>154</v>
      </c>
      <c r="L16" s="332"/>
      <c r="M16" s="456">
        <f>(L19-35000)/25</f>
        <v>11680</v>
      </c>
      <c r="N16" s="332" t="s">
        <v>174</v>
      </c>
      <c r="O16" s="332"/>
      <c r="P16" s="332"/>
      <c r="Q16" s="333"/>
      <c r="R16" s="24"/>
      <c r="S16" s="16"/>
      <c r="T16" s="16"/>
      <c r="U16" s="16"/>
      <c r="V16" s="16"/>
      <c r="W16" s="16"/>
      <c r="X16" s="16"/>
    </row>
    <row r="17" spans="1:24" ht="16" customHeight="1" x14ac:dyDescent="0.35">
      <c r="A17" s="16"/>
      <c r="B17" s="504" t="s">
        <v>32</v>
      </c>
      <c r="C17" s="505"/>
      <c r="D17" s="505"/>
      <c r="E17" s="505"/>
      <c r="F17" s="505"/>
      <c r="G17" s="505"/>
      <c r="H17" s="505"/>
      <c r="I17" s="16"/>
      <c r="J17" s="23"/>
      <c r="K17" s="331"/>
      <c r="L17" s="335"/>
      <c r="M17" s="335"/>
      <c r="N17" s="332"/>
      <c r="O17" s="332"/>
      <c r="P17" s="332"/>
      <c r="Q17" s="333"/>
      <c r="R17" s="24"/>
      <c r="S17" s="16"/>
      <c r="T17" s="16"/>
      <c r="U17" s="16"/>
      <c r="V17" s="16"/>
      <c r="W17" s="16"/>
      <c r="X17" s="16"/>
    </row>
    <row r="18" spans="1:24" ht="16" customHeight="1" x14ac:dyDescent="0.35">
      <c r="A18" s="16"/>
      <c r="B18" s="505"/>
      <c r="C18" s="505"/>
      <c r="D18" s="505"/>
      <c r="E18" s="505"/>
      <c r="F18" s="505"/>
      <c r="G18" s="505"/>
      <c r="H18" s="505"/>
      <c r="I18" s="16"/>
      <c r="J18" s="23"/>
      <c r="K18" s="336"/>
      <c r="L18" s="337" t="s">
        <v>33</v>
      </c>
      <c r="M18" s="338" t="s">
        <v>34</v>
      </c>
      <c r="N18" s="339"/>
      <c r="O18" s="340"/>
      <c r="P18" s="340"/>
      <c r="Q18" s="341"/>
      <c r="R18" s="24"/>
      <c r="S18" s="16"/>
      <c r="T18" s="31"/>
      <c r="U18" s="16"/>
      <c r="V18" s="16"/>
      <c r="W18" s="16"/>
      <c r="X18" s="16"/>
    </row>
    <row r="19" spans="1:24" ht="14" customHeight="1" x14ac:dyDescent="0.35">
      <c r="A19" s="16"/>
      <c r="B19" s="505"/>
      <c r="C19" s="505"/>
      <c r="D19" s="505"/>
      <c r="E19" s="505"/>
      <c r="F19" s="505"/>
      <c r="G19" s="505"/>
      <c r="H19" s="505"/>
      <c r="I19" s="16"/>
      <c r="J19" s="23"/>
      <c r="K19" s="342" t="s">
        <v>35</v>
      </c>
      <c r="L19" s="343">
        <f>327000</f>
        <v>327000</v>
      </c>
      <c r="M19" s="344">
        <f>L19-(M16*8)</f>
        <v>233560</v>
      </c>
      <c r="N19" s="339"/>
      <c r="O19" s="340"/>
      <c r="P19" s="340"/>
      <c r="Q19" s="341"/>
      <c r="R19" s="24"/>
      <c r="S19" s="16"/>
      <c r="T19" s="35"/>
      <c r="U19" s="16"/>
      <c r="V19" s="16"/>
      <c r="W19" s="16"/>
      <c r="X19" s="16"/>
    </row>
    <row r="20" spans="1:24" ht="16" customHeight="1" x14ac:dyDescent="0.35">
      <c r="A20" s="16"/>
      <c r="B20" s="504" t="s">
        <v>36</v>
      </c>
      <c r="C20" s="505"/>
      <c r="D20" s="505"/>
      <c r="E20" s="505"/>
      <c r="F20" s="505"/>
      <c r="G20" s="505"/>
      <c r="H20" s="505"/>
      <c r="I20" s="16"/>
      <c r="J20" s="23"/>
      <c r="K20" s="345" t="s">
        <v>37</v>
      </c>
      <c r="L20" s="346">
        <f>O9*(L7+L10+L11)</f>
        <v>343070</v>
      </c>
      <c r="M20" s="347">
        <f>L14</f>
        <v>120000</v>
      </c>
      <c r="N20" s="339"/>
      <c r="O20" s="340"/>
      <c r="P20" s="340"/>
      <c r="Q20" s="341"/>
      <c r="R20" s="24"/>
      <c r="S20" s="16"/>
      <c r="T20" s="16"/>
      <c r="U20" s="16"/>
      <c r="V20" s="16"/>
      <c r="W20" s="16"/>
      <c r="X20" s="16"/>
    </row>
    <row r="21" spans="1:24" ht="17" customHeight="1" x14ac:dyDescent="0.35">
      <c r="A21" s="16"/>
      <c r="B21" s="505"/>
      <c r="C21" s="505"/>
      <c r="D21" s="505"/>
      <c r="E21" s="505"/>
      <c r="F21" s="505"/>
      <c r="G21" s="505"/>
      <c r="H21" s="505"/>
      <c r="I21" s="16"/>
      <c r="J21" s="23"/>
      <c r="K21" s="348" t="s">
        <v>38</v>
      </c>
      <c r="L21" s="349">
        <f>O8*(L7+L10+L11)</f>
        <v>637130</v>
      </c>
      <c r="M21" s="451">
        <f>L21*(1+L15)^8</f>
        <v>807097.22195449169</v>
      </c>
      <c r="N21" s="350"/>
      <c r="O21" s="351"/>
      <c r="P21" s="351"/>
      <c r="Q21" s="352"/>
      <c r="R21" s="24"/>
      <c r="S21" s="16"/>
      <c r="T21" s="16"/>
      <c r="U21" s="16"/>
      <c r="V21" s="16"/>
      <c r="W21" s="16"/>
      <c r="X21" s="16"/>
    </row>
    <row r="22" spans="1:24" ht="15" customHeight="1" x14ac:dyDescent="0.3">
      <c r="A22" s="16"/>
      <c r="B22" s="505"/>
      <c r="C22" s="505"/>
      <c r="D22" s="505"/>
      <c r="E22" s="505"/>
      <c r="F22" s="505"/>
      <c r="G22" s="505"/>
      <c r="H22" s="505"/>
      <c r="I22" s="16"/>
      <c r="J22" s="16"/>
      <c r="K22" s="45"/>
      <c r="L22" s="45"/>
      <c r="M22" s="45"/>
      <c r="N22" s="45"/>
      <c r="O22" s="45"/>
      <c r="P22" s="45"/>
      <c r="Q22" s="45"/>
      <c r="R22" s="16"/>
      <c r="S22" s="16"/>
      <c r="T22" s="16"/>
      <c r="U22" s="16"/>
      <c r="V22" s="16"/>
      <c r="W22" s="16"/>
      <c r="X22" s="16"/>
    </row>
    <row r="23" spans="1:24" ht="17" customHeight="1" x14ac:dyDescent="0.35">
      <c r="A23" s="16"/>
      <c r="B23" s="505"/>
      <c r="C23" s="505"/>
      <c r="D23" s="505"/>
      <c r="E23" s="505"/>
      <c r="F23" s="505"/>
      <c r="G23" s="505"/>
      <c r="H23" s="505"/>
      <c r="I23" s="16"/>
      <c r="J23" s="16"/>
      <c r="K23" s="20" t="s">
        <v>39</v>
      </c>
      <c r="L23" s="46"/>
      <c r="M23" s="46"/>
      <c r="N23" s="43"/>
      <c r="O23" s="47"/>
      <c r="P23" s="43"/>
      <c r="Q23" s="43"/>
      <c r="R23" s="43"/>
      <c r="S23" s="43"/>
      <c r="T23" s="43"/>
      <c r="U23" s="43"/>
      <c r="V23" s="21"/>
      <c r="W23" s="16"/>
      <c r="X23" s="16"/>
    </row>
    <row r="24" spans="1:24" ht="16" customHeight="1" x14ac:dyDescent="0.35">
      <c r="A24" s="16"/>
      <c r="B24" s="504" t="s">
        <v>40</v>
      </c>
      <c r="C24" s="505"/>
      <c r="D24" s="505"/>
      <c r="E24" s="505"/>
      <c r="F24" s="505"/>
      <c r="G24" s="505"/>
      <c r="H24" s="505"/>
      <c r="I24" s="16"/>
      <c r="J24" s="23"/>
      <c r="K24" s="536" t="s">
        <v>41</v>
      </c>
      <c r="L24" s="543"/>
      <c r="M24" s="353" t="s">
        <v>42</v>
      </c>
      <c r="N24" s="354">
        <v>0</v>
      </c>
      <c r="O24" s="355">
        <v>1</v>
      </c>
      <c r="P24" s="355">
        <v>2</v>
      </c>
      <c r="Q24" s="355">
        <v>3</v>
      </c>
      <c r="R24" s="355">
        <v>4</v>
      </c>
      <c r="S24" s="355">
        <v>5</v>
      </c>
      <c r="T24" s="355">
        <v>6</v>
      </c>
      <c r="U24" s="355">
        <v>7</v>
      </c>
      <c r="V24" s="356">
        <v>8</v>
      </c>
      <c r="W24" s="53"/>
      <c r="X24" s="31"/>
    </row>
    <row r="25" spans="1:24" ht="14" customHeight="1" x14ac:dyDescent="0.35">
      <c r="A25" s="16"/>
      <c r="B25" s="505"/>
      <c r="C25" s="505"/>
      <c r="D25" s="505"/>
      <c r="E25" s="505"/>
      <c r="F25" s="505"/>
      <c r="G25" s="505"/>
      <c r="H25" s="505"/>
      <c r="I25" s="16"/>
      <c r="J25" s="23"/>
      <c r="K25" s="536" t="s">
        <v>43</v>
      </c>
      <c r="L25" s="543"/>
      <c r="M25" s="447">
        <v>1</v>
      </c>
      <c r="N25" s="357"/>
      <c r="O25" s="358">
        <f>$C$39</f>
        <v>15300</v>
      </c>
      <c r="P25" s="358">
        <f t="shared" ref="P25:R25" si="0">$C$39</f>
        <v>15300</v>
      </c>
      <c r="Q25" s="358">
        <f t="shared" si="0"/>
        <v>15300</v>
      </c>
      <c r="R25" s="358">
        <f t="shared" si="0"/>
        <v>15300</v>
      </c>
      <c r="S25" s="358">
        <f>$E$39</f>
        <v>26000</v>
      </c>
      <c r="T25" s="358">
        <f t="shared" ref="T25:V25" si="1">$E$39</f>
        <v>26000</v>
      </c>
      <c r="U25" s="358">
        <f t="shared" si="1"/>
        <v>26000</v>
      </c>
      <c r="V25" s="358">
        <f t="shared" si="1"/>
        <v>26000</v>
      </c>
      <c r="W25" s="58"/>
      <c r="X25" s="59"/>
    </row>
    <row r="26" spans="1:24" ht="14" customHeight="1" x14ac:dyDescent="0.35">
      <c r="A26" s="16"/>
      <c r="B26" s="505"/>
      <c r="C26" s="505"/>
      <c r="D26" s="505"/>
      <c r="E26" s="505"/>
      <c r="F26" s="505"/>
      <c r="G26" s="505"/>
      <c r="H26" s="505"/>
      <c r="I26" s="16"/>
      <c r="J26" s="23"/>
      <c r="K26" s="522" t="s">
        <v>155</v>
      </c>
      <c r="L26" s="519"/>
      <c r="M26" s="359">
        <v>25</v>
      </c>
      <c r="N26" s="360"/>
      <c r="O26" s="361">
        <f>$M$26*O25</f>
        <v>382500</v>
      </c>
      <c r="P26" s="361">
        <f t="shared" ref="P26:V26" si="2">$M$26*P25</f>
        <v>382500</v>
      </c>
      <c r="Q26" s="361">
        <f t="shared" si="2"/>
        <v>382500</v>
      </c>
      <c r="R26" s="361">
        <f t="shared" si="2"/>
        <v>382500</v>
      </c>
      <c r="S26" s="361">
        <f t="shared" si="2"/>
        <v>650000</v>
      </c>
      <c r="T26" s="361">
        <f t="shared" si="2"/>
        <v>650000</v>
      </c>
      <c r="U26" s="361">
        <f t="shared" si="2"/>
        <v>650000</v>
      </c>
      <c r="V26" s="361">
        <f t="shared" si="2"/>
        <v>650000</v>
      </c>
      <c r="W26" s="66"/>
      <c r="X26" s="67"/>
    </row>
    <row r="27" spans="1:24" ht="14" customHeight="1" x14ac:dyDescent="0.35">
      <c r="A27" s="16"/>
      <c r="B27" s="505"/>
      <c r="C27" s="505"/>
      <c r="D27" s="505"/>
      <c r="E27" s="505"/>
      <c r="F27" s="505"/>
      <c r="G27" s="505"/>
      <c r="H27" s="505"/>
      <c r="I27" s="16"/>
      <c r="J27" s="23"/>
      <c r="K27" s="523" t="s">
        <v>156</v>
      </c>
      <c r="L27" s="524"/>
      <c r="M27" s="362"/>
      <c r="N27" s="363"/>
      <c r="O27" s="364">
        <v>-123000</v>
      </c>
      <c r="P27" s="364">
        <v>-123000</v>
      </c>
      <c r="Q27" s="364">
        <v>-123000</v>
      </c>
      <c r="R27" s="364">
        <v>-123000</v>
      </c>
      <c r="S27" s="365">
        <v>-242000</v>
      </c>
      <c r="T27" s="365">
        <v>-242000</v>
      </c>
      <c r="U27" s="365">
        <v>-242000</v>
      </c>
      <c r="V27" s="365">
        <v>-242000</v>
      </c>
      <c r="W27" s="72"/>
      <c r="X27" s="22"/>
    </row>
    <row r="28" spans="1:24" ht="17" customHeight="1" x14ac:dyDescent="0.35">
      <c r="A28" s="16"/>
      <c r="B28" s="505"/>
      <c r="C28" s="505"/>
      <c r="D28" s="505"/>
      <c r="E28" s="505"/>
      <c r="F28" s="505"/>
      <c r="G28" s="505"/>
      <c r="H28" s="505"/>
      <c r="I28" s="16"/>
      <c r="J28" s="23"/>
      <c r="K28" s="502"/>
      <c r="L28" s="503"/>
      <c r="M28" s="366"/>
      <c r="N28" s="367"/>
      <c r="O28" s="368"/>
      <c r="P28" s="368"/>
      <c r="Q28" s="368"/>
      <c r="R28" s="368"/>
      <c r="S28" s="368"/>
      <c r="T28" s="368"/>
      <c r="U28" s="368"/>
      <c r="V28" s="369"/>
      <c r="W28" s="72"/>
      <c r="X28" s="22"/>
    </row>
    <row r="29" spans="1:24" ht="16" customHeight="1" x14ac:dyDescent="0.35">
      <c r="A29" s="16"/>
      <c r="B29" s="504" t="s">
        <v>44</v>
      </c>
      <c r="C29" s="505"/>
      <c r="D29" s="505"/>
      <c r="E29" s="505"/>
      <c r="F29" s="505"/>
      <c r="G29" s="505"/>
      <c r="H29" s="505"/>
      <c r="I29" s="16"/>
      <c r="J29" s="23"/>
      <c r="K29" s="536" t="s">
        <v>45</v>
      </c>
      <c r="L29" s="542"/>
      <c r="M29" s="537"/>
      <c r="N29" s="370"/>
      <c r="O29" s="371">
        <f>SUM(O26:O27)</f>
        <v>259500</v>
      </c>
      <c r="P29" s="371">
        <f t="shared" ref="P29:V29" si="3">SUM(P26:P27)</f>
        <v>259500</v>
      </c>
      <c r="Q29" s="371">
        <f t="shared" si="3"/>
        <v>259500</v>
      </c>
      <c r="R29" s="371">
        <f t="shared" si="3"/>
        <v>259500</v>
      </c>
      <c r="S29" s="371">
        <f t="shared" si="3"/>
        <v>408000</v>
      </c>
      <c r="T29" s="371">
        <f t="shared" si="3"/>
        <v>408000</v>
      </c>
      <c r="U29" s="371">
        <f t="shared" si="3"/>
        <v>408000</v>
      </c>
      <c r="V29" s="371">
        <f t="shared" si="3"/>
        <v>408000</v>
      </c>
      <c r="W29" s="72"/>
      <c r="X29" s="22"/>
    </row>
    <row r="30" spans="1:24" ht="14" customHeight="1" x14ac:dyDescent="0.35">
      <c r="A30" s="16"/>
      <c r="B30" s="505"/>
      <c r="C30" s="505"/>
      <c r="D30" s="505"/>
      <c r="E30" s="505"/>
      <c r="F30" s="505"/>
      <c r="G30" s="505"/>
      <c r="H30" s="505"/>
      <c r="I30" s="16"/>
      <c r="J30" s="23"/>
      <c r="K30" s="518" t="s">
        <v>46</v>
      </c>
      <c r="L30" s="519"/>
      <c r="M30" s="372"/>
      <c r="N30" s="360"/>
      <c r="O30" s="373"/>
      <c r="P30" s="373"/>
      <c r="Q30" s="373"/>
      <c r="R30" s="373"/>
      <c r="S30" s="373"/>
      <c r="T30" s="373"/>
      <c r="U30" s="373"/>
      <c r="V30" s="374"/>
      <c r="W30" s="28"/>
      <c r="X30" s="29"/>
    </row>
    <row r="31" spans="1:24" ht="14" customHeight="1" x14ac:dyDescent="0.35">
      <c r="A31" s="16"/>
      <c r="B31" s="505"/>
      <c r="C31" s="505"/>
      <c r="D31" s="505"/>
      <c r="E31" s="505"/>
      <c r="F31" s="505"/>
      <c r="G31" s="505"/>
      <c r="H31" s="505"/>
      <c r="I31" s="16"/>
      <c r="J31" s="23"/>
      <c r="K31" s="523" t="s">
        <v>97</v>
      </c>
      <c r="L31" s="524"/>
      <c r="M31" s="375"/>
      <c r="N31" s="376">
        <f>-L19</f>
        <v>-327000</v>
      </c>
      <c r="O31" s="364"/>
      <c r="P31" s="364"/>
      <c r="Q31" s="364"/>
      <c r="R31" s="364"/>
      <c r="S31" s="364"/>
      <c r="T31" s="364"/>
      <c r="U31" s="364"/>
      <c r="V31" s="341"/>
      <c r="W31" s="28"/>
      <c r="X31" s="29"/>
    </row>
    <row r="32" spans="1:24" ht="14" customHeight="1" x14ac:dyDescent="0.35">
      <c r="A32" s="16"/>
      <c r="B32" s="505"/>
      <c r="C32" s="505"/>
      <c r="D32" s="505"/>
      <c r="E32" s="505"/>
      <c r="F32" s="505"/>
      <c r="G32" s="505"/>
      <c r="H32" s="505"/>
      <c r="I32" s="16"/>
      <c r="J32" s="23"/>
      <c r="K32" s="523" t="s">
        <v>37</v>
      </c>
      <c r="L32" s="524"/>
      <c r="M32" s="375"/>
      <c r="N32" s="376">
        <f t="shared" ref="N32:N33" si="4">-L20</f>
        <v>-343070</v>
      </c>
      <c r="O32" s="364"/>
      <c r="P32" s="364"/>
      <c r="Q32" s="364"/>
      <c r="R32" s="364"/>
      <c r="S32" s="364"/>
      <c r="T32" s="364"/>
      <c r="U32" s="364"/>
      <c r="V32" s="341"/>
      <c r="W32" s="28"/>
      <c r="X32" s="29"/>
    </row>
    <row r="33" spans="1:24" ht="14" customHeight="1" x14ac:dyDescent="0.35">
      <c r="A33" s="16"/>
      <c r="B33" s="505"/>
      <c r="C33" s="505"/>
      <c r="D33" s="505"/>
      <c r="E33" s="505"/>
      <c r="F33" s="505"/>
      <c r="G33" s="505"/>
      <c r="H33" s="505"/>
      <c r="I33" s="16"/>
      <c r="J33" s="23"/>
      <c r="K33" s="523" t="s">
        <v>38</v>
      </c>
      <c r="L33" s="524"/>
      <c r="M33" s="375"/>
      <c r="N33" s="376">
        <f t="shared" si="4"/>
        <v>-637130</v>
      </c>
      <c r="O33" s="364"/>
      <c r="P33" s="364"/>
      <c r="Q33" s="364"/>
      <c r="R33" s="364"/>
      <c r="S33" s="364"/>
      <c r="T33" s="364"/>
      <c r="U33" s="364"/>
      <c r="V33" s="341"/>
      <c r="W33" s="28"/>
      <c r="X33" s="29"/>
    </row>
    <row r="34" spans="1:24" ht="17" customHeight="1" x14ac:dyDescent="0.35">
      <c r="A34" s="16"/>
      <c r="B34" s="16"/>
      <c r="C34" s="21"/>
      <c r="D34" s="21"/>
      <c r="E34" s="21"/>
      <c r="F34" s="21"/>
      <c r="G34" s="16"/>
      <c r="H34" s="16"/>
      <c r="I34" s="16"/>
      <c r="J34" s="23"/>
      <c r="K34" s="523" t="s">
        <v>157</v>
      </c>
      <c r="L34" s="524"/>
      <c r="M34" s="375"/>
      <c r="N34" s="376">
        <f>-20000</f>
        <v>-20000</v>
      </c>
      <c r="O34" s="364"/>
      <c r="P34" s="364"/>
      <c r="Q34" s="364"/>
      <c r="R34" s="364">
        <f>-30000</f>
        <v>-30000</v>
      </c>
      <c r="S34" s="364"/>
      <c r="T34" s="364"/>
      <c r="U34" s="364"/>
      <c r="V34" s="341"/>
      <c r="W34" s="28"/>
      <c r="X34" s="29"/>
    </row>
    <row r="35" spans="1:24" ht="17.5" customHeight="1" x14ac:dyDescent="0.35">
      <c r="A35" s="16"/>
      <c r="B35" s="23"/>
      <c r="C35" s="529" t="s">
        <v>47</v>
      </c>
      <c r="D35" s="530"/>
      <c r="E35" s="529" t="s">
        <v>48</v>
      </c>
      <c r="F35" s="530"/>
      <c r="G35" s="24"/>
      <c r="H35" s="16"/>
      <c r="I35" s="16"/>
      <c r="J35" s="23"/>
      <c r="K35" s="512"/>
      <c r="L35" s="513"/>
      <c r="M35" s="377"/>
      <c r="N35" s="378"/>
      <c r="O35" s="379"/>
      <c r="P35" s="379"/>
      <c r="Q35" s="379"/>
      <c r="R35" s="379"/>
      <c r="S35" s="380"/>
      <c r="T35" s="379"/>
      <c r="U35" s="380"/>
      <c r="V35" s="381"/>
      <c r="W35" s="28"/>
      <c r="X35" s="29"/>
    </row>
    <row r="36" spans="1:24" ht="16" customHeight="1" x14ac:dyDescent="0.35">
      <c r="A36" s="16"/>
      <c r="B36" s="23"/>
      <c r="C36" s="506" t="s">
        <v>49</v>
      </c>
      <c r="D36" s="507"/>
      <c r="E36" s="506" t="s">
        <v>49</v>
      </c>
      <c r="F36" s="507"/>
      <c r="G36" s="24"/>
      <c r="H36" s="16"/>
      <c r="I36" s="16"/>
      <c r="J36" s="23"/>
      <c r="K36" s="544" t="s">
        <v>50</v>
      </c>
      <c r="L36" s="545"/>
      <c r="M36" s="382"/>
      <c r="N36" s="383"/>
      <c r="O36" s="384"/>
      <c r="P36" s="384"/>
      <c r="Q36" s="384"/>
      <c r="R36" s="384"/>
      <c r="S36" s="384"/>
      <c r="T36" s="384"/>
      <c r="U36" s="384"/>
      <c r="V36" s="385"/>
      <c r="W36" s="28"/>
      <c r="X36" s="29"/>
    </row>
    <row r="37" spans="1:24" ht="14" customHeight="1" x14ac:dyDescent="0.35">
      <c r="A37" s="16"/>
      <c r="B37" s="23"/>
      <c r="C37" s="508"/>
      <c r="D37" s="509"/>
      <c r="E37" s="508"/>
      <c r="F37" s="509"/>
      <c r="G37" s="24"/>
      <c r="H37" s="16"/>
      <c r="I37" s="16"/>
      <c r="J37" s="23"/>
      <c r="K37" s="523" t="s">
        <v>97</v>
      </c>
      <c r="L37" s="524"/>
      <c r="M37" s="386"/>
      <c r="N37" s="363"/>
      <c r="O37" s="364"/>
      <c r="P37" s="364"/>
      <c r="Q37" s="364"/>
      <c r="R37" s="364"/>
      <c r="S37" s="364"/>
      <c r="T37" s="364"/>
      <c r="U37" s="364"/>
      <c r="V37" s="387">
        <f>M19</f>
        <v>233560</v>
      </c>
      <c r="W37" s="28"/>
      <c r="X37" s="29"/>
    </row>
    <row r="38" spans="1:24" ht="17" customHeight="1" x14ac:dyDescent="0.35">
      <c r="A38" s="16"/>
      <c r="B38" s="23"/>
      <c r="C38" s="510"/>
      <c r="D38" s="511"/>
      <c r="E38" s="510"/>
      <c r="F38" s="511"/>
      <c r="G38" s="24"/>
      <c r="H38" s="16"/>
      <c r="I38" s="16"/>
      <c r="J38" s="23"/>
      <c r="K38" s="523" t="s">
        <v>37</v>
      </c>
      <c r="L38" s="524"/>
      <c r="M38" s="386"/>
      <c r="N38" s="363"/>
      <c r="O38" s="364"/>
      <c r="P38" s="364"/>
      <c r="Q38" s="364"/>
      <c r="R38" s="364"/>
      <c r="S38" s="364"/>
      <c r="T38" s="364"/>
      <c r="U38" s="364"/>
      <c r="V38" s="387">
        <f t="shared" ref="V38:V39" si="5">M20</f>
        <v>120000</v>
      </c>
      <c r="W38" s="28"/>
      <c r="X38" s="29"/>
    </row>
    <row r="39" spans="1:24" ht="17" customHeight="1" x14ac:dyDescent="0.35">
      <c r="A39" s="16"/>
      <c r="B39" s="23"/>
      <c r="C39" s="516">
        <v>15300</v>
      </c>
      <c r="D39" s="517"/>
      <c r="E39" s="516">
        <v>26000</v>
      </c>
      <c r="F39" s="517"/>
      <c r="G39" s="24"/>
      <c r="H39" s="16"/>
      <c r="I39" s="16"/>
      <c r="J39" s="23"/>
      <c r="K39" s="523" t="s">
        <v>38</v>
      </c>
      <c r="L39" s="524"/>
      <c r="M39" s="386"/>
      <c r="N39" s="363"/>
      <c r="O39" s="364"/>
      <c r="P39" s="364"/>
      <c r="Q39" s="364"/>
      <c r="R39" s="364"/>
      <c r="S39" s="364"/>
      <c r="T39" s="364"/>
      <c r="U39" s="364"/>
      <c r="V39" s="387">
        <f t="shared" si="5"/>
        <v>807097.22195449169</v>
      </c>
      <c r="W39" s="28"/>
      <c r="X39" s="29"/>
    </row>
    <row r="40" spans="1:24" ht="17.5" customHeight="1" x14ac:dyDescent="0.35">
      <c r="A40" s="16"/>
      <c r="B40" s="16"/>
      <c r="C40" s="99"/>
      <c r="D40" s="100"/>
      <c r="E40" s="99"/>
      <c r="F40" s="100"/>
      <c r="G40" s="16"/>
      <c r="H40" s="16"/>
      <c r="I40" s="16"/>
      <c r="J40" s="23"/>
      <c r="K40" s="523" t="s">
        <v>157</v>
      </c>
      <c r="L40" s="524"/>
      <c r="M40" s="386"/>
      <c r="N40" s="363"/>
      <c r="O40" s="364"/>
      <c r="P40" s="364"/>
      <c r="Q40" s="364"/>
      <c r="R40" s="364"/>
      <c r="S40" s="364"/>
      <c r="T40" s="364"/>
      <c r="U40" s="388"/>
      <c r="V40" s="387">
        <f>ABS(N34+R34)</f>
        <v>50000</v>
      </c>
      <c r="W40" s="28"/>
      <c r="X40" s="29"/>
    </row>
    <row r="41" spans="1:24" ht="17" customHeight="1" x14ac:dyDescent="0.35">
      <c r="A41" s="16"/>
      <c r="B41" s="16"/>
      <c r="C41" s="102"/>
      <c r="D41" s="103"/>
      <c r="E41" s="102"/>
      <c r="F41" s="103"/>
      <c r="G41" s="16"/>
      <c r="H41" s="16"/>
      <c r="I41" s="16"/>
      <c r="J41" s="23"/>
      <c r="K41" s="551"/>
      <c r="L41" s="552"/>
      <c r="M41" s="389"/>
      <c r="N41" s="390"/>
      <c r="O41" s="380"/>
      <c r="P41" s="380"/>
      <c r="Q41" s="380"/>
      <c r="R41" s="380"/>
      <c r="S41" s="380"/>
      <c r="T41" s="380"/>
      <c r="U41" s="391"/>
      <c r="V41" s="381"/>
      <c r="W41" s="28"/>
      <c r="X41" s="29"/>
    </row>
    <row r="42" spans="1:24" ht="17" customHeight="1" x14ac:dyDescent="0.35">
      <c r="A42" s="16"/>
      <c r="B42" s="16"/>
      <c r="C42" s="102"/>
      <c r="D42" s="103"/>
      <c r="E42" s="102"/>
      <c r="F42" s="103"/>
      <c r="G42" s="16"/>
      <c r="H42" s="16"/>
      <c r="I42" s="16"/>
      <c r="J42" s="23"/>
      <c r="K42" s="544" t="s">
        <v>51</v>
      </c>
      <c r="L42" s="545"/>
      <c r="M42" s="392"/>
      <c r="N42" s="393">
        <f>SUM(N29:N40)</f>
        <v>-1327200</v>
      </c>
      <c r="O42" s="393">
        <f t="shared" ref="O42:U42" si="6">SUM(O29:O40)</f>
        <v>259500</v>
      </c>
      <c r="P42" s="393">
        <f t="shared" si="6"/>
        <v>259500</v>
      </c>
      <c r="Q42" s="393">
        <f t="shared" si="6"/>
        <v>259500</v>
      </c>
      <c r="R42" s="393">
        <f t="shared" si="6"/>
        <v>229500</v>
      </c>
      <c r="S42" s="393">
        <f t="shared" si="6"/>
        <v>408000</v>
      </c>
      <c r="T42" s="393">
        <f t="shared" si="6"/>
        <v>408000</v>
      </c>
      <c r="U42" s="393">
        <f t="shared" si="6"/>
        <v>408000</v>
      </c>
      <c r="V42" s="393">
        <f>SUM(V29:V40)</f>
        <v>1618657.2219544917</v>
      </c>
      <c r="W42" s="112"/>
      <c r="X42" s="113"/>
    </row>
    <row r="43" spans="1:24" ht="17" customHeight="1" x14ac:dyDescent="0.35">
      <c r="A43" s="16"/>
      <c r="B43" s="16"/>
      <c r="C43" s="29"/>
      <c r="D43" s="114"/>
      <c r="E43" s="102"/>
      <c r="F43" s="103"/>
      <c r="G43" s="16"/>
      <c r="H43" s="16"/>
      <c r="I43" s="16"/>
      <c r="J43" s="23"/>
      <c r="K43" s="539" t="s">
        <v>52</v>
      </c>
      <c r="L43" s="524"/>
      <c r="M43" s="386">
        <f>11%</f>
        <v>0.11</v>
      </c>
      <c r="N43" s="394">
        <f>(1+$M$43)^-N24</f>
        <v>1</v>
      </c>
      <c r="O43" s="394">
        <f t="shared" ref="O43:V43" si="7">(1+$M$43)^-O24</f>
        <v>0.9009009009009008</v>
      </c>
      <c r="P43" s="394">
        <f t="shared" si="7"/>
        <v>0.8116224332440547</v>
      </c>
      <c r="Q43" s="394">
        <f t="shared" si="7"/>
        <v>0.73119138130095018</v>
      </c>
      <c r="R43" s="394">
        <f t="shared" si="7"/>
        <v>0.65873097414500015</v>
      </c>
      <c r="S43" s="394">
        <f t="shared" si="7"/>
        <v>0.5934513280585586</v>
      </c>
      <c r="T43" s="394">
        <f t="shared" si="7"/>
        <v>0.53464083608879154</v>
      </c>
      <c r="U43" s="394">
        <f t="shared" si="7"/>
        <v>0.48165841089080319</v>
      </c>
      <c r="V43" s="394">
        <f t="shared" si="7"/>
        <v>0.43392649629802077</v>
      </c>
      <c r="W43" s="119"/>
      <c r="X43" s="120"/>
    </row>
    <row r="44" spans="1:24" ht="17" customHeight="1" x14ac:dyDescent="0.35">
      <c r="A44" s="16"/>
      <c r="B44" s="16"/>
      <c r="C44" s="16"/>
      <c r="D44" s="16"/>
      <c r="E44" s="16"/>
      <c r="F44" s="114"/>
      <c r="G44" s="16"/>
      <c r="H44" s="16"/>
      <c r="I44" s="16"/>
      <c r="J44" s="23"/>
      <c r="K44" s="538" t="s">
        <v>53</v>
      </c>
      <c r="L44" s="503"/>
      <c r="M44" s="395"/>
      <c r="N44" s="396">
        <f>N42*N43</f>
        <v>-1327200</v>
      </c>
      <c r="O44" s="396">
        <f t="shared" ref="O44:V44" si="8">O42*O43</f>
        <v>233783.78378378376</v>
      </c>
      <c r="P44" s="396">
        <f t="shared" si="8"/>
        <v>210616.02142683219</v>
      </c>
      <c r="Q44" s="396">
        <f t="shared" si="8"/>
        <v>189744.16344759657</v>
      </c>
      <c r="R44" s="396">
        <f t="shared" si="8"/>
        <v>151178.75856627754</v>
      </c>
      <c r="S44" s="396">
        <f t="shared" si="8"/>
        <v>242128.14184789191</v>
      </c>
      <c r="T44" s="396">
        <f t="shared" si="8"/>
        <v>218133.46112422695</v>
      </c>
      <c r="U44" s="396">
        <f t="shared" si="8"/>
        <v>196516.6316434477</v>
      </c>
      <c r="V44" s="396">
        <f t="shared" si="8"/>
        <v>702378.25703020033</v>
      </c>
      <c r="W44" s="125"/>
      <c r="X44" s="126"/>
    </row>
    <row r="45" spans="1:24" ht="16" customHeight="1" x14ac:dyDescent="0.35">
      <c r="A45" s="16"/>
      <c r="B45" s="504" t="s">
        <v>54</v>
      </c>
      <c r="C45" s="505"/>
      <c r="D45" s="505"/>
      <c r="E45" s="505"/>
      <c r="F45" s="505"/>
      <c r="G45" s="505"/>
      <c r="H45" s="505"/>
      <c r="I45" s="16"/>
      <c r="J45" s="23"/>
      <c r="K45" s="536" t="s">
        <v>55</v>
      </c>
      <c r="L45" s="537"/>
      <c r="M45" s="514">
        <f>SUM(N44:V44)</f>
        <v>817279.21887025691</v>
      </c>
      <c r="N45" s="515"/>
      <c r="O45" s="397"/>
      <c r="P45" s="398"/>
      <c r="Q45" s="398"/>
      <c r="R45" s="398"/>
      <c r="S45" s="398"/>
      <c r="T45" s="398"/>
      <c r="U45" s="398"/>
      <c r="V45" s="398"/>
      <c r="W45" s="29"/>
      <c r="X45" s="29"/>
    </row>
    <row r="46" spans="1:24" ht="14" customHeight="1" x14ac:dyDescent="0.35">
      <c r="A46" s="16"/>
      <c r="B46" s="505"/>
      <c r="C46" s="505"/>
      <c r="D46" s="505"/>
      <c r="E46" s="505"/>
      <c r="F46" s="505"/>
      <c r="G46" s="505"/>
      <c r="H46" s="505"/>
      <c r="I46" s="16"/>
      <c r="J46" s="16"/>
      <c r="K46" s="45"/>
      <c r="L46" s="45"/>
      <c r="M46" s="45"/>
      <c r="N46" s="45"/>
      <c r="O46" s="16"/>
      <c r="P46" s="16"/>
      <c r="Q46" s="16"/>
      <c r="R46" s="16"/>
      <c r="S46" s="16"/>
      <c r="T46" s="16"/>
      <c r="U46" s="29"/>
      <c r="V46" s="29"/>
      <c r="W46" s="29"/>
      <c r="X46" s="29"/>
    </row>
    <row r="47" spans="1:24" ht="14" customHeight="1" x14ac:dyDescent="0.35">
      <c r="A47" s="16"/>
      <c r="B47" s="505"/>
      <c r="C47" s="505"/>
      <c r="D47" s="505"/>
      <c r="E47" s="505"/>
      <c r="F47" s="505"/>
      <c r="G47" s="505"/>
      <c r="H47" s="505"/>
      <c r="I47" s="16"/>
      <c r="J47" s="16"/>
      <c r="K47" s="534" t="s">
        <v>60</v>
      </c>
      <c r="L47" s="535"/>
      <c r="M47" s="131"/>
      <c r="N47" s="131"/>
      <c r="O47" s="29"/>
      <c r="P47" s="16"/>
      <c r="Q47" s="20" t="s">
        <v>73</v>
      </c>
      <c r="R47" s="21"/>
      <c r="S47" s="21"/>
      <c r="T47" s="16"/>
      <c r="U47" s="29"/>
      <c r="V47" s="29"/>
      <c r="W47" s="29"/>
      <c r="X47" s="29"/>
    </row>
    <row r="48" spans="1:24" ht="17.5" customHeight="1" x14ac:dyDescent="0.35">
      <c r="A48" s="16"/>
      <c r="B48" s="505"/>
      <c r="C48" s="505"/>
      <c r="D48" s="505"/>
      <c r="E48" s="505"/>
      <c r="F48" s="505"/>
      <c r="G48" s="505"/>
      <c r="H48" s="505"/>
      <c r="I48" s="16"/>
      <c r="J48" s="23"/>
      <c r="K48" s="522" t="s">
        <v>158</v>
      </c>
      <c r="L48" s="531"/>
      <c r="M48" s="525">
        <f>PMT(11%,8,-1)</f>
        <v>0.19432105421050014</v>
      </c>
      <c r="N48" s="526"/>
      <c r="O48" s="28"/>
      <c r="P48" s="23"/>
      <c r="Q48" s="400" t="s">
        <v>57</v>
      </c>
      <c r="R48" s="401" t="s">
        <v>165</v>
      </c>
      <c r="S48" s="402" t="s">
        <v>166</v>
      </c>
      <c r="T48" s="28"/>
      <c r="U48" s="29"/>
      <c r="V48" s="16"/>
      <c r="W48" s="16"/>
      <c r="X48" s="16"/>
    </row>
    <row r="49" spans="1:24" ht="16" customHeight="1" x14ac:dyDescent="0.35">
      <c r="A49" s="16"/>
      <c r="B49" s="504" t="s">
        <v>58</v>
      </c>
      <c r="C49" s="505"/>
      <c r="D49" s="505"/>
      <c r="E49" s="505"/>
      <c r="F49" s="505"/>
      <c r="G49" s="505"/>
      <c r="H49" s="505"/>
      <c r="I49" s="16"/>
      <c r="J49" s="23"/>
      <c r="K49" s="520" t="s">
        <v>59</v>
      </c>
      <c r="L49" s="521"/>
      <c r="M49" s="549">
        <f>M45*M48</f>
        <v>158814.55939520241</v>
      </c>
      <c r="N49" s="550"/>
      <c r="O49" s="136"/>
      <c r="P49" s="23"/>
      <c r="Q49" s="403">
        <v>0</v>
      </c>
      <c r="R49" s="466">
        <f>N44+R34*R43</f>
        <v>-1346961.92922435</v>
      </c>
      <c r="S49" s="405">
        <f>-R49</f>
        <v>1346961.92922435</v>
      </c>
      <c r="T49" s="28"/>
      <c r="U49" s="29"/>
      <c r="V49" s="16"/>
      <c r="W49" s="16"/>
      <c r="X49" s="16"/>
    </row>
    <row r="50" spans="1:24" ht="14" customHeight="1" x14ac:dyDescent="0.35">
      <c r="A50" s="16"/>
      <c r="B50" s="505"/>
      <c r="C50" s="505"/>
      <c r="D50" s="505"/>
      <c r="E50" s="505"/>
      <c r="F50" s="505"/>
      <c r="G50" s="505"/>
      <c r="H50" s="505"/>
      <c r="I50" s="16"/>
      <c r="J50" s="16"/>
      <c r="K50" s="140"/>
      <c r="L50" s="141"/>
      <c r="M50" s="142"/>
      <c r="N50" s="142"/>
      <c r="O50" s="16"/>
      <c r="P50" s="23"/>
      <c r="Q50" s="403">
        <v>1</v>
      </c>
      <c r="R50" s="404">
        <f>O44</f>
        <v>233783.78378378376</v>
      </c>
      <c r="S50" s="405">
        <f>-R50+S49</f>
        <v>1113178.1454405664</v>
      </c>
      <c r="T50" s="28"/>
      <c r="U50" s="16"/>
      <c r="V50" s="16"/>
      <c r="W50" s="16"/>
      <c r="X50" s="16"/>
    </row>
    <row r="51" spans="1:24" ht="14" customHeight="1" x14ac:dyDescent="0.35">
      <c r="A51" s="16"/>
      <c r="B51" s="505"/>
      <c r="C51" s="505"/>
      <c r="D51" s="505"/>
      <c r="E51" s="505"/>
      <c r="F51" s="505"/>
      <c r="G51" s="505"/>
      <c r="H51" s="505"/>
      <c r="I51" s="16"/>
      <c r="J51" s="16"/>
      <c r="K51" s="20" t="s">
        <v>63</v>
      </c>
      <c r="L51" s="46"/>
      <c r="M51" s="143"/>
      <c r="N51" s="143"/>
      <c r="O51" s="29"/>
      <c r="P51" s="23"/>
      <c r="Q51" s="403">
        <v>2</v>
      </c>
      <c r="R51" s="404">
        <f>P44</f>
        <v>210616.02142683219</v>
      </c>
      <c r="S51" s="405">
        <f t="shared" ref="S51:S57" si="9">-R51+S50</f>
        <v>902562.12401373417</v>
      </c>
      <c r="T51" s="28"/>
      <c r="U51" s="16"/>
      <c r="V51" s="16"/>
      <c r="W51" s="16"/>
      <c r="X51" s="16"/>
    </row>
    <row r="52" spans="1:24" ht="14" customHeight="1" x14ac:dyDescent="0.35">
      <c r="A52" s="16"/>
      <c r="B52" s="505"/>
      <c r="C52" s="505"/>
      <c r="D52" s="505"/>
      <c r="E52" s="505"/>
      <c r="F52" s="505"/>
      <c r="G52" s="505"/>
      <c r="H52" s="505"/>
      <c r="I52" s="16"/>
      <c r="J52" s="23"/>
      <c r="K52" s="438" t="s">
        <v>159</v>
      </c>
      <c r="L52" s="399"/>
      <c r="M52" s="459" t="s">
        <v>104</v>
      </c>
      <c r="N52" s="439">
        <f>M45</f>
        <v>817279.21887025691</v>
      </c>
      <c r="O52" s="28"/>
      <c r="P52" s="23"/>
      <c r="Q52" s="403">
        <v>3</v>
      </c>
      <c r="R52" s="404">
        <f>Q44</f>
        <v>189744.16344759657</v>
      </c>
      <c r="S52" s="405">
        <f t="shared" si="9"/>
        <v>712817.96056613757</v>
      </c>
      <c r="T52" s="28"/>
      <c r="U52" s="16"/>
      <c r="V52" s="16"/>
      <c r="W52" s="16"/>
      <c r="X52" s="16"/>
    </row>
    <row r="53" spans="1:24" ht="17" customHeight="1" x14ac:dyDescent="0.35">
      <c r="A53" s="16"/>
      <c r="B53" s="505"/>
      <c r="C53" s="505"/>
      <c r="D53" s="505"/>
      <c r="E53" s="505"/>
      <c r="F53" s="505"/>
      <c r="G53" s="505"/>
      <c r="H53" s="505"/>
      <c r="I53" s="16"/>
      <c r="J53" s="23"/>
      <c r="K53" s="440"/>
      <c r="L53" s="448"/>
      <c r="M53" s="460" t="s">
        <v>160</v>
      </c>
      <c r="N53" s="458">
        <f>SUM(N31:N35)*N43+SUM(R31:R35)*R43</f>
        <v>-1346961.92922435</v>
      </c>
      <c r="O53" s="28"/>
      <c r="P53" s="23"/>
      <c r="Q53" s="403">
        <v>4</v>
      </c>
      <c r="R53" s="466">
        <f>R44-(R34*R43)</f>
        <v>170940.68779062753</v>
      </c>
      <c r="S53" s="405">
        <f t="shared" si="9"/>
        <v>541877.27277551009</v>
      </c>
      <c r="T53" s="28"/>
      <c r="U53" s="16"/>
      <c r="V53" s="16"/>
      <c r="W53" s="16"/>
      <c r="X53" s="16"/>
    </row>
    <row r="54" spans="1:24" ht="17" customHeight="1" x14ac:dyDescent="0.35">
      <c r="A54" s="16"/>
      <c r="B54" s="505"/>
      <c r="C54" s="505"/>
      <c r="D54" s="505"/>
      <c r="E54" s="505"/>
      <c r="F54" s="505"/>
      <c r="G54" s="505"/>
      <c r="H54" s="505"/>
      <c r="I54" s="16"/>
      <c r="J54" s="23"/>
      <c r="K54" s="548" t="s">
        <v>61</v>
      </c>
      <c r="L54" s="543"/>
      <c r="M54" s="546">
        <f>N52/ABS(N53) +1</f>
        <v>1.6067574748314439</v>
      </c>
      <c r="N54" s="547"/>
      <c r="O54" s="136"/>
      <c r="P54" s="23"/>
      <c r="Q54" s="403">
        <v>5</v>
      </c>
      <c r="R54" s="404">
        <f>S44</f>
        <v>242128.14184789191</v>
      </c>
      <c r="S54" s="405">
        <f t="shared" si="9"/>
        <v>299749.13092761819</v>
      </c>
      <c r="T54" s="28"/>
      <c r="U54" s="16"/>
      <c r="V54" s="16"/>
      <c r="W54" s="16"/>
      <c r="X54" s="16"/>
    </row>
    <row r="55" spans="1:24" ht="17.5" customHeight="1" x14ac:dyDescent="0.35">
      <c r="A55" s="16"/>
      <c r="B55" s="16"/>
      <c r="C55" s="16"/>
      <c r="D55" s="16"/>
      <c r="E55" s="16"/>
      <c r="F55" s="16"/>
      <c r="G55" s="16"/>
      <c r="H55" s="16"/>
      <c r="I55" s="16"/>
      <c r="J55" s="16"/>
      <c r="K55" s="45"/>
      <c r="L55" s="45"/>
      <c r="M55" s="45"/>
      <c r="N55" s="45"/>
      <c r="O55" s="16"/>
      <c r="P55" s="23"/>
      <c r="Q55" s="403">
        <v>6</v>
      </c>
      <c r="R55" s="404">
        <f>T44</f>
        <v>218133.46112422695</v>
      </c>
      <c r="S55" s="405">
        <f t="shared" si="9"/>
        <v>81615.66980339124</v>
      </c>
      <c r="T55" s="28"/>
      <c r="U55" s="16"/>
      <c r="V55" s="16"/>
      <c r="W55" s="16"/>
      <c r="X55" s="16"/>
    </row>
    <row r="56" spans="1:24" ht="17" customHeight="1" x14ac:dyDescent="0.35">
      <c r="A56" s="16"/>
      <c r="B56" s="527" t="s">
        <v>62</v>
      </c>
      <c r="C56" s="528"/>
      <c r="D56" s="528"/>
      <c r="E56" s="528"/>
      <c r="F56" s="528"/>
      <c r="G56" s="528"/>
      <c r="H56" s="528"/>
      <c r="I56" s="16"/>
      <c r="J56" s="16"/>
      <c r="K56" s="130" t="s">
        <v>56</v>
      </c>
      <c r="L56" s="148"/>
      <c r="M56" s="149"/>
      <c r="N56" s="149"/>
      <c r="O56" s="43"/>
      <c r="P56" s="23"/>
      <c r="Q56" s="403">
        <v>7</v>
      </c>
      <c r="R56" s="404">
        <f>U44</f>
        <v>196516.6316434477</v>
      </c>
      <c r="S56" s="405">
        <f t="shared" si="9"/>
        <v>-114900.96184005647</v>
      </c>
      <c r="T56" s="28"/>
      <c r="U56" s="16"/>
      <c r="V56" s="16"/>
      <c r="W56" s="16"/>
      <c r="X56" s="16"/>
    </row>
    <row r="57" spans="1:24" ht="17" customHeight="1" x14ac:dyDescent="0.35">
      <c r="A57" s="16"/>
      <c r="B57" s="16"/>
      <c r="C57" s="16"/>
      <c r="D57" s="16"/>
      <c r="E57" s="16"/>
      <c r="F57" s="16"/>
      <c r="G57" s="16"/>
      <c r="H57" s="16"/>
      <c r="I57" s="16"/>
      <c r="J57" s="23"/>
      <c r="K57" s="414"/>
      <c r="L57" s="415"/>
      <c r="M57" s="398"/>
      <c r="N57" s="416"/>
      <c r="O57" s="374"/>
      <c r="P57" s="151"/>
      <c r="Q57" s="406">
        <v>8</v>
      </c>
      <c r="R57" s="407">
        <f>V44</f>
        <v>702378.25703020033</v>
      </c>
      <c r="S57" s="405">
        <f t="shared" si="9"/>
        <v>-817279.21887025679</v>
      </c>
      <c r="T57" s="28"/>
      <c r="U57" s="16"/>
      <c r="V57" s="16"/>
      <c r="W57" s="16"/>
      <c r="X57" s="16"/>
    </row>
    <row r="58" spans="1:24" ht="17.5" customHeight="1" x14ac:dyDescent="0.35">
      <c r="A58" s="16"/>
      <c r="B58" s="155"/>
      <c r="C58" s="16"/>
      <c r="D58" s="16"/>
      <c r="E58" s="16"/>
      <c r="F58" s="16"/>
      <c r="G58" s="16"/>
      <c r="H58" s="16"/>
      <c r="I58" s="16"/>
      <c r="J58" s="23"/>
      <c r="K58" s="417" t="s">
        <v>64</v>
      </c>
      <c r="L58" s="418">
        <f>22%</f>
        <v>0.22</v>
      </c>
      <c r="M58" s="419" t="s">
        <v>161</v>
      </c>
      <c r="N58" s="449">
        <f>N42*(1+L58)^-N24 + O42*(1+L58)^-O24 + P42*(1+L58)^-P24 + Q42*(1+L58)^-Q24 + R42*(1+L58)^-R24 + S42*(1+L58)^-S24 + T42*(1+L58)^-T24 + U42*(1+L58)^-U24 + V42*(1+L58)^-V24</f>
        <v>12298.468158975069</v>
      </c>
      <c r="O58" s="387"/>
      <c r="P58" s="157"/>
      <c r="Q58" s="408" t="s">
        <v>65</v>
      </c>
      <c r="R58" s="409" t="s">
        <v>66</v>
      </c>
      <c r="S58" s="412"/>
      <c r="T58" s="29"/>
      <c r="U58" s="16"/>
      <c r="V58" s="16"/>
      <c r="W58" s="16"/>
      <c r="X58" s="16"/>
    </row>
    <row r="59" spans="1:24" ht="17" customHeight="1" x14ac:dyDescent="0.35">
      <c r="A59" s="16"/>
      <c r="B59" s="16"/>
      <c r="C59" s="16"/>
      <c r="D59" s="16"/>
      <c r="E59" s="16"/>
      <c r="F59" s="16"/>
      <c r="G59" s="16"/>
      <c r="H59" s="16"/>
      <c r="I59" s="16"/>
      <c r="J59" s="23"/>
      <c r="K59" s="417" t="s">
        <v>67</v>
      </c>
      <c r="L59" s="418">
        <f>23%</f>
        <v>0.23</v>
      </c>
      <c r="M59" s="419" t="s">
        <v>162</v>
      </c>
      <c r="N59" s="449">
        <f>N42*(1+L59)^-N24 + O42*(1+L59)^-O24 + P42*(1+L59)^-P24 + Q42*(1+L59)^-Q24 + R42*(1+L59)^-R24 + S42*(1+L59)^-S24 + T42*(1+L59)^-T24 + U42*(1+L59)^-U24 + V42*(1+L59)^-V24</f>
        <v>-37476.183075086505</v>
      </c>
      <c r="O59" s="387"/>
      <c r="P59" s="157"/>
      <c r="Q59" s="410">
        <f>Q55</f>
        <v>6</v>
      </c>
      <c r="R59" s="411">
        <f>(S55/R56)*365</f>
        <v>151.58879545771543</v>
      </c>
      <c r="S59" s="413"/>
      <c r="T59" s="163"/>
      <c r="U59" s="16"/>
      <c r="V59" s="16"/>
      <c r="W59" s="16"/>
      <c r="X59" s="16"/>
    </row>
    <row r="60" spans="1:24" ht="17.5" customHeight="1" x14ac:dyDescent="0.35">
      <c r="A60" s="16"/>
      <c r="B60" s="19" t="s">
        <v>68</v>
      </c>
      <c r="C60" s="16"/>
      <c r="D60" s="16"/>
      <c r="E60" s="16"/>
      <c r="F60" s="16"/>
      <c r="G60" s="16"/>
      <c r="H60" s="16"/>
      <c r="I60" s="16"/>
      <c r="J60" s="23"/>
      <c r="K60" s="421"/>
      <c r="L60" s="450"/>
      <c r="M60" s="340"/>
      <c r="N60" s="340"/>
      <c r="O60" s="341"/>
      <c r="P60" s="164"/>
      <c r="Q60" s="45"/>
      <c r="R60" s="45"/>
      <c r="S60" s="155"/>
      <c r="T60" s="16"/>
      <c r="U60" s="16"/>
      <c r="V60" s="16"/>
      <c r="W60" s="16"/>
      <c r="X60" s="16"/>
    </row>
    <row r="61" spans="1:24" ht="17" customHeight="1" x14ac:dyDescent="0.35">
      <c r="A61" s="16"/>
      <c r="B61" s="16"/>
      <c r="C61" s="16"/>
      <c r="D61" s="16"/>
      <c r="E61" s="16"/>
      <c r="F61" s="16"/>
      <c r="G61" s="16"/>
      <c r="H61" s="16"/>
      <c r="I61" s="16"/>
      <c r="J61" s="23"/>
      <c r="K61" s="421" t="s">
        <v>163</v>
      </c>
      <c r="L61" s="450"/>
      <c r="M61" s="340"/>
      <c r="N61" s="422"/>
      <c r="O61" s="352"/>
      <c r="P61" s="72"/>
      <c r="Q61" s="16"/>
      <c r="R61" s="16"/>
      <c r="S61" s="16"/>
      <c r="T61" s="16"/>
      <c r="U61" s="16"/>
      <c r="V61" s="16"/>
      <c r="W61" s="16"/>
      <c r="X61" s="16"/>
    </row>
    <row r="62" spans="1:24" ht="17" customHeight="1" x14ac:dyDescent="0.35">
      <c r="A62" s="16"/>
      <c r="B62" s="500" t="s">
        <v>69</v>
      </c>
      <c r="C62" s="501"/>
      <c r="D62" s="501"/>
      <c r="E62" s="501"/>
      <c r="F62" s="501"/>
      <c r="G62" s="501"/>
      <c r="H62" s="501"/>
      <c r="I62" s="16"/>
      <c r="J62" s="23"/>
      <c r="K62" s="350"/>
      <c r="L62" s="368"/>
      <c r="M62" s="352"/>
      <c r="N62" s="423" t="s">
        <v>112</v>
      </c>
      <c r="O62" s="424">
        <f>L58+N58/(N58-N59)*(L59-L58)</f>
        <v>0.22247082959981829</v>
      </c>
      <c r="P62" s="136"/>
      <c r="Q62" s="16"/>
      <c r="R62" s="16"/>
      <c r="S62" s="16"/>
      <c r="T62" s="16"/>
      <c r="U62" s="16"/>
      <c r="V62" s="16"/>
      <c r="W62" s="16"/>
      <c r="X62" s="16"/>
    </row>
    <row r="63" spans="1:24" ht="17.5" customHeight="1" x14ac:dyDescent="0.35">
      <c r="A63" s="16"/>
      <c r="B63" s="500" t="s">
        <v>70</v>
      </c>
      <c r="C63" s="501"/>
      <c r="D63" s="501"/>
      <c r="E63" s="501"/>
      <c r="F63" s="501"/>
      <c r="G63" s="501"/>
      <c r="H63" s="501"/>
      <c r="I63" s="16"/>
      <c r="J63" s="16"/>
      <c r="K63" s="129"/>
      <c r="L63" s="129"/>
      <c r="M63" s="129"/>
      <c r="N63" s="150"/>
      <c r="O63" s="166"/>
      <c r="P63" s="29"/>
      <c r="Q63" s="16"/>
      <c r="R63" s="16"/>
      <c r="S63" s="16"/>
      <c r="T63" s="16"/>
      <c r="U63" s="16"/>
      <c r="V63" s="16"/>
      <c r="W63" s="16"/>
      <c r="X63" s="16"/>
    </row>
    <row r="64" spans="1:24" ht="17" customHeight="1" x14ac:dyDescent="0.35">
      <c r="A64" s="16"/>
      <c r="B64" s="500" t="s">
        <v>71</v>
      </c>
      <c r="C64" s="501"/>
      <c r="D64" s="501"/>
      <c r="E64" s="501"/>
      <c r="F64" s="501"/>
      <c r="G64" s="501"/>
      <c r="H64" s="501"/>
      <c r="I64" s="16"/>
      <c r="J64" s="16"/>
      <c r="K64" s="16"/>
      <c r="L64" s="16"/>
      <c r="M64" s="16"/>
      <c r="N64" s="16"/>
      <c r="O64" s="16"/>
      <c r="P64" s="16"/>
      <c r="Q64" s="16"/>
      <c r="R64" s="16"/>
      <c r="S64" s="16"/>
      <c r="T64" s="16"/>
      <c r="U64" s="16"/>
      <c r="V64" s="16"/>
      <c r="W64" s="16"/>
      <c r="X64" s="16"/>
    </row>
    <row r="65" spans="1:24" ht="17" customHeight="1" x14ac:dyDescent="0.35">
      <c r="A65" s="16"/>
      <c r="B65" s="500" t="s">
        <v>72</v>
      </c>
      <c r="C65" s="501"/>
      <c r="D65" s="501"/>
      <c r="E65" s="501"/>
      <c r="F65" s="501"/>
      <c r="G65" s="501"/>
      <c r="H65" s="501"/>
      <c r="I65" s="16"/>
      <c r="J65" s="16"/>
      <c r="K65" s="20" t="s">
        <v>145</v>
      </c>
      <c r="L65" s="43"/>
      <c r="M65" s="43"/>
      <c r="N65" s="43"/>
      <c r="O65" s="43"/>
      <c r="P65" s="43"/>
      <c r="Q65" s="43"/>
      <c r="R65" s="43"/>
      <c r="S65" s="43"/>
      <c r="T65" s="43"/>
      <c r="U65" s="43"/>
      <c r="V65" s="21"/>
      <c r="W65" s="21"/>
      <c r="X65" s="16"/>
    </row>
    <row r="66" spans="1:24" ht="16" customHeight="1" x14ac:dyDescent="0.35">
      <c r="A66" s="16"/>
      <c r="B66" s="504" t="s">
        <v>74</v>
      </c>
      <c r="C66" s="505"/>
      <c r="D66" s="505"/>
      <c r="E66" s="505"/>
      <c r="F66" s="505"/>
      <c r="G66" s="505"/>
      <c r="H66" s="505"/>
      <c r="I66" s="16"/>
      <c r="J66" s="23"/>
      <c r="K66" s="425" t="s">
        <v>75</v>
      </c>
      <c r="L66" s="416"/>
      <c r="M66" s="426">
        <f>10%</f>
        <v>0.1</v>
      </c>
      <c r="N66" s="398"/>
      <c r="O66" s="398"/>
      <c r="P66" s="398"/>
      <c r="Q66" s="398"/>
      <c r="R66" s="398"/>
      <c r="S66" s="398"/>
      <c r="T66" s="398"/>
      <c r="U66" s="398"/>
      <c r="V66" s="398"/>
      <c r="W66" s="374"/>
      <c r="X66" s="24"/>
    </row>
    <row r="67" spans="1:24" ht="17" customHeight="1" x14ac:dyDescent="0.35">
      <c r="A67" s="16"/>
      <c r="B67" s="505"/>
      <c r="C67" s="505"/>
      <c r="D67" s="505"/>
      <c r="E67" s="505"/>
      <c r="F67" s="505"/>
      <c r="G67" s="505"/>
      <c r="H67" s="505"/>
      <c r="I67" s="16"/>
      <c r="J67" s="23"/>
      <c r="K67" s="427" t="s">
        <v>76</v>
      </c>
      <c r="L67" s="428"/>
      <c r="M67" s="429">
        <f>11%</f>
        <v>0.11</v>
      </c>
      <c r="N67" s="340"/>
      <c r="O67" s="340"/>
      <c r="P67" s="340"/>
      <c r="Q67" s="340"/>
      <c r="R67" s="340"/>
      <c r="S67" s="340"/>
      <c r="T67" s="340"/>
      <c r="U67" s="340"/>
      <c r="V67" s="340"/>
      <c r="W67" s="341"/>
      <c r="X67" s="24"/>
    </row>
    <row r="68" spans="1:24" ht="17" customHeight="1" x14ac:dyDescent="0.35">
      <c r="A68" s="16"/>
      <c r="B68" s="500" t="s">
        <v>77</v>
      </c>
      <c r="C68" s="501"/>
      <c r="D68" s="501"/>
      <c r="E68" s="501"/>
      <c r="F68" s="501"/>
      <c r="G68" s="501"/>
      <c r="H68" s="501"/>
      <c r="I68" s="16"/>
      <c r="J68" s="23"/>
      <c r="K68" s="430"/>
      <c r="L68" s="428"/>
      <c r="M68" s="431"/>
      <c r="N68" s="340"/>
      <c r="O68" s="340"/>
      <c r="P68" s="340"/>
      <c r="Q68" s="340"/>
      <c r="R68" s="340"/>
      <c r="S68" s="340"/>
      <c r="T68" s="340"/>
      <c r="U68" s="340"/>
      <c r="V68" s="432"/>
      <c r="W68" s="433"/>
      <c r="X68" s="24"/>
    </row>
    <row r="69" spans="1:24" ht="17" customHeight="1" x14ac:dyDescent="0.35">
      <c r="A69" s="16"/>
      <c r="B69" s="500" t="s">
        <v>78</v>
      </c>
      <c r="C69" s="501"/>
      <c r="D69" s="501"/>
      <c r="E69" s="501"/>
      <c r="F69" s="501"/>
      <c r="G69" s="501"/>
      <c r="H69" s="501"/>
      <c r="I69" s="16"/>
      <c r="J69" s="23"/>
      <c r="K69" s="339"/>
      <c r="L69" s="428"/>
      <c r="M69" s="453">
        <v>0</v>
      </c>
      <c r="N69" s="453">
        <v>1</v>
      </c>
      <c r="O69" s="453">
        <v>2</v>
      </c>
      <c r="P69" s="453">
        <v>3</v>
      </c>
      <c r="Q69" s="453">
        <v>4</v>
      </c>
      <c r="R69" s="453">
        <v>5</v>
      </c>
      <c r="S69" s="453">
        <v>6</v>
      </c>
      <c r="T69" s="453">
        <v>7</v>
      </c>
      <c r="U69" s="453">
        <v>8</v>
      </c>
      <c r="V69" s="434"/>
      <c r="W69" s="435"/>
      <c r="X69" s="24"/>
    </row>
    <row r="70" spans="1:24" ht="17" customHeight="1" x14ac:dyDescent="0.35">
      <c r="A70" s="16"/>
      <c r="B70" s="500" t="s">
        <v>79</v>
      </c>
      <c r="C70" s="501"/>
      <c r="D70" s="501"/>
      <c r="E70" s="501"/>
      <c r="F70" s="501"/>
      <c r="G70" s="501"/>
      <c r="H70" s="501"/>
      <c r="I70" s="16"/>
      <c r="J70" s="23"/>
      <c r="K70" s="339"/>
      <c r="L70" s="428" t="s">
        <v>167</v>
      </c>
      <c r="M70" s="340"/>
      <c r="N70" s="364">
        <f>O42</f>
        <v>259500</v>
      </c>
      <c r="O70" s="364">
        <f t="shared" ref="O70:U70" si="10">P42</f>
        <v>259500</v>
      </c>
      <c r="P70" s="364">
        <f t="shared" si="10"/>
        <v>259500</v>
      </c>
      <c r="Q70" s="364">
        <f t="shared" si="10"/>
        <v>229500</v>
      </c>
      <c r="R70" s="364">
        <f t="shared" si="10"/>
        <v>408000</v>
      </c>
      <c r="S70" s="364">
        <f t="shared" si="10"/>
        <v>408000</v>
      </c>
      <c r="T70" s="364">
        <f t="shared" si="10"/>
        <v>408000</v>
      </c>
      <c r="U70" s="364">
        <f t="shared" si="10"/>
        <v>1618657.2219544917</v>
      </c>
      <c r="V70" s="364"/>
      <c r="W70" s="387"/>
      <c r="X70" s="24"/>
    </row>
    <row r="71" spans="1:24" ht="17" customHeight="1" x14ac:dyDescent="0.35">
      <c r="A71" s="16"/>
      <c r="B71" s="16"/>
      <c r="C71" s="16"/>
      <c r="D71" s="16"/>
      <c r="E71" s="16"/>
      <c r="F71" s="16"/>
      <c r="G71" s="16"/>
      <c r="H71" s="16"/>
      <c r="I71" s="16"/>
      <c r="J71" s="23"/>
      <c r="K71" s="430"/>
      <c r="L71" s="365" t="s">
        <v>83</v>
      </c>
      <c r="M71" s="365">
        <f>N42</f>
        <v>-1327200</v>
      </c>
      <c r="N71" s="420"/>
      <c r="O71" s="420"/>
      <c r="P71" s="420"/>
      <c r="Q71" s="420"/>
      <c r="R71" s="428"/>
      <c r="S71" s="428"/>
      <c r="T71" s="428"/>
      <c r="U71" s="340"/>
      <c r="V71" s="340"/>
      <c r="W71" s="341"/>
      <c r="X71" s="24"/>
    </row>
    <row r="72" spans="1:24" ht="17" customHeight="1" x14ac:dyDescent="0.35">
      <c r="A72" s="16"/>
      <c r="B72" s="155"/>
      <c r="C72" s="16"/>
      <c r="D72" s="16"/>
      <c r="E72" s="16"/>
      <c r="F72" s="16"/>
      <c r="G72" s="16"/>
      <c r="H72" s="16"/>
      <c r="I72" s="16"/>
      <c r="J72" s="23"/>
      <c r="K72" s="430"/>
      <c r="L72" s="365" t="s">
        <v>168</v>
      </c>
      <c r="M72" s="453"/>
      <c r="N72" s="452">
        <f>(1+$M$66)^(8-N69)</f>
        <v>1.9487171000000012</v>
      </c>
      <c r="O72" s="452">
        <f t="shared" ref="O72:U72" si="11">(1+$M$66)^(8-O69)</f>
        <v>1.7715610000000008</v>
      </c>
      <c r="P72" s="452">
        <f t="shared" si="11"/>
        <v>1.6105100000000006</v>
      </c>
      <c r="Q72" s="452">
        <f t="shared" si="11"/>
        <v>1.4641000000000004</v>
      </c>
      <c r="R72" s="452">
        <f t="shared" si="11"/>
        <v>1.3310000000000004</v>
      </c>
      <c r="S72" s="452">
        <f t="shared" si="11"/>
        <v>1.2100000000000002</v>
      </c>
      <c r="T72" s="452">
        <f t="shared" si="11"/>
        <v>1.1000000000000001</v>
      </c>
      <c r="U72" s="452">
        <f t="shared" si="11"/>
        <v>1</v>
      </c>
      <c r="V72" s="340"/>
      <c r="W72" s="341"/>
      <c r="X72" s="24"/>
    </row>
    <row r="73" spans="1:24" ht="17" customHeight="1" x14ac:dyDescent="0.35">
      <c r="A73" s="16"/>
      <c r="B73" s="16"/>
      <c r="C73" s="16"/>
      <c r="D73" s="16"/>
      <c r="E73" s="16"/>
      <c r="F73" s="16"/>
      <c r="G73" s="16"/>
      <c r="H73" s="16"/>
      <c r="I73" s="16"/>
      <c r="J73" s="23"/>
      <c r="K73" s="339"/>
      <c r="L73" s="340"/>
      <c r="M73" s="340"/>
      <c r="N73" s="454"/>
      <c r="O73" s="340"/>
      <c r="P73" s="340"/>
      <c r="Q73" s="340"/>
      <c r="R73" s="340"/>
      <c r="S73" s="340"/>
      <c r="T73" s="340"/>
      <c r="U73" s="340"/>
      <c r="V73" s="340"/>
      <c r="W73" s="341"/>
      <c r="X73" s="24"/>
    </row>
    <row r="74" spans="1:24" ht="17" customHeight="1" x14ac:dyDescent="0.35">
      <c r="A74" s="16"/>
      <c r="B74" s="29"/>
      <c r="C74" s="16"/>
      <c r="D74" s="16"/>
      <c r="E74" s="16"/>
      <c r="F74" s="16"/>
      <c r="G74" s="16"/>
      <c r="H74" s="16"/>
      <c r="I74" s="16"/>
      <c r="J74" s="23"/>
      <c r="K74" s="339" t="s">
        <v>170</v>
      </c>
      <c r="L74" s="455">
        <f>SUMPRODUCT(N70:U70,N72:U72)</f>
        <v>4823535.6839044923</v>
      </c>
      <c r="M74" s="436"/>
      <c r="N74" s="340"/>
      <c r="O74" s="340"/>
      <c r="P74" s="340"/>
      <c r="Q74" s="340"/>
      <c r="R74" s="340"/>
      <c r="S74" s="340"/>
      <c r="T74" s="340"/>
      <c r="U74" s="340"/>
      <c r="V74" s="351"/>
      <c r="W74" s="352"/>
      <c r="X74" s="24"/>
    </row>
    <row r="75" spans="1:24" ht="17" customHeight="1" x14ac:dyDescent="0.35">
      <c r="A75" s="16"/>
      <c r="B75" s="177"/>
      <c r="C75" s="177"/>
      <c r="D75" s="177"/>
      <c r="E75" s="177"/>
      <c r="F75" s="177"/>
      <c r="G75" s="177"/>
      <c r="H75" s="177"/>
      <c r="I75" s="16"/>
      <c r="J75" s="23"/>
      <c r="K75" s="350" t="s">
        <v>169</v>
      </c>
      <c r="L75" s="368">
        <f>ABS(M71)</f>
        <v>1327200</v>
      </c>
      <c r="M75" s="351"/>
      <c r="N75" s="351"/>
      <c r="O75" s="351"/>
      <c r="P75" s="351"/>
      <c r="Q75" s="351"/>
      <c r="R75" s="351"/>
      <c r="S75" s="351"/>
      <c r="T75" s="351"/>
      <c r="U75" s="352"/>
      <c r="V75" s="437" t="s">
        <v>80</v>
      </c>
      <c r="W75" s="424">
        <f>(L74/L75)^(1/8)-1</f>
        <v>0.17504267719593214</v>
      </c>
      <c r="X75" s="136"/>
    </row>
    <row r="76" spans="1:24" ht="17.5" customHeight="1" x14ac:dyDescent="0.35">
      <c r="A76" s="16"/>
      <c r="B76" s="177"/>
      <c r="C76" s="177"/>
      <c r="D76" s="177"/>
      <c r="E76" s="177"/>
      <c r="F76" s="177"/>
      <c r="G76" s="177"/>
      <c r="H76" s="177"/>
      <c r="I76" s="16"/>
      <c r="J76" s="16"/>
      <c r="K76" s="45"/>
      <c r="L76" s="45"/>
      <c r="M76" s="45"/>
      <c r="N76" s="45"/>
      <c r="O76" s="45"/>
      <c r="P76" s="45"/>
      <c r="Q76" s="45"/>
      <c r="R76" s="45"/>
      <c r="S76" s="45"/>
      <c r="T76" s="45"/>
      <c r="U76" s="45"/>
      <c r="V76" s="45"/>
      <c r="W76" s="166"/>
      <c r="X76" s="16"/>
    </row>
    <row r="77" spans="1:24" ht="14.5" customHeigh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row>
    <row r="78" spans="1:24" ht="17" customHeight="1" x14ac:dyDescent="0.35">
      <c r="A78" s="16"/>
      <c r="B78" s="179"/>
      <c r="C78" s="179"/>
      <c r="D78" s="179"/>
      <c r="E78" s="179"/>
      <c r="F78" s="179"/>
      <c r="G78" s="179"/>
      <c r="H78" s="179"/>
      <c r="I78" s="16"/>
      <c r="J78" s="16"/>
      <c r="K78" s="130" t="s">
        <v>81</v>
      </c>
      <c r="L78" s="148"/>
      <c r="M78" s="149"/>
      <c r="N78" s="149"/>
      <c r="O78" s="43"/>
      <c r="P78" s="21"/>
      <c r="Q78" s="21"/>
      <c r="R78" s="16"/>
      <c r="S78" s="16"/>
      <c r="T78" s="16"/>
      <c r="U78" s="16"/>
      <c r="V78" s="16"/>
      <c r="W78" s="16"/>
      <c r="X78" s="16"/>
    </row>
    <row r="79" spans="1:24" ht="17.5" customHeight="1" x14ac:dyDescent="0.35">
      <c r="A79" s="16"/>
      <c r="B79" s="179"/>
      <c r="C79" s="179"/>
      <c r="D79" s="179"/>
      <c r="E79" s="179"/>
      <c r="F79" s="179"/>
      <c r="G79" s="179"/>
      <c r="H79" s="179"/>
      <c r="I79" s="16"/>
      <c r="J79" s="23"/>
      <c r="K79" s="491" t="s">
        <v>171</v>
      </c>
      <c r="L79" s="492"/>
      <c r="M79" s="492"/>
      <c r="N79" s="492"/>
      <c r="O79" s="492"/>
      <c r="P79" s="492"/>
      <c r="Q79" s="493"/>
      <c r="R79" s="24"/>
      <c r="S79" s="16"/>
      <c r="T79" s="16"/>
      <c r="U79" s="16"/>
      <c r="V79" s="16"/>
      <c r="W79" s="16"/>
      <c r="X79" s="16"/>
    </row>
    <row r="80" spans="1:24" ht="16" customHeight="1" x14ac:dyDescent="0.35">
      <c r="A80" s="16"/>
      <c r="B80" s="179"/>
      <c r="C80" s="179"/>
      <c r="D80" s="179"/>
      <c r="E80" s="179"/>
      <c r="F80" s="179"/>
      <c r="G80" s="179"/>
      <c r="H80" s="179"/>
      <c r="I80" s="16"/>
      <c r="J80" s="23"/>
      <c r="K80" s="494"/>
      <c r="L80" s="495"/>
      <c r="M80" s="495"/>
      <c r="N80" s="495"/>
      <c r="O80" s="495"/>
      <c r="P80" s="495"/>
      <c r="Q80" s="496"/>
      <c r="R80" s="24"/>
      <c r="S80" s="16"/>
      <c r="T80" s="16"/>
      <c r="U80" s="16"/>
      <c r="V80" s="16"/>
      <c r="W80" s="16"/>
      <c r="X80" s="16"/>
    </row>
    <row r="81" spans="1:24" ht="14" customHeight="1" x14ac:dyDescent="0.35">
      <c r="A81" s="16"/>
      <c r="B81" s="179"/>
      <c r="C81" s="179"/>
      <c r="D81" s="179"/>
      <c r="E81" s="179"/>
      <c r="F81" s="179"/>
      <c r="G81" s="179"/>
      <c r="H81" s="179"/>
      <c r="I81" s="16"/>
      <c r="J81" s="23"/>
      <c r="K81" s="494"/>
      <c r="L81" s="495"/>
      <c r="M81" s="495"/>
      <c r="N81" s="495"/>
      <c r="O81" s="495"/>
      <c r="P81" s="495"/>
      <c r="Q81" s="496"/>
      <c r="R81" s="24"/>
      <c r="S81" s="16"/>
      <c r="T81" s="16"/>
      <c r="U81" s="16"/>
      <c r="V81" s="16"/>
      <c r="W81" s="16"/>
      <c r="X81" s="16"/>
    </row>
    <row r="82" spans="1:24" ht="15" customHeight="1" x14ac:dyDescent="0.35">
      <c r="A82" s="16"/>
      <c r="B82" s="179"/>
      <c r="C82" s="179"/>
      <c r="D82" s="179"/>
      <c r="E82" s="179"/>
      <c r="F82" s="179"/>
      <c r="G82" s="179"/>
      <c r="H82" s="179"/>
      <c r="I82" s="16"/>
      <c r="J82" s="23"/>
      <c r="K82" s="497"/>
      <c r="L82" s="498"/>
      <c r="M82" s="498"/>
      <c r="N82" s="498"/>
      <c r="O82" s="498"/>
      <c r="P82" s="498"/>
      <c r="Q82" s="499"/>
      <c r="R82" s="24"/>
      <c r="S82" s="16"/>
      <c r="T82" s="16"/>
      <c r="U82" s="16"/>
      <c r="V82" s="16"/>
      <c r="W82" s="16"/>
      <c r="X82" s="16"/>
    </row>
    <row r="83" spans="1:24" ht="17.5" customHeight="1" x14ac:dyDescent="0.35">
      <c r="A83" s="16"/>
      <c r="B83" s="179"/>
      <c r="C83" s="179"/>
      <c r="D83" s="179"/>
      <c r="E83" s="179"/>
      <c r="F83" s="179"/>
      <c r="G83" s="179"/>
      <c r="H83" s="179"/>
      <c r="I83" s="16"/>
      <c r="J83" s="16"/>
      <c r="K83" s="140"/>
      <c r="L83" s="140"/>
      <c r="M83" s="129"/>
      <c r="N83" s="150"/>
      <c r="O83" s="129"/>
      <c r="P83" s="84"/>
      <c r="Q83" s="45"/>
      <c r="R83" s="16"/>
      <c r="S83" s="16"/>
      <c r="T83" s="16"/>
      <c r="U83" s="16"/>
      <c r="V83" s="16"/>
      <c r="W83" s="16"/>
      <c r="X83" s="16"/>
    </row>
    <row r="84" spans="1:24" ht="17" customHeight="1" x14ac:dyDescent="0.35">
      <c r="A84" s="16"/>
      <c r="B84" s="16"/>
      <c r="C84" s="16"/>
      <c r="D84" s="16"/>
      <c r="E84" s="16"/>
      <c r="F84" s="16"/>
      <c r="G84" s="16"/>
      <c r="H84" s="16"/>
      <c r="I84" s="16"/>
      <c r="J84" s="16"/>
      <c r="K84" s="29"/>
      <c r="L84" s="29"/>
      <c r="M84" s="29"/>
      <c r="N84" s="31"/>
      <c r="O84" s="180"/>
      <c r="P84" s="163"/>
      <c r="Q84" s="16"/>
      <c r="R84" s="16"/>
      <c r="S84" s="16"/>
      <c r="T84" s="16"/>
      <c r="U84" s="16"/>
      <c r="V84" s="16"/>
      <c r="W84" s="16"/>
      <c r="X84" s="16"/>
    </row>
    <row r="85" spans="1:24" ht="17" customHeight="1" x14ac:dyDescent="0.35">
      <c r="A85" s="16"/>
      <c r="B85" s="16"/>
      <c r="C85" s="16"/>
      <c r="D85" s="16"/>
      <c r="E85" s="16"/>
      <c r="F85" s="16"/>
      <c r="G85" s="16"/>
      <c r="H85" s="16"/>
      <c r="I85" s="16"/>
      <c r="J85" s="16"/>
      <c r="K85" s="29"/>
      <c r="L85" s="29"/>
      <c r="M85" s="29"/>
      <c r="N85" s="35"/>
      <c r="O85" s="176"/>
      <c r="P85" s="29"/>
      <c r="Q85" s="16"/>
      <c r="R85" s="16"/>
      <c r="S85" s="16"/>
      <c r="T85" s="16"/>
      <c r="U85" s="16"/>
      <c r="V85" s="16"/>
      <c r="W85" s="16"/>
      <c r="X85" s="16"/>
    </row>
    <row r="86" spans="1:24" ht="17" customHeight="1" x14ac:dyDescent="0.3">
      <c r="A86" s="16"/>
      <c r="B86" s="181"/>
      <c r="C86" s="181"/>
      <c r="D86" s="181"/>
      <c r="E86" s="181"/>
      <c r="F86" s="181"/>
      <c r="G86" s="181"/>
      <c r="H86" s="181"/>
      <c r="I86" s="181"/>
      <c r="J86" s="16"/>
      <c r="K86" s="16"/>
      <c r="L86" s="16"/>
      <c r="M86" s="16"/>
      <c r="N86" s="16"/>
      <c r="O86" s="16"/>
      <c r="P86" s="16"/>
      <c r="Q86" s="16"/>
      <c r="R86" s="16"/>
      <c r="S86" s="16"/>
      <c r="T86" s="16"/>
      <c r="U86" s="16"/>
      <c r="V86" s="16"/>
      <c r="W86" s="16"/>
      <c r="X86" s="16"/>
    </row>
    <row r="87" spans="1:24" ht="17" customHeight="1" x14ac:dyDescent="0.3">
      <c r="A87" s="16"/>
      <c r="B87" s="181"/>
      <c r="C87" s="181"/>
      <c r="D87" s="181"/>
      <c r="E87" s="181"/>
      <c r="F87" s="181"/>
      <c r="G87" s="181"/>
      <c r="H87" s="181"/>
      <c r="I87" s="181"/>
      <c r="J87" s="16"/>
      <c r="K87" s="16"/>
      <c r="L87" s="16"/>
      <c r="M87" s="16"/>
      <c r="N87" s="16"/>
      <c r="O87" s="16"/>
      <c r="P87" s="16"/>
      <c r="Q87" s="16"/>
      <c r="R87" s="16"/>
      <c r="S87" s="16"/>
      <c r="T87" s="16"/>
      <c r="U87" s="16"/>
      <c r="V87" s="16"/>
      <c r="W87" s="16"/>
      <c r="X87" s="16"/>
    </row>
    <row r="88" spans="1:24" ht="17" customHeight="1"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29"/>
    </row>
    <row r="89" spans="1:24" ht="17" customHeight="1" x14ac:dyDescent="0.35">
      <c r="A89" s="16"/>
      <c r="B89" s="16"/>
      <c r="C89" s="16"/>
      <c r="D89" s="16"/>
      <c r="E89" s="16"/>
      <c r="F89" s="16"/>
      <c r="G89" s="16"/>
      <c r="H89" s="16"/>
      <c r="I89" s="16"/>
      <c r="J89" s="16"/>
      <c r="K89" s="16"/>
      <c r="L89" s="16"/>
      <c r="M89" s="16"/>
      <c r="N89" s="16"/>
      <c r="O89" s="16"/>
      <c r="P89" s="16"/>
      <c r="Q89" s="16"/>
      <c r="R89" s="16"/>
      <c r="S89" s="16"/>
      <c r="T89" s="16"/>
      <c r="U89" s="29"/>
      <c r="V89" s="16"/>
      <c r="W89" s="16"/>
      <c r="X89" s="16"/>
    </row>
    <row r="90" spans="1:24" ht="17" customHeight="1" x14ac:dyDescent="0.35">
      <c r="A90" s="16"/>
      <c r="B90" s="16"/>
      <c r="C90" s="16"/>
      <c r="D90" s="16"/>
      <c r="E90" s="16"/>
      <c r="F90" s="16"/>
      <c r="G90" s="16"/>
      <c r="H90" s="16"/>
      <c r="I90" s="16"/>
      <c r="J90" s="16"/>
      <c r="K90" s="16"/>
      <c r="L90" s="16"/>
      <c r="M90" s="16"/>
      <c r="N90" s="16"/>
      <c r="O90" s="16"/>
      <c r="P90" s="16"/>
      <c r="Q90" s="16"/>
      <c r="R90" s="16"/>
      <c r="S90" s="16"/>
      <c r="T90" s="16"/>
      <c r="U90" s="29"/>
      <c r="V90" s="16"/>
      <c r="W90" s="16"/>
      <c r="X90" s="16"/>
    </row>
    <row r="91" spans="1:24" ht="17" customHeight="1" x14ac:dyDescent="0.35">
      <c r="A91" s="16"/>
      <c r="B91" s="16"/>
      <c r="C91" s="16"/>
      <c r="D91" s="16"/>
      <c r="E91" s="16"/>
      <c r="F91" s="16"/>
      <c r="G91" s="16"/>
      <c r="H91" s="16"/>
      <c r="I91" s="16"/>
      <c r="J91" s="16"/>
      <c r="K91" s="16"/>
      <c r="L91" s="16"/>
      <c r="M91" s="16"/>
      <c r="N91" s="16"/>
      <c r="O91" s="16"/>
      <c r="P91" s="16"/>
      <c r="Q91" s="16"/>
      <c r="R91" s="16"/>
      <c r="S91" s="16"/>
      <c r="T91" s="16"/>
      <c r="U91" s="29"/>
      <c r="V91" s="16"/>
      <c r="W91" s="16"/>
      <c r="X91" s="16"/>
    </row>
    <row r="92" spans="1:24" ht="17" customHeight="1" x14ac:dyDescent="0.35">
      <c r="A92" s="16"/>
      <c r="B92" s="16"/>
      <c r="C92" s="16"/>
      <c r="D92" s="16"/>
      <c r="E92" s="16"/>
      <c r="F92" s="16"/>
      <c r="G92" s="16"/>
      <c r="H92" s="16"/>
      <c r="I92" s="16"/>
      <c r="J92" s="16"/>
      <c r="K92" s="16"/>
      <c r="L92" s="16"/>
      <c r="M92" s="16"/>
      <c r="N92" s="16"/>
      <c r="O92" s="16"/>
      <c r="P92" s="16"/>
      <c r="Q92" s="16"/>
      <c r="R92" s="16"/>
      <c r="S92" s="16"/>
      <c r="T92" s="16"/>
      <c r="U92" s="29"/>
      <c r="V92" s="16"/>
      <c r="W92" s="16"/>
      <c r="X92" s="16"/>
    </row>
    <row r="93" spans="1:24" ht="17" customHeight="1" x14ac:dyDescent="0.35">
      <c r="A93" s="16"/>
      <c r="B93" s="16"/>
      <c r="C93" s="16"/>
      <c r="D93" s="16"/>
      <c r="E93" s="16"/>
      <c r="F93" s="16"/>
      <c r="G93" s="16"/>
      <c r="H93" s="16"/>
      <c r="I93" s="16"/>
      <c r="J93" s="16"/>
      <c r="K93" s="16"/>
      <c r="L93" s="16"/>
      <c r="M93" s="16"/>
      <c r="N93" s="16"/>
      <c r="O93" s="16"/>
      <c r="P93" s="16"/>
      <c r="Q93" s="16"/>
      <c r="R93" s="16"/>
      <c r="S93" s="16"/>
      <c r="T93" s="16"/>
      <c r="U93" s="29"/>
      <c r="V93" s="16"/>
      <c r="W93" s="16"/>
      <c r="X93" s="16"/>
    </row>
    <row r="94" spans="1:24" ht="17" customHeight="1" x14ac:dyDescent="0.35">
      <c r="A94" s="16"/>
      <c r="B94" s="16"/>
      <c r="C94" s="16"/>
      <c r="D94" s="16"/>
      <c r="E94" s="16"/>
      <c r="F94" s="16"/>
      <c r="G94" s="16"/>
      <c r="H94" s="16"/>
      <c r="I94" s="16"/>
      <c r="J94" s="16"/>
      <c r="K94" s="16"/>
      <c r="L94" s="16"/>
      <c r="M94" s="16"/>
      <c r="N94" s="16"/>
      <c r="O94" s="16"/>
      <c r="P94" s="16"/>
      <c r="Q94" s="16"/>
      <c r="R94" s="16"/>
      <c r="S94" s="16"/>
      <c r="T94" s="16"/>
      <c r="U94" s="29"/>
      <c r="V94" s="16"/>
      <c r="W94" s="16"/>
      <c r="X94" s="16"/>
    </row>
  </sheetData>
  <sheetProtection sheet="1" objects="1" scenarios="1" formatCells="0"/>
  <mergeCells count="57">
    <mergeCell ref="K25:L25"/>
    <mergeCell ref="K24:L24"/>
    <mergeCell ref="K42:L42"/>
    <mergeCell ref="M54:N54"/>
    <mergeCell ref="K54:L54"/>
    <mergeCell ref="M49:N49"/>
    <mergeCell ref="K40:L40"/>
    <mergeCell ref="K39:L39"/>
    <mergeCell ref="K38:L38"/>
    <mergeCell ref="K37:L37"/>
    <mergeCell ref="K36:L36"/>
    <mergeCell ref="K41:L41"/>
    <mergeCell ref="E1:F1"/>
    <mergeCell ref="K47:L47"/>
    <mergeCell ref="K45:L45"/>
    <mergeCell ref="K44:L44"/>
    <mergeCell ref="K43:L43"/>
    <mergeCell ref="K34:L34"/>
    <mergeCell ref="G2:H2"/>
    <mergeCell ref="K32:L32"/>
    <mergeCell ref="B2:F2"/>
    <mergeCell ref="K29:M29"/>
    <mergeCell ref="K31:L31"/>
    <mergeCell ref="B20:H23"/>
    <mergeCell ref="B11:H16"/>
    <mergeCell ref="B3:H10"/>
    <mergeCell ref="B29:H33"/>
    <mergeCell ref="E35:F35"/>
    <mergeCell ref="B70:H70"/>
    <mergeCell ref="B45:H48"/>
    <mergeCell ref="M48:N48"/>
    <mergeCell ref="B69:H69"/>
    <mergeCell ref="K33:L33"/>
    <mergeCell ref="B68:H68"/>
    <mergeCell ref="B63:H63"/>
    <mergeCell ref="C36:D38"/>
    <mergeCell ref="E39:F39"/>
    <mergeCell ref="B65:H65"/>
    <mergeCell ref="B56:H56"/>
    <mergeCell ref="C35:D35"/>
    <mergeCell ref="K48:L48"/>
    <mergeCell ref="K79:Q82"/>
    <mergeCell ref="B64:H64"/>
    <mergeCell ref="K28:L28"/>
    <mergeCell ref="B17:H19"/>
    <mergeCell ref="E36:F38"/>
    <mergeCell ref="B49:H54"/>
    <mergeCell ref="B24:H28"/>
    <mergeCell ref="K35:L35"/>
    <mergeCell ref="M45:N45"/>
    <mergeCell ref="C39:D39"/>
    <mergeCell ref="K30:L30"/>
    <mergeCell ref="B66:H67"/>
    <mergeCell ref="K49:L49"/>
    <mergeCell ref="K26:L26"/>
    <mergeCell ref="B62:H62"/>
    <mergeCell ref="K27:L27"/>
  </mergeCells>
  <conditionalFormatting sqref="M26:M28">
    <cfRule type="cellIs" dxfId="2" priority="1" stopIfTrue="1" operator="lessThan">
      <formula>0</formula>
    </cfRule>
  </conditionalFormatting>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21"/>
  <sheetViews>
    <sheetView showGridLines="0" topLeftCell="AA2" workbookViewId="0">
      <selection activeCell="Z1" sqref="A1:Z1048576"/>
    </sheetView>
  </sheetViews>
  <sheetFormatPr baseColWidth="10" defaultColWidth="10.83203125" defaultRowHeight="16" customHeight="1" x14ac:dyDescent="0.3"/>
  <cols>
    <col min="1" max="26" width="10.83203125" style="182" hidden="1" customWidth="1"/>
    <col min="27" max="28" width="12.6640625" style="182" customWidth="1"/>
    <col min="29" max="256" width="10.83203125" style="182" customWidth="1"/>
  </cols>
  <sheetData>
    <row r="1" spans="1:28" ht="14.5" customHeight="1" x14ac:dyDescent="0.35">
      <c r="A1" s="12"/>
      <c r="B1" s="13" t="s">
        <v>22</v>
      </c>
      <c r="C1" s="183"/>
      <c r="D1" s="13" t="s">
        <v>23</v>
      </c>
      <c r="E1" s="184"/>
      <c r="F1" s="185"/>
      <c r="G1" s="13" t="s">
        <v>24</v>
      </c>
      <c r="H1" s="186"/>
      <c r="I1" s="14" t="s">
        <v>25</v>
      </c>
      <c r="J1" s="187"/>
      <c r="K1" s="15"/>
      <c r="L1" s="16"/>
      <c r="M1" s="16"/>
      <c r="N1" s="16"/>
      <c r="O1" s="16"/>
      <c r="P1" s="16"/>
      <c r="Q1" s="16"/>
      <c r="R1" s="16"/>
      <c r="S1" s="16"/>
      <c r="T1" s="16"/>
      <c r="U1" s="16"/>
      <c r="V1" s="16"/>
      <c r="W1" s="16"/>
      <c r="X1" s="16"/>
      <c r="Y1" s="16"/>
      <c r="Z1" s="16"/>
      <c r="AA1" s="16"/>
      <c r="AB1" s="16"/>
    </row>
    <row r="2" spans="1:28" ht="14.5" customHeight="1" x14ac:dyDescent="0.35">
      <c r="A2" s="16"/>
      <c r="B2" s="188" t="s">
        <v>26</v>
      </c>
      <c r="C2" s="17"/>
      <c r="D2" s="17"/>
      <c r="E2" s="17"/>
      <c r="F2" s="17"/>
      <c r="G2" s="188" t="s">
        <v>82</v>
      </c>
      <c r="H2" s="17"/>
      <c r="I2" s="17"/>
      <c r="J2" s="18"/>
      <c r="K2" s="19" t="s">
        <v>28</v>
      </c>
      <c r="L2" s="16"/>
      <c r="M2" s="16"/>
      <c r="N2" s="16"/>
      <c r="O2" s="16"/>
      <c r="P2" s="16"/>
      <c r="Q2" s="16"/>
      <c r="R2" s="16"/>
      <c r="S2" s="16"/>
      <c r="T2" s="16"/>
      <c r="U2" s="16"/>
      <c r="V2" s="16"/>
      <c r="W2" s="16"/>
      <c r="X2" s="16"/>
      <c r="Y2" s="16"/>
      <c r="Z2" s="16"/>
      <c r="AA2" s="16"/>
      <c r="AB2" s="16"/>
    </row>
    <row r="3" spans="1:28" ht="16" customHeight="1" x14ac:dyDescent="0.3">
      <c r="A3" s="16"/>
      <c r="B3" s="189" t="s">
        <v>29</v>
      </c>
      <c r="C3" s="177"/>
      <c r="D3" s="177"/>
      <c r="E3" s="177"/>
      <c r="F3" s="177"/>
      <c r="G3" s="177"/>
      <c r="H3" s="177"/>
      <c r="I3" s="16"/>
      <c r="J3" s="16"/>
      <c r="K3" s="21"/>
      <c r="L3" s="21"/>
      <c r="M3" s="21"/>
      <c r="N3" s="21"/>
      <c r="O3" s="21"/>
      <c r="P3" s="21"/>
      <c r="Q3" s="21"/>
      <c r="R3" s="16"/>
      <c r="S3" s="16"/>
      <c r="T3" s="16"/>
      <c r="U3" s="16"/>
      <c r="V3" s="16"/>
      <c r="W3" s="16"/>
      <c r="X3" s="16"/>
      <c r="Y3" s="16"/>
      <c r="Z3" s="16"/>
      <c r="AA3" s="16"/>
      <c r="AB3" s="16"/>
    </row>
    <row r="4" spans="1:28" ht="14" customHeight="1" x14ac:dyDescent="0.35">
      <c r="A4" s="16"/>
      <c r="B4" s="177"/>
      <c r="C4" s="177"/>
      <c r="D4" s="177"/>
      <c r="E4" s="177"/>
      <c r="F4" s="177"/>
      <c r="G4" s="177"/>
      <c r="H4" s="177"/>
      <c r="I4" s="16"/>
      <c r="J4" s="23"/>
      <c r="K4" s="190" t="s">
        <v>30</v>
      </c>
      <c r="L4" s="78"/>
      <c r="M4" s="78"/>
      <c r="N4" s="78"/>
      <c r="O4" s="78"/>
      <c r="P4" s="78"/>
      <c r="Q4" s="79"/>
      <c r="R4" s="24"/>
      <c r="S4" s="16"/>
      <c r="T4" s="16"/>
      <c r="U4" s="16"/>
      <c r="V4" s="16"/>
      <c r="W4" s="16"/>
      <c r="X4" s="16"/>
      <c r="Y4" s="16"/>
      <c r="Z4" s="16"/>
      <c r="AA4" s="16"/>
      <c r="AB4" s="16"/>
    </row>
    <row r="5" spans="1:28" ht="14" customHeight="1" x14ac:dyDescent="0.35">
      <c r="A5" s="16"/>
      <c r="B5" s="177"/>
      <c r="C5" s="177"/>
      <c r="D5" s="177"/>
      <c r="E5" s="177"/>
      <c r="F5" s="177"/>
      <c r="G5" s="177"/>
      <c r="H5" s="177"/>
      <c r="I5" s="16"/>
      <c r="J5" s="23"/>
      <c r="K5" s="128"/>
      <c r="L5" s="191" t="s">
        <v>83</v>
      </c>
      <c r="M5" s="129"/>
      <c r="N5" s="129"/>
      <c r="O5" s="129"/>
      <c r="P5" s="191" t="s">
        <v>84</v>
      </c>
      <c r="Q5" s="192" t="s">
        <v>85</v>
      </c>
      <c r="R5" s="24"/>
      <c r="S5" s="16"/>
      <c r="T5" s="16"/>
      <c r="U5" s="16"/>
      <c r="V5" s="16"/>
      <c r="W5" s="16"/>
      <c r="X5" s="16"/>
      <c r="Y5" s="31"/>
      <c r="Z5" s="31"/>
      <c r="AA5" s="155"/>
      <c r="AB5" s="155"/>
    </row>
    <row r="6" spans="1:28" ht="14" customHeight="1" x14ac:dyDescent="0.35">
      <c r="A6" s="16"/>
      <c r="B6" s="177"/>
      <c r="C6" s="177"/>
      <c r="D6" s="177"/>
      <c r="E6" s="177"/>
      <c r="F6" s="177"/>
      <c r="G6" s="177"/>
      <c r="H6" s="177"/>
      <c r="I6" s="16"/>
      <c r="J6" s="23"/>
      <c r="K6" s="136" t="s">
        <v>86</v>
      </c>
      <c r="L6" s="22">
        <f>Feuil5!L6</f>
        <v>954000</v>
      </c>
      <c r="M6" s="29"/>
      <c r="N6" s="29"/>
      <c r="O6" s="163" t="s">
        <v>37</v>
      </c>
      <c r="P6" s="22">
        <f>Feuil5!P6</f>
        <v>294000</v>
      </c>
      <c r="Q6" s="193">
        <f>Feuil5!Q6</f>
        <v>0.35</v>
      </c>
      <c r="R6" s="24"/>
      <c r="S6" s="16"/>
      <c r="T6" s="16"/>
      <c r="U6" s="16"/>
      <c r="V6" s="16"/>
      <c r="W6" s="16"/>
      <c r="X6" s="16"/>
      <c r="Y6" s="59"/>
      <c r="Z6" s="59"/>
      <c r="AA6" s="194"/>
      <c r="AB6" s="194"/>
    </row>
    <row r="7" spans="1:28" ht="14" customHeight="1" x14ac:dyDescent="0.35">
      <c r="A7" s="16"/>
      <c r="B7" s="177"/>
      <c r="C7" s="177"/>
      <c r="D7" s="177"/>
      <c r="E7" s="177"/>
      <c r="F7" s="177"/>
      <c r="G7" s="177"/>
      <c r="H7" s="177"/>
      <c r="I7" s="16"/>
      <c r="J7" s="23"/>
      <c r="K7" s="136" t="s">
        <v>87</v>
      </c>
      <c r="L7" s="22">
        <f>Feuil5!L7</f>
        <v>4550</v>
      </c>
      <c r="M7" s="29"/>
      <c r="N7" s="29"/>
      <c r="O7" s="163" t="s">
        <v>38</v>
      </c>
      <c r="P7" s="22">
        <f>Feuil5!P7</f>
        <v>546000</v>
      </c>
      <c r="Q7" s="193">
        <f>Feuil5!Q7</f>
        <v>0.65</v>
      </c>
      <c r="R7" s="24"/>
      <c r="S7" s="16"/>
      <c r="T7" s="16"/>
      <c r="U7" s="16"/>
      <c r="V7" s="16"/>
      <c r="W7" s="16"/>
      <c r="X7" s="16"/>
      <c r="Y7" s="67"/>
      <c r="Z7" s="67"/>
      <c r="AA7" s="22"/>
      <c r="AB7" s="22"/>
    </row>
    <row r="8" spans="1:28" ht="14" customHeight="1" x14ac:dyDescent="0.35">
      <c r="A8" s="16"/>
      <c r="B8" s="177"/>
      <c r="C8" s="177"/>
      <c r="D8" s="177"/>
      <c r="E8" s="177"/>
      <c r="F8" s="177"/>
      <c r="G8" s="177"/>
      <c r="H8" s="177"/>
      <c r="I8" s="16"/>
      <c r="J8" s="23"/>
      <c r="K8" s="136" t="s">
        <v>88</v>
      </c>
      <c r="L8" s="22">
        <f>Feuil5!L8</f>
        <v>21450</v>
      </c>
      <c r="M8" s="29"/>
      <c r="N8" s="29"/>
      <c r="O8" s="195" t="s">
        <v>89</v>
      </c>
      <c r="P8" s="113">
        <f>Feuil5!P8</f>
        <v>840000</v>
      </c>
      <c r="Q8" s="98"/>
      <c r="R8" s="24"/>
      <c r="S8" s="16"/>
      <c r="T8" s="16"/>
      <c r="U8" s="16"/>
      <c r="V8" s="16"/>
      <c r="W8" s="16"/>
      <c r="X8" s="16"/>
      <c r="Y8" s="67"/>
      <c r="Z8" s="67"/>
      <c r="AA8" s="22"/>
      <c r="AB8" s="22"/>
    </row>
    <row r="9" spans="1:28" ht="17" customHeight="1" x14ac:dyDescent="0.35">
      <c r="A9" s="16"/>
      <c r="B9" s="177"/>
      <c r="C9" s="177"/>
      <c r="D9" s="177"/>
      <c r="E9" s="177"/>
      <c r="F9" s="177"/>
      <c r="G9" s="177"/>
      <c r="H9" s="177"/>
      <c r="I9" s="16"/>
      <c r="J9" s="23"/>
      <c r="K9" s="196" t="s">
        <v>89</v>
      </c>
      <c r="L9" s="113">
        <f>Feuil5!L9</f>
        <v>980000</v>
      </c>
      <c r="M9" s="29"/>
      <c r="N9" s="29"/>
      <c r="O9" s="29"/>
      <c r="P9" s="29"/>
      <c r="Q9" s="30"/>
      <c r="R9" s="24"/>
      <c r="S9" s="16"/>
      <c r="T9" s="16"/>
      <c r="U9" s="16"/>
      <c r="V9" s="16"/>
      <c r="W9" s="16"/>
      <c r="X9" s="16"/>
      <c r="Y9" s="67"/>
      <c r="Z9" s="67"/>
      <c r="AA9" s="22"/>
      <c r="AB9" s="22"/>
    </row>
    <row r="10" spans="1:28" ht="17" customHeight="1" x14ac:dyDescent="0.35">
      <c r="A10" s="16"/>
      <c r="B10" s="177"/>
      <c r="C10" s="177"/>
      <c r="D10" s="177"/>
      <c r="E10" s="177"/>
      <c r="F10" s="177"/>
      <c r="G10" s="177"/>
      <c r="H10" s="177"/>
      <c r="I10" s="16"/>
      <c r="J10" s="23"/>
      <c r="K10" s="28"/>
      <c r="L10" s="29"/>
      <c r="M10" s="29"/>
      <c r="N10" s="22"/>
      <c r="O10" s="22"/>
      <c r="P10" s="29"/>
      <c r="Q10" s="30"/>
      <c r="R10" s="24"/>
      <c r="S10" s="16"/>
      <c r="T10" s="16"/>
      <c r="U10" s="16"/>
      <c r="V10" s="16"/>
      <c r="W10" s="16"/>
      <c r="X10" s="16"/>
      <c r="Y10" s="67"/>
      <c r="Z10" s="67"/>
      <c r="AA10" s="22"/>
      <c r="AB10" s="22"/>
    </row>
    <row r="11" spans="1:28" ht="16" customHeight="1" x14ac:dyDescent="0.35">
      <c r="A11" s="16"/>
      <c r="B11" s="189" t="s">
        <v>31</v>
      </c>
      <c r="C11" s="177"/>
      <c r="D11" s="177"/>
      <c r="E11" s="177"/>
      <c r="F11" s="177"/>
      <c r="G11" s="177"/>
      <c r="H11" s="177"/>
      <c r="I11" s="16"/>
      <c r="J11" s="23"/>
      <c r="K11" s="28"/>
      <c r="L11" s="163" t="s">
        <v>34</v>
      </c>
      <c r="M11" s="29"/>
      <c r="N11" s="29"/>
      <c r="O11" s="29"/>
      <c r="P11" s="29"/>
      <c r="Q11" s="30"/>
      <c r="R11" s="24"/>
      <c r="S11" s="16"/>
      <c r="T11" s="16"/>
      <c r="U11" s="16"/>
      <c r="V11" s="16"/>
      <c r="W11" s="16"/>
      <c r="X11" s="16"/>
      <c r="Y11" s="22"/>
      <c r="Z11" s="22"/>
      <c r="AA11" s="22"/>
      <c r="AB11" s="22"/>
    </row>
    <row r="12" spans="1:28" ht="17" customHeight="1" x14ac:dyDescent="0.35">
      <c r="A12" s="16"/>
      <c r="B12" s="177"/>
      <c r="C12" s="177"/>
      <c r="D12" s="177"/>
      <c r="E12" s="177"/>
      <c r="F12" s="177"/>
      <c r="G12" s="177"/>
      <c r="H12" s="177"/>
      <c r="I12" s="16"/>
      <c r="J12" s="23"/>
      <c r="K12" s="169" t="s">
        <v>35</v>
      </c>
      <c r="L12" s="197">
        <f>Feuil5!L12</f>
        <v>25</v>
      </c>
      <c r="M12" s="22">
        <f>Feuil5!M12</f>
        <v>35000</v>
      </c>
      <c r="N12" s="29"/>
      <c r="O12" s="29"/>
      <c r="P12" s="29"/>
      <c r="Q12" s="30"/>
      <c r="R12" s="24"/>
      <c r="S12" s="16"/>
      <c r="T12" s="16"/>
      <c r="U12" s="16"/>
      <c r="V12" s="16"/>
      <c r="W12" s="16"/>
      <c r="X12" s="16"/>
      <c r="Y12" s="22"/>
      <c r="Z12" s="22"/>
      <c r="AA12" s="22"/>
      <c r="AB12" s="22"/>
    </row>
    <row r="13" spans="1:28" ht="17" customHeight="1" x14ac:dyDescent="0.35">
      <c r="A13" s="16"/>
      <c r="B13" s="177"/>
      <c r="C13" s="177"/>
      <c r="D13" s="177"/>
      <c r="E13" s="177"/>
      <c r="F13" s="177"/>
      <c r="G13" s="177"/>
      <c r="H13" s="177"/>
      <c r="I13" s="16"/>
      <c r="J13" s="23"/>
      <c r="K13" s="169" t="s">
        <v>37</v>
      </c>
      <c r="L13" s="22">
        <f>Feuil5!L13</f>
        <v>120000</v>
      </c>
      <c r="M13" s="29"/>
      <c r="N13" s="29"/>
      <c r="O13" s="29"/>
      <c r="P13" s="29"/>
      <c r="Q13" s="30"/>
      <c r="R13" s="24"/>
      <c r="S13" s="16"/>
      <c r="T13" s="16"/>
      <c r="U13" s="16"/>
      <c r="V13" s="16"/>
      <c r="W13" s="16"/>
      <c r="X13" s="16"/>
      <c r="Y13" s="22"/>
      <c r="Z13" s="22"/>
      <c r="AA13" s="22"/>
      <c r="AB13" s="22"/>
    </row>
    <row r="14" spans="1:28" ht="17" customHeight="1" x14ac:dyDescent="0.35">
      <c r="A14" s="16"/>
      <c r="B14" s="177"/>
      <c r="C14" s="177"/>
      <c r="D14" s="177"/>
      <c r="E14" s="177"/>
      <c r="F14" s="177"/>
      <c r="G14" s="177"/>
      <c r="H14" s="177"/>
      <c r="I14" s="16"/>
      <c r="J14" s="23"/>
      <c r="K14" s="169" t="s">
        <v>38</v>
      </c>
      <c r="L14" s="176">
        <f>Feuil5!L14</f>
        <v>0.03</v>
      </c>
      <c r="M14" s="29"/>
      <c r="N14" s="29"/>
      <c r="O14" s="29"/>
      <c r="P14" s="29"/>
      <c r="Q14" s="30"/>
      <c r="R14" s="24"/>
      <c r="S14" s="16"/>
      <c r="T14" s="16"/>
      <c r="U14" s="16"/>
      <c r="V14" s="16"/>
      <c r="W14" s="16"/>
      <c r="X14" s="16"/>
      <c r="Y14" s="22"/>
      <c r="Z14" s="22"/>
      <c r="AA14" s="22"/>
      <c r="AB14" s="22"/>
    </row>
    <row r="15" spans="1:28" ht="17" customHeight="1" x14ac:dyDescent="0.35">
      <c r="A15" s="16"/>
      <c r="B15" s="177"/>
      <c r="C15" s="177"/>
      <c r="D15" s="177"/>
      <c r="E15" s="177"/>
      <c r="F15" s="177"/>
      <c r="G15" s="177"/>
      <c r="H15" s="177"/>
      <c r="I15" s="16"/>
      <c r="J15" s="23"/>
      <c r="K15" s="28"/>
      <c r="L15" s="29"/>
      <c r="M15" s="29"/>
      <c r="N15" s="29"/>
      <c r="O15" s="163" t="s">
        <v>90</v>
      </c>
      <c r="P15" s="29"/>
      <c r="Q15" s="98">
        <f>Feuil5!Q15</f>
        <v>20000</v>
      </c>
      <c r="R15" s="24"/>
      <c r="S15" s="16"/>
      <c r="T15" s="16"/>
      <c r="U15" s="16"/>
      <c r="V15" s="16"/>
      <c r="W15" s="16"/>
      <c r="X15" s="16"/>
      <c r="Y15" s="22"/>
      <c r="Z15" s="22"/>
      <c r="AA15" s="22"/>
      <c r="AB15" s="22"/>
    </row>
    <row r="16" spans="1:28" ht="17" customHeight="1" x14ac:dyDescent="0.35">
      <c r="A16" s="16"/>
      <c r="B16" s="177"/>
      <c r="C16" s="177"/>
      <c r="D16" s="177"/>
      <c r="E16" s="177"/>
      <c r="F16" s="177"/>
      <c r="G16" s="177"/>
      <c r="H16" s="177"/>
      <c r="I16" s="16"/>
      <c r="J16" s="23"/>
      <c r="K16" s="28"/>
      <c r="L16" s="29"/>
      <c r="M16" s="29"/>
      <c r="N16" s="29"/>
      <c r="O16" s="29"/>
      <c r="P16" s="29"/>
      <c r="Q16" s="98">
        <f>Feuil5!Q16</f>
        <v>30000</v>
      </c>
      <c r="R16" s="24"/>
      <c r="S16" s="16"/>
      <c r="T16" s="16"/>
      <c r="U16" s="16"/>
      <c r="V16" s="16"/>
      <c r="W16" s="16"/>
      <c r="X16" s="16"/>
      <c r="Y16" s="22"/>
      <c r="Z16" s="22"/>
      <c r="AA16" s="22"/>
      <c r="AB16" s="22"/>
    </row>
    <row r="17" spans="1:28" ht="16" customHeight="1" x14ac:dyDescent="0.35">
      <c r="A17" s="16"/>
      <c r="B17" s="189" t="s">
        <v>91</v>
      </c>
      <c r="C17" s="177"/>
      <c r="D17" s="177"/>
      <c r="E17" s="177"/>
      <c r="F17" s="177"/>
      <c r="G17" s="177"/>
      <c r="H17" s="177"/>
      <c r="I17" s="16"/>
      <c r="J17" s="23"/>
      <c r="K17" s="28"/>
      <c r="L17" s="43"/>
      <c r="M17" s="43"/>
      <c r="N17" s="29"/>
      <c r="O17" s="29"/>
      <c r="P17" s="29"/>
      <c r="Q17" s="30"/>
      <c r="R17" s="24"/>
      <c r="S17" s="16"/>
      <c r="T17" s="16"/>
      <c r="U17" s="16"/>
      <c r="V17" s="16"/>
      <c r="W17" s="16"/>
      <c r="X17" s="16"/>
      <c r="Y17" s="67"/>
      <c r="Z17" s="67"/>
      <c r="AA17" s="22"/>
      <c r="AB17" s="22"/>
    </row>
    <row r="18" spans="1:28" ht="16" customHeight="1" x14ac:dyDescent="0.35">
      <c r="A18" s="16"/>
      <c r="B18" s="177"/>
      <c r="C18" s="177"/>
      <c r="D18" s="177"/>
      <c r="E18" s="177"/>
      <c r="F18" s="177"/>
      <c r="G18" s="177"/>
      <c r="H18" s="177"/>
      <c r="I18" s="16"/>
      <c r="J18" s="23"/>
      <c r="K18" s="25"/>
      <c r="L18" s="198" t="s">
        <v>33</v>
      </c>
      <c r="M18" s="199" t="s">
        <v>34</v>
      </c>
      <c r="N18" s="28"/>
      <c r="O18" s="29"/>
      <c r="P18" s="29"/>
      <c r="Q18" s="30"/>
      <c r="R18" s="24"/>
      <c r="S18" s="16"/>
      <c r="T18" s="16"/>
      <c r="U18" s="16"/>
      <c r="V18" s="16"/>
      <c r="W18" s="16"/>
      <c r="X18" s="16"/>
      <c r="Y18" s="67"/>
      <c r="Z18" s="67"/>
      <c r="AA18" s="22"/>
      <c r="AB18" s="22"/>
    </row>
    <row r="19" spans="1:28" ht="14" customHeight="1" x14ac:dyDescent="0.35">
      <c r="A19" s="16"/>
      <c r="B19" s="177"/>
      <c r="C19" s="177"/>
      <c r="D19" s="177"/>
      <c r="E19" s="177"/>
      <c r="F19" s="177"/>
      <c r="G19" s="177"/>
      <c r="H19" s="177"/>
      <c r="I19" s="16"/>
      <c r="J19" s="23"/>
      <c r="K19" s="200" t="s">
        <v>35</v>
      </c>
      <c r="L19" s="201">
        <f>Ennoncé!L19</f>
        <v>327000</v>
      </c>
      <c r="M19" s="202">
        <f>Ennoncé!M19</f>
        <v>233560</v>
      </c>
      <c r="N19" s="28"/>
      <c r="O19" s="29"/>
      <c r="P19" s="29"/>
      <c r="Q19" s="30"/>
      <c r="R19" s="24"/>
      <c r="S19" s="16"/>
      <c r="T19" s="16"/>
      <c r="U19" s="16"/>
      <c r="V19" s="16"/>
      <c r="W19" s="16"/>
      <c r="X19" s="16"/>
      <c r="Y19" s="67"/>
      <c r="Z19" s="67"/>
      <c r="AA19" s="22"/>
      <c r="AB19" s="22"/>
    </row>
    <row r="20" spans="1:28" ht="16" customHeight="1" x14ac:dyDescent="0.35">
      <c r="A20" s="16"/>
      <c r="B20" s="189" t="s">
        <v>36</v>
      </c>
      <c r="C20" s="177"/>
      <c r="D20" s="177"/>
      <c r="E20" s="177"/>
      <c r="F20" s="177"/>
      <c r="G20" s="177"/>
      <c r="H20" s="177"/>
      <c r="I20" s="16"/>
      <c r="J20" s="23"/>
      <c r="K20" s="203" t="s">
        <v>37</v>
      </c>
      <c r="L20" s="204">
        <f>Ennoncé!L20</f>
        <v>343070</v>
      </c>
      <c r="M20" s="205">
        <f>Ennoncé!M20</f>
        <v>120000</v>
      </c>
      <c r="N20" s="28"/>
      <c r="O20" s="29"/>
      <c r="P20" s="29"/>
      <c r="Q20" s="30"/>
      <c r="R20" s="24"/>
      <c r="S20" s="16"/>
      <c r="T20" s="16"/>
      <c r="U20" s="16"/>
      <c r="V20" s="16"/>
      <c r="W20" s="16"/>
      <c r="X20" s="16"/>
      <c r="Y20" s="67"/>
      <c r="Z20" s="67"/>
      <c r="AA20" s="22"/>
      <c r="AB20" s="22"/>
    </row>
    <row r="21" spans="1:28" ht="17" customHeight="1" x14ac:dyDescent="0.35">
      <c r="A21" s="16"/>
      <c r="B21" s="177"/>
      <c r="C21" s="177"/>
      <c r="D21" s="177"/>
      <c r="E21" s="177"/>
      <c r="F21" s="177"/>
      <c r="G21" s="177"/>
      <c r="H21" s="177"/>
      <c r="I21" s="16"/>
      <c r="J21" s="23"/>
      <c r="K21" s="206" t="s">
        <v>38</v>
      </c>
      <c r="L21" s="207">
        <f>Ennoncé!L21</f>
        <v>637130</v>
      </c>
      <c r="M21" s="208">
        <f>Ennoncé!M21</f>
        <v>807097.22195449169</v>
      </c>
      <c r="N21" s="42"/>
      <c r="O21" s="43"/>
      <c r="P21" s="43"/>
      <c r="Q21" s="44"/>
      <c r="R21" s="24"/>
      <c r="S21" s="16"/>
      <c r="T21" s="16"/>
      <c r="U21" s="16"/>
      <c r="V21" s="16"/>
      <c r="W21" s="16"/>
      <c r="X21" s="16"/>
      <c r="Y21" s="67"/>
      <c r="Z21" s="67"/>
      <c r="AA21" s="22"/>
      <c r="AB21" s="22"/>
    </row>
    <row r="22" spans="1:28" ht="17" customHeight="1" x14ac:dyDescent="0.35">
      <c r="A22" s="16"/>
      <c r="B22" s="177"/>
      <c r="C22" s="177"/>
      <c r="D22" s="177"/>
      <c r="E22" s="177"/>
      <c r="F22" s="177"/>
      <c r="G22" s="177"/>
      <c r="H22" s="177"/>
      <c r="I22" s="16"/>
      <c r="J22" s="16"/>
      <c r="K22" s="45"/>
      <c r="L22" s="45"/>
      <c r="M22" s="45"/>
      <c r="N22" s="45"/>
      <c r="O22" s="45"/>
      <c r="P22" s="45"/>
      <c r="Q22" s="45"/>
      <c r="R22" s="16"/>
      <c r="S22" s="16"/>
      <c r="T22" s="16"/>
      <c r="U22" s="16"/>
      <c r="V22" s="16"/>
      <c r="W22" s="16"/>
      <c r="X22" s="16"/>
      <c r="Y22" s="67"/>
      <c r="Z22" s="67"/>
      <c r="AA22" s="22"/>
      <c r="AB22" s="22"/>
    </row>
    <row r="23" spans="1:28" ht="17" customHeight="1" x14ac:dyDescent="0.35">
      <c r="A23" s="16"/>
      <c r="B23" s="177"/>
      <c r="C23" s="177"/>
      <c r="D23" s="177"/>
      <c r="E23" s="177"/>
      <c r="F23" s="177"/>
      <c r="G23" s="177"/>
      <c r="H23" s="177"/>
      <c r="I23" s="16"/>
      <c r="J23" s="16"/>
      <c r="K23" s="20" t="s">
        <v>39</v>
      </c>
      <c r="L23" s="46"/>
      <c r="M23" s="46"/>
      <c r="N23" s="43"/>
      <c r="O23" s="47">
        <v>8</v>
      </c>
      <c r="P23" s="43"/>
      <c r="Q23" s="43"/>
      <c r="R23" s="43"/>
      <c r="S23" s="43">
        <v>9</v>
      </c>
      <c r="T23" s="43"/>
      <c r="U23" s="43"/>
      <c r="V23" s="21"/>
      <c r="W23" s="16"/>
      <c r="X23" s="16"/>
      <c r="Y23" s="67"/>
      <c r="Z23" s="67"/>
      <c r="AA23" s="22"/>
      <c r="AB23" s="22"/>
    </row>
    <row r="24" spans="1:28" ht="16" customHeight="1" x14ac:dyDescent="0.35">
      <c r="A24" s="16"/>
      <c r="B24" s="189" t="s">
        <v>40</v>
      </c>
      <c r="C24" s="177"/>
      <c r="D24" s="177"/>
      <c r="E24" s="177"/>
      <c r="F24" s="177"/>
      <c r="G24" s="177"/>
      <c r="H24" s="177"/>
      <c r="I24" s="16"/>
      <c r="J24" s="23"/>
      <c r="K24" s="190" t="s">
        <v>41</v>
      </c>
      <c r="L24" s="209"/>
      <c r="M24" s="49" t="s">
        <v>42</v>
      </c>
      <c r="N24" s="50">
        <v>0</v>
      </c>
      <c r="O24" s="51">
        <v>1</v>
      </c>
      <c r="P24" s="51">
        <v>2</v>
      </c>
      <c r="Q24" s="51">
        <v>3</v>
      </c>
      <c r="R24" s="51">
        <v>4</v>
      </c>
      <c r="S24" s="51">
        <v>5</v>
      </c>
      <c r="T24" s="51">
        <v>6</v>
      </c>
      <c r="U24" s="51">
        <v>7</v>
      </c>
      <c r="V24" s="52">
        <v>8</v>
      </c>
      <c r="W24" s="53"/>
      <c r="X24" s="31"/>
      <c r="Y24" s="67"/>
      <c r="Z24" s="67"/>
      <c r="AA24" s="22"/>
      <c r="AB24" s="22"/>
    </row>
    <row r="25" spans="1:28" ht="14" customHeight="1" x14ac:dyDescent="0.35">
      <c r="A25" s="16"/>
      <c r="B25" s="177"/>
      <c r="C25" s="177"/>
      <c r="D25" s="177"/>
      <c r="E25" s="177"/>
      <c r="F25" s="177"/>
      <c r="G25" s="177"/>
      <c r="H25" s="177"/>
      <c r="I25" s="16"/>
      <c r="J25" s="23"/>
      <c r="K25" s="190" t="s">
        <v>43</v>
      </c>
      <c r="L25" s="209"/>
      <c r="M25" s="54"/>
      <c r="N25" s="55"/>
      <c r="O25" s="56">
        <f>Ennoncé!O25</f>
        <v>15300</v>
      </c>
      <c r="P25" s="210">
        <f>Ennoncé!P25</f>
        <v>15300</v>
      </c>
      <c r="Q25" s="211">
        <f>Ennoncé!Q25</f>
        <v>15300</v>
      </c>
      <c r="R25" s="212">
        <f>Ennoncé!R25</f>
        <v>15300</v>
      </c>
      <c r="S25" s="56">
        <f>Ennoncé!S25</f>
        <v>26000</v>
      </c>
      <c r="T25" s="210">
        <f>Ennoncé!T25</f>
        <v>26000</v>
      </c>
      <c r="U25" s="211">
        <f>Ennoncé!U25</f>
        <v>26000</v>
      </c>
      <c r="V25" s="213">
        <f>Ennoncé!V25</f>
        <v>26000</v>
      </c>
      <c r="W25" s="58"/>
      <c r="X25" s="59"/>
      <c r="Y25" s="67"/>
      <c r="Z25" s="67"/>
      <c r="AA25" s="22"/>
      <c r="AB25" s="22"/>
    </row>
    <row r="26" spans="1:28" ht="14" customHeight="1" x14ac:dyDescent="0.35">
      <c r="A26" s="16"/>
      <c r="B26" s="177"/>
      <c r="C26" s="177"/>
      <c r="D26" s="177"/>
      <c r="E26" s="177"/>
      <c r="F26" s="177"/>
      <c r="G26" s="177"/>
      <c r="H26" s="177"/>
      <c r="I26" s="16"/>
      <c r="J26" s="23"/>
      <c r="K26" s="167" t="s">
        <v>92</v>
      </c>
      <c r="L26" s="214"/>
      <c r="M26" s="62"/>
      <c r="N26" s="63"/>
      <c r="O26" s="64">
        <f>Ennoncé!O26</f>
        <v>382500</v>
      </c>
      <c r="P26" s="64">
        <f>Ennoncé!P26</f>
        <v>382500</v>
      </c>
      <c r="Q26" s="64">
        <f>Ennoncé!Q26</f>
        <v>382500</v>
      </c>
      <c r="R26" s="64">
        <f>Ennoncé!R26</f>
        <v>382500</v>
      </c>
      <c r="S26" s="64">
        <f>Ennoncé!S26</f>
        <v>650000</v>
      </c>
      <c r="T26" s="64">
        <f>Ennoncé!T26</f>
        <v>650000</v>
      </c>
      <c r="U26" s="64">
        <f>Ennoncé!U26</f>
        <v>650000</v>
      </c>
      <c r="V26" s="65">
        <f>Ennoncé!V26</f>
        <v>650000</v>
      </c>
      <c r="W26" s="66"/>
      <c r="X26" s="67"/>
      <c r="Y26" s="67"/>
      <c r="Z26" s="67"/>
      <c r="AA26" s="22"/>
      <c r="AB26" s="22"/>
    </row>
    <row r="27" spans="1:28" ht="14" customHeight="1" x14ac:dyDescent="0.35">
      <c r="A27" s="16"/>
      <c r="B27" s="177"/>
      <c r="C27" s="177"/>
      <c r="D27" s="177"/>
      <c r="E27" s="177"/>
      <c r="F27" s="177"/>
      <c r="G27" s="177"/>
      <c r="H27" s="177"/>
      <c r="I27" s="16"/>
      <c r="J27" s="23"/>
      <c r="K27" s="169" t="s">
        <v>93</v>
      </c>
      <c r="L27" s="215"/>
      <c r="M27" s="70"/>
      <c r="N27" s="66"/>
      <c r="O27" s="67">
        <f>Ennoncé!O27</f>
        <v>-123000</v>
      </c>
      <c r="P27" s="67">
        <f>Ennoncé!P27</f>
        <v>-123000</v>
      </c>
      <c r="Q27" s="67">
        <f>Ennoncé!Q27</f>
        <v>-123000</v>
      </c>
      <c r="R27" s="67">
        <f>Ennoncé!R27</f>
        <v>-123000</v>
      </c>
      <c r="S27" s="67">
        <f>Ennoncé!S27</f>
        <v>-242000</v>
      </c>
      <c r="T27" s="67">
        <f>Ennoncé!T27</f>
        <v>-242000</v>
      </c>
      <c r="U27" s="67">
        <f>Ennoncé!U27</f>
        <v>-242000</v>
      </c>
      <c r="V27" s="71">
        <f>Ennoncé!V27</f>
        <v>-242000</v>
      </c>
      <c r="W27" s="72"/>
      <c r="X27" s="22"/>
      <c r="Y27" s="67"/>
      <c r="Z27" s="67"/>
      <c r="AA27" s="22"/>
      <c r="AB27" s="22"/>
    </row>
    <row r="28" spans="1:28" ht="17" customHeight="1" x14ac:dyDescent="0.35">
      <c r="A28" s="16"/>
      <c r="B28" s="177"/>
      <c r="C28" s="177"/>
      <c r="D28" s="177"/>
      <c r="E28" s="177"/>
      <c r="F28" s="177"/>
      <c r="G28" s="177"/>
      <c r="H28" s="177"/>
      <c r="I28" s="16"/>
      <c r="J28" s="23"/>
      <c r="K28" s="134" t="s">
        <v>94</v>
      </c>
      <c r="L28" s="216"/>
      <c r="M28" s="74"/>
      <c r="N28" s="75"/>
      <c r="O28" s="217">
        <f>Ennoncé!O28</f>
        <v>0</v>
      </c>
      <c r="P28" s="217">
        <f>Ennoncé!P28</f>
        <v>0</v>
      </c>
      <c r="Q28" s="217">
        <f>Ennoncé!Q28</f>
        <v>0</v>
      </c>
      <c r="R28" s="217">
        <f>Ennoncé!R28</f>
        <v>0</v>
      </c>
      <c r="S28" s="217">
        <f>Ennoncé!S28</f>
        <v>0</v>
      </c>
      <c r="T28" s="217">
        <f>Ennoncé!T28</f>
        <v>0</v>
      </c>
      <c r="U28" s="217">
        <f>Ennoncé!U28</f>
        <v>0</v>
      </c>
      <c r="V28" s="218">
        <f>Ennoncé!V28</f>
        <v>0</v>
      </c>
      <c r="W28" s="72"/>
      <c r="X28" s="22"/>
      <c r="Y28" s="67"/>
      <c r="Z28" s="67"/>
      <c r="AA28" s="22"/>
      <c r="AB28" s="22"/>
    </row>
    <row r="29" spans="1:28" ht="16" customHeight="1" x14ac:dyDescent="0.35">
      <c r="A29" s="16"/>
      <c r="B29" s="189" t="s">
        <v>44</v>
      </c>
      <c r="C29" s="177"/>
      <c r="D29" s="177"/>
      <c r="E29" s="177"/>
      <c r="F29" s="177"/>
      <c r="G29" s="177"/>
      <c r="H29" s="177"/>
      <c r="I29" s="16"/>
      <c r="J29" s="23"/>
      <c r="K29" s="190" t="s">
        <v>45</v>
      </c>
      <c r="L29" s="219"/>
      <c r="M29" s="220"/>
      <c r="N29" s="80"/>
      <c r="O29" s="221">
        <f>Ennoncé!O29</f>
        <v>259500</v>
      </c>
      <c r="P29" s="221">
        <f>Ennoncé!P29</f>
        <v>259500</v>
      </c>
      <c r="Q29" s="221">
        <f>Ennoncé!Q29</f>
        <v>259500</v>
      </c>
      <c r="R29" s="221">
        <f>Ennoncé!R29</f>
        <v>259500</v>
      </c>
      <c r="S29" s="221">
        <f>Ennoncé!S29</f>
        <v>408000</v>
      </c>
      <c r="T29" s="221">
        <f>Ennoncé!T29</f>
        <v>408000</v>
      </c>
      <c r="U29" s="221">
        <f>Ennoncé!U29</f>
        <v>408000</v>
      </c>
      <c r="V29" s="222">
        <f>Ennoncé!V29</f>
        <v>408000</v>
      </c>
      <c r="W29" s="72"/>
      <c r="X29" s="22"/>
      <c r="Y29" s="67"/>
      <c r="Z29" s="67"/>
      <c r="AA29" s="22"/>
      <c r="AB29" s="22"/>
    </row>
    <row r="30" spans="1:28" ht="14" customHeight="1" x14ac:dyDescent="0.35">
      <c r="A30" s="16"/>
      <c r="B30" s="177"/>
      <c r="C30" s="177"/>
      <c r="D30" s="177"/>
      <c r="E30" s="177"/>
      <c r="F30" s="177"/>
      <c r="G30" s="177"/>
      <c r="H30" s="177"/>
      <c r="I30" s="16"/>
      <c r="J30" s="23"/>
      <c r="K30" s="167" t="s">
        <v>46</v>
      </c>
      <c r="L30" s="214"/>
      <c r="M30" s="83"/>
      <c r="N30" s="63"/>
      <c r="O30" s="84"/>
      <c r="P30" s="84"/>
      <c r="Q30" s="84"/>
      <c r="R30" s="84"/>
      <c r="S30" s="84"/>
      <c r="T30" s="84"/>
      <c r="U30" s="84"/>
      <c r="V30" s="85"/>
      <c r="W30" s="28"/>
      <c r="X30" s="29"/>
      <c r="Y30" s="67"/>
      <c r="Z30" s="67"/>
      <c r="AA30" s="22"/>
      <c r="AB30" s="22"/>
    </row>
    <row r="31" spans="1:28" ht="14" customHeight="1" x14ac:dyDescent="0.35">
      <c r="A31" s="16"/>
      <c r="B31" s="177"/>
      <c r="C31" s="177"/>
      <c r="D31" s="177"/>
      <c r="E31" s="177"/>
      <c r="F31" s="177"/>
      <c r="G31" s="177"/>
      <c r="H31" s="177"/>
      <c r="I31" s="16"/>
      <c r="J31" s="23"/>
      <c r="K31" s="169" t="s">
        <v>35</v>
      </c>
      <c r="L31" s="215"/>
      <c r="M31" s="86"/>
      <c r="N31" s="87">
        <f>Ennoncé!N31</f>
        <v>-327000</v>
      </c>
      <c r="O31" s="101">
        <f>Ennoncé!O31</f>
        <v>0</v>
      </c>
      <c r="P31" s="101">
        <f>Ennoncé!P31</f>
        <v>0</v>
      </c>
      <c r="Q31" s="101">
        <f>Ennoncé!Q31</f>
        <v>0</v>
      </c>
      <c r="R31" s="101">
        <f>Ennoncé!R31</f>
        <v>0</v>
      </c>
      <c r="S31" s="101">
        <f>Ennoncé!S31</f>
        <v>0</v>
      </c>
      <c r="T31" s="101">
        <f>Ennoncé!T31</f>
        <v>0</v>
      </c>
      <c r="U31" s="101">
        <f>Ennoncé!U31</f>
        <v>0</v>
      </c>
      <c r="V31" s="223">
        <f>Ennoncé!V31</f>
        <v>0</v>
      </c>
      <c r="W31" s="28"/>
      <c r="X31" s="29"/>
      <c r="Y31" s="67"/>
      <c r="Z31" s="67"/>
      <c r="AA31" s="22"/>
      <c r="AB31" s="22"/>
    </row>
    <row r="32" spans="1:28" ht="14" customHeight="1" x14ac:dyDescent="0.35">
      <c r="A32" s="16"/>
      <c r="B32" s="177"/>
      <c r="C32" s="177"/>
      <c r="D32" s="177"/>
      <c r="E32" s="177"/>
      <c r="F32" s="177"/>
      <c r="G32" s="177"/>
      <c r="H32" s="177"/>
      <c r="I32" s="16"/>
      <c r="J32" s="23"/>
      <c r="K32" s="169" t="s">
        <v>37</v>
      </c>
      <c r="L32" s="215"/>
      <c r="M32" s="86"/>
      <c r="N32" s="87">
        <f>Ennoncé!N32</f>
        <v>-343070</v>
      </c>
      <c r="O32" s="101">
        <f>Ennoncé!O32</f>
        <v>0</v>
      </c>
      <c r="P32" s="101">
        <f>Ennoncé!P32</f>
        <v>0</v>
      </c>
      <c r="Q32" s="101">
        <f>Ennoncé!Q32</f>
        <v>0</v>
      </c>
      <c r="R32" s="101">
        <f>Ennoncé!R32</f>
        <v>0</v>
      </c>
      <c r="S32" s="101">
        <f>Ennoncé!S32</f>
        <v>0</v>
      </c>
      <c r="T32" s="101">
        <f>Ennoncé!T32</f>
        <v>0</v>
      </c>
      <c r="U32" s="101">
        <f>Ennoncé!U32</f>
        <v>0</v>
      </c>
      <c r="V32" s="223">
        <f>Ennoncé!V32</f>
        <v>0</v>
      </c>
      <c r="W32" s="28"/>
      <c r="X32" s="29"/>
      <c r="Y32" s="67"/>
      <c r="Z32" s="67"/>
      <c r="AA32" s="22"/>
      <c r="AB32" s="22"/>
    </row>
    <row r="33" spans="1:28" ht="14" customHeight="1" x14ac:dyDescent="0.35">
      <c r="A33" s="16"/>
      <c r="B33" s="177"/>
      <c r="C33" s="177"/>
      <c r="D33" s="177"/>
      <c r="E33" s="177"/>
      <c r="F33" s="177"/>
      <c r="G33" s="177"/>
      <c r="H33" s="177"/>
      <c r="I33" s="16"/>
      <c r="J33" s="23"/>
      <c r="K33" s="169" t="s">
        <v>38</v>
      </c>
      <c r="L33" s="215"/>
      <c r="M33" s="86"/>
      <c r="N33" s="87">
        <f>Ennoncé!N33</f>
        <v>-637130</v>
      </c>
      <c r="O33" s="101">
        <f>Ennoncé!O33</f>
        <v>0</v>
      </c>
      <c r="P33" s="101">
        <f>Ennoncé!P33</f>
        <v>0</v>
      </c>
      <c r="Q33" s="101">
        <f>Ennoncé!Q33</f>
        <v>0</v>
      </c>
      <c r="R33" s="101">
        <f>Ennoncé!R33</f>
        <v>0</v>
      </c>
      <c r="S33" s="101">
        <f>Ennoncé!S33</f>
        <v>0</v>
      </c>
      <c r="T33" s="101">
        <f>Ennoncé!T33</f>
        <v>0</v>
      </c>
      <c r="U33" s="101">
        <f>Ennoncé!U33</f>
        <v>0</v>
      </c>
      <c r="V33" s="223">
        <f>Ennoncé!V33</f>
        <v>0</v>
      </c>
      <c r="W33" s="28"/>
      <c r="X33" s="29"/>
      <c r="Y33" s="67"/>
      <c r="Z33" s="67"/>
      <c r="AA33" s="22"/>
      <c r="AB33" s="22"/>
    </row>
    <row r="34" spans="1:28" ht="17" customHeight="1" x14ac:dyDescent="0.35">
      <c r="A34" s="16"/>
      <c r="B34" s="16"/>
      <c r="C34" s="21"/>
      <c r="D34" s="21"/>
      <c r="E34" s="21"/>
      <c r="F34" s="21"/>
      <c r="G34" s="16"/>
      <c r="H34" s="16"/>
      <c r="I34" s="16"/>
      <c r="J34" s="23"/>
      <c r="K34" s="169" t="s">
        <v>95</v>
      </c>
      <c r="L34" s="215"/>
      <c r="M34" s="86"/>
      <c r="N34" s="87">
        <f>Ennoncé!N34</f>
        <v>-20000</v>
      </c>
      <c r="O34" s="101">
        <f>Ennoncé!O34</f>
        <v>0</v>
      </c>
      <c r="P34" s="101">
        <f>Ennoncé!P34</f>
        <v>0</v>
      </c>
      <c r="Q34" s="101">
        <f>Ennoncé!Q34</f>
        <v>0</v>
      </c>
      <c r="R34" s="101">
        <f>Ennoncé!R34</f>
        <v>-30000</v>
      </c>
      <c r="S34" s="101">
        <f>Ennoncé!S34</f>
        <v>0</v>
      </c>
      <c r="T34" s="101">
        <f>Ennoncé!T34</f>
        <v>0</v>
      </c>
      <c r="U34" s="101">
        <f>Ennoncé!U34</f>
        <v>0</v>
      </c>
      <c r="V34" s="223">
        <f>Ennoncé!V34</f>
        <v>0</v>
      </c>
      <c r="W34" s="28"/>
      <c r="X34" s="29"/>
      <c r="Y34" s="67"/>
      <c r="Z34" s="67"/>
      <c r="AA34" s="22"/>
      <c r="AB34" s="22"/>
    </row>
    <row r="35" spans="1:28" ht="17" customHeight="1" x14ac:dyDescent="0.35">
      <c r="A35" s="16"/>
      <c r="B35" s="23"/>
      <c r="C35" s="224" t="s">
        <v>47</v>
      </c>
      <c r="D35" s="225"/>
      <c r="E35" s="224" t="s">
        <v>48</v>
      </c>
      <c r="F35" s="225"/>
      <c r="G35" s="24"/>
      <c r="H35" s="16"/>
      <c r="I35" s="16"/>
      <c r="J35" s="23"/>
      <c r="K35" s="226"/>
      <c r="L35" s="227"/>
      <c r="M35" s="88"/>
      <c r="N35" s="228">
        <f>Ennoncé!N35</f>
        <v>0</v>
      </c>
      <c r="O35" s="107">
        <f>Ennoncé!O35</f>
        <v>0</v>
      </c>
      <c r="P35" s="107">
        <f>Ennoncé!P35</f>
        <v>0</v>
      </c>
      <c r="Q35" s="107">
        <f>Ennoncé!Q35</f>
        <v>0</v>
      </c>
      <c r="R35" s="107">
        <f>Ennoncé!R35</f>
        <v>0</v>
      </c>
      <c r="S35" s="107">
        <f>Ennoncé!S35</f>
        <v>0</v>
      </c>
      <c r="T35" s="107">
        <f>Ennoncé!T35</f>
        <v>0</v>
      </c>
      <c r="U35" s="107">
        <f>Ennoncé!U35</f>
        <v>0</v>
      </c>
      <c r="V35" s="229">
        <f>Ennoncé!V35</f>
        <v>0</v>
      </c>
      <c r="W35" s="28"/>
      <c r="X35" s="29"/>
      <c r="Y35" s="126"/>
      <c r="Z35" s="126"/>
      <c r="AA35" s="113"/>
      <c r="AB35" s="113"/>
    </row>
    <row r="36" spans="1:28" ht="16" customHeight="1" x14ac:dyDescent="0.35">
      <c r="A36" s="16"/>
      <c r="B36" s="23"/>
      <c r="C36" s="230" t="s">
        <v>49</v>
      </c>
      <c r="D36" s="231" t="s">
        <v>96</v>
      </c>
      <c r="E36" s="230" t="s">
        <v>49</v>
      </c>
      <c r="F36" s="231" t="s">
        <v>96</v>
      </c>
      <c r="G36" s="24"/>
      <c r="H36" s="16"/>
      <c r="I36" s="16"/>
      <c r="J36" s="23"/>
      <c r="K36" s="232" t="s">
        <v>50</v>
      </c>
      <c r="L36" s="233"/>
      <c r="M36" s="93"/>
      <c r="N36" s="234">
        <f>Ennoncé!N36</f>
        <v>0</v>
      </c>
      <c r="O36" s="235">
        <f>Ennoncé!O36</f>
        <v>0</v>
      </c>
      <c r="P36" s="235">
        <f>Ennoncé!P36</f>
        <v>0</v>
      </c>
      <c r="Q36" s="235">
        <f>Ennoncé!Q36</f>
        <v>0</v>
      </c>
      <c r="R36" s="235">
        <f>Ennoncé!R36</f>
        <v>0</v>
      </c>
      <c r="S36" s="235">
        <f>Ennoncé!S36</f>
        <v>0</v>
      </c>
      <c r="T36" s="235">
        <f>Ennoncé!T36</f>
        <v>0</v>
      </c>
      <c r="U36" s="235">
        <f>Ennoncé!U36</f>
        <v>0</v>
      </c>
      <c r="V36" s="236">
        <f>Ennoncé!V36</f>
        <v>0</v>
      </c>
      <c r="W36" s="28"/>
      <c r="X36" s="29"/>
      <c r="Y36" s="237"/>
      <c r="Z36" s="237"/>
      <c r="AA36" s="120"/>
      <c r="AB36" s="120"/>
    </row>
    <row r="37" spans="1:28" ht="14" customHeight="1" x14ac:dyDescent="0.35">
      <c r="A37" s="16"/>
      <c r="B37" s="23"/>
      <c r="C37" s="238"/>
      <c r="D37" s="239"/>
      <c r="E37" s="238"/>
      <c r="F37" s="239"/>
      <c r="G37" s="24"/>
      <c r="H37" s="16"/>
      <c r="I37" s="16"/>
      <c r="J37" s="23"/>
      <c r="K37" s="169" t="s">
        <v>97</v>
      </c>
      <c r="L37" s="215"/>
      <c r="M37" s="97"/>
      <c r="N37" s="87">
        <f>Ennoncé!N37</f>
        <v>0</v>
      </c>
      <c r="O37" s="101">
        <f>Ennoncé!O37</f>
        <v>0</v>
      </c>
      <c r="P37" s="101">
        <f>Ennoncé!P37</f>
        <v>0</v>
      </c>
      <c r="Q37" s="101">
        <f>Ennoncé!Q37</f>
        <v>0</v>
      </c>
      <c r="R37" s="101">
        <f>Ennoncé!R37</f>
        <v>0</v>
      </c>
      <c r="S37" s="101">
        <f>Ennoncé!S37</f>
        <v>0</v>
      </c>
      <c r="T37" s="101">
        <f>Ennoncé!T37</f>
        <v>0</v>
      </c>
      <c r="U37" s="101">
        <f>Ennoncé!U37</f>
        <v>0</v>
      </c>
      <c r="V37" s="223">
        <f>Ennoncé!V37</f>
        <v>233560</v>
      </c>
      <c r="W37" s="28"/>
      <c r="X37" s="29"/>
      <c r="Y37" s="126"/>
      <c r="Z37" s="126"/>
      <c r="AA37" s="113"/>
      <c r="AB37" s="113"/>
    </row>
    <row r="38" spans="1:28" ht="14.5" customHeight="1" x14ac:dyDescent="0.35">
      <c r="A38" s="16"/>
      <c r="B38" s="23"/>
      <c r="C38" s="240"/>
      <c r="D38" s="241"/>
      <c r="E38" s="240"/>
      <c r="F38" s="241"/>
      <c r="G38" s="24"/>
      <c r="H38" s="16"/>
      <c r="I38" s="16"/>
      <c r="J38" s="23"/>
      <c r="K38" s="169" t="s">
        <v>98</v>
      </c>
      <c r="L38" s="215"/>
      <c r="M38" s="97"/>
      <c r="N38" s="87">
        <f>Ennoncé!N38</f>
        <v>0</v>
      </c>
      <c r="O38" s="101">
        <f>Ennoncé!O38</f>
        <v>0</v>
      </c>
      <c r="P38" s="101">
        <f>Ennoncé!P38</f>
        <v>0</v>
      </c>
      <c r="Q38" s="101">
        <f>Ennoncé!Q38</f>
        <v>0</v>
      </c>
      <c r="R38" s="101">
        <f>Ennoncé!R38</f>
        <v>0</v>
      </c>
      <c r="S38" s="101">
        <f>Ennoncé!S38</f>
        <v>0</v>
      </c>
      <c r="T38" s="101">
        <f>Ennoncé!T38</f>
        <v>0</v>
      </c>
      <c r="U38" s="101">
        <f>Ennoncé!U38</f>
        <v>0</v>
      </c>
      <c r="V38" s="223">
        <f>Ennoncé!V38</f>
        <v>120000</v>
      </c>
      <c r="W38" s="28"/>
      <c r="X38" s="29"/>
      <c r="Y38" s="16"/>
      <c r="Z38" s="16"/>
      <c r="AA38" s="16"/>
      <c r="AB38" s="16"/>
    </row>
    <row r="39" spans="1:28" ht="14.5" customHeight="1" x14ac:dyDescent="0.35">
      <c r="A39" s="16"/>
      <c r="B39" s="23"/>
      <c r="C39" s="242">
        <v>12000</v>
      </c>
      <c r="D39" s="243">
        <v>0.3</v>
      </c>
      <c r="E39" s="242">
        <v>18000</v>
      </c>
      <c r="F39" s="243">
        <v>0.1</v>
      </c>
      <c r="G39" s="24"/>
      <c r="H39" s="16"/>
      <c r="I39" s="16"/>
      <c r="J39" s="23"/>
      <c r="K39" s="169" t="s">
        <v>99</v>
      </c>
      <c r="L39" s="215"/>
      <c r="M39" s="97"/>
      <c r="N39" s="87">
        <f>Ennoncé!N39</f>
        <v>0</v>
      </c>
      <c r="O39" s="101">
        <f>Ennoncé!O39</f>
        <v>0</v>
      </c>
      <c r="P39" s="101">
        <f>Ennoncé!P39</f>
        <v>0</v>
      </c>
      <c r="Q39" s="101">
        <f>Ennoncé!Q39</f>
        <v>0</v>
      </c>
      <c r="R39" s="101">
        <f>Ennoncé!R39</f>
        <v>0</v>
      </c>
      <c r="S39" s="101">
        <f>Ennoncé!S39</f>
        <v>0</v>
      </c>
      <c r="T39" s="101">
        <f>Ennoncé!T39</f>
        <v>0</v>
      </c>
      <c r="U39" s="101">
        <f>Ennoncé!U39</f>
        <v>0</v>
      </c>
      <c r="V39" s="223">
        <f>Ennoncé!V39</f>
        <v>807097.22195449169</v>
      </c>
      <c r="W39" s="28"/>
      <c r="X39" s="29"/>
      <c r="Y39" s="16"/>
      <c r="Z39" s="16"/>
      <c r="AA39" s="16"/>
      <c r="AB39" s="16"/>
    </row>
    <row r="40" spans="1:28" ht="14.5" customHeight="1" x14ac:dyDescent="0.35">
      <c r="A40" s="16"/>
      <c r="B40" s="23"/>
      <c r="C40" s="244">
        <v>15000</v>
      </c>
      <c r="D40" s="245">
        <v>0.4</v>
      </c>
      <c r="E40" s="244">
        <v>23000</v>
      </c>
      <c r="F40" s="245">
        <v>0.35</v>
      </c>
      <c r="G40" s="24"/>
      <c r="H40" s="16"/>
      <c r="I40" s="16"/>
      <c r="J40" s="23"/>
      <c r="K40" s="169" t="s">
        <v>95</v>
      </c>
      <c r="L40" s="215"/>
      <c r="M40" s="97"/>
      <c r="N40" s="87">
        <f>Ennoncé!N40</f>
        <v>0</v>
      </c>
      <c r="O40" s="101">
        <f>Ennoncé!O40</f>
        <v>0</v>
      </c>
      <c r="P40" s="101">
        <f>Ennoncé!P40</f>
        <v>0</v>
      </c>
      <c r="Q40" s="101">
        <f>Ennoncé!Q40</f>
        <v>0</v>
      </c>
      <c r="R40" s="101">
        <f>Ennoncé!R40</f>
        <v>0</v>
      </c>
      <c r="S40" s="101">
        <f>Ennoncé!S40</f>
        <v>0</v>
      </c>
      <c r="T40" s="101">
        <f>Ennoncé!T40</f>
        <v>0</v>
      </c>
      <c r="U40" s="101">
        <f>Ennoncé!U40</f>
        <v>0</v>
      </c>
      <c r="V40" s="223">
        <f>Ennoncé!V40</f>
        <v>50000</v>
      </c>
      <c r="W40" s="28"/>
      <c r="X40" s="29"/>
      <c r="Y40" s="16"/>
      <c r="Z40" s="16"/>
      <c r="AA40" s="16"/>
      <c r="AB40" s="16"/>
    </row>
    <row r="41" spans="1:28" ht="14.5" customHeight="1" x14ac:dyDescent="0.35">
      <c r="A41" s="16"/>
      <c r="B41" s="23"/>
      <c r="C41" s="244">
        <v>18000</v>
      </c>
      <c r="D41" s="245">
        <v>0.2</v>
      </c>
      <c r="E41" s="244">
        <v>27000</v>
      </c>
      <c r="F41" s="245">
        <v>0.3</v>
      </c>
      <c r="G41" s="24"/>
      <c r="H41" s="16"/>
      <c r="I41" s="16"/>
      <c r="J41" s="23"/>
      <c r="K41" s="246"/>
      <c r="L41" s="247"/>
      <c r="M41" s="105"/>
      <c r="N41" s="228">
        <f>Ennoncé!N41</f>
        <v>0</v>
      </c>
      <c r="O41" s="107">
        <f>Ennoncé!O41</f>
        <v>0</v>
      </c>
      <c r="P41" s="107">
        <f>Ennoncé!P41</f>
        <v>0</v>
      </c>
      <c r="Q41" s="107">
        <f>Ennoncé!Q41</f>
        <v>0</v>
      </c>
      <c r="R41" s="107">
        <f>Ennoncé!R41</f>
        <v>0</v>
      </c>
      <c r="S41" s="107">
        <f>Ennoncé!S41</f>
        <v>0</v>
      </c>
      <c r="T41" s="107">
        <f>Ennoncé!T41</f>
        <v>0</v>
      </c>
      <c r="U41" s="107">
        <f>Ennoncé!U41</f>
        <v>0</v>
      </c>
      <c r="V41" s="229">
        <f>Ennoncé!V41</f>
        <v>0</v>
      </c>
      <c r="W41" s="28"/>
      <c r="X41" s="29"/>
      <c r="Y41" s="16"/>
      <c r="Z41" s="16"/>
      <c r="AA41" s="16"/>
      <c r="AB41" s="16"/>
    </row>
    <row r="42" spans="1:28" ht="14.5" customHeight="1" x14ac:dyDescent="0.35">
      <c r="A42" s="16"/>
      <c r="B42" s="23"/>
      <c r="C42" s="244">
        <v>21000</v>
      </c>
      <c r="D42" s="245">
        <v>0.1</v>
      </c>
      <c r="E42" s="244">
        <v>31000</v>
      </c>
      <c r="F42" s="245">
        <v>0.15</v>
      </c>
      <c r="G42" s="24"/>
      <c r="H42" s="16"/>
      <c r="I42" s="16"/>
      <c r="J42" s="23"/>
      <c r="K42" s="232" t="s">
        <v>51</v>
      </c>
      <c r="L42" s="233"/>
      <c r="M42" s="248">
        <v>10</v>
      </c>
      <c r="N42" s="109">
        <f>(SUM(L19:L21)+Q15)*-1</f>
        <v>-1327200</v>
      </c>
      <c r="O42" s="249">
        <f>SUM(O29:O41)</f>
        <v>259500</v>
      </c>
      <c r="P42" s="250">
        <f>SUM(P29:P41)</f>
        <v>259500</v>
      </c>
      <c r="Q42" s="251">
        <f>SUM(Q29:Q41)</f>
        <v>259500</v>
      </c>
      <c r="R42" s="110">
        <f>R29-Q16</f>
        <v>229500</v>
      </c>
      <c r="S42" s="249">
        <f>SUM(S29:S41)</f>
        <v>408000</v>
      </c>
      <c r="T42" s="250">
        <f>SUM(T29:T41)</f>
        <v>408000</v>
      </c>
      <c r="U42" s="251">
        <f>SUM(U29:U41)</f>
        <v>408000</v>
      </c>
      <c r="V42" s="111">
        <f>SUM(M19:M21)+Q15+Q16+V29</f>
        <v>1618657.2219544917</v>
      </c>
      <c r="W42" s="252">
        <v>12</v>
      </c>
      <c r="X42" s="113"/>
      <c r="Y42" s="16"/>
      <c r="Z42" s="16"/>
      <c r="AA42" s="16"/>
      <c r="AB42" s="16"/>
    </row>
    <row r="43" spans="1:28" ht="17" customHeight="1" x14ac:dyDescent="0.35">
      <c r="A43" s="16"/>
      <c r="B43" s="23"/>
      <c r="C43" s="42"/>
      <c r="D43" s="253"/>
      <c r="E43" s="254">
        <v>34000</v>
      </c>
      <c r="F43" s="255">
        <v>0.1</v>
      </c>
      <c r="G43" s="24"/>
      <c r="H43" s="16"/>
      <c r="I43" s="16"/>
      <c r="J43" s="23"/>
      <c r="K43" s="169" t="s">
        <v>52</v>
      </c>
      <c r="L43" s="215"/>
      <c r="M43" s="256">
        <f>Feuil5!M43</f>
        <v>0.11</v>
      </c>
      <c r="N43" s="116">
        <f t="shared" ref="N43:V43" si="0">(1+$M$43)^-N24</f>
        <v>1</v>
      </c>
      <c r="O43" s="117">
        <f t="shared" si="0"/>
        <v>0.9009009009009008</v>
      </c>
      <c r="P43" s="117">
        <f t="shared" si="0"/>
        <v>0.8116224332440547</v>
      </c>
      <c r="Q43" s="117">
        <f t="shared" si="0"/>
        <v>0.73119138130095018</v>
      </c>
      <c r="R43" s="117">
        <f t="shared" si="0"/>
        <v>0.65873097414500015</v>
      </c>
      <c r="S43" s="117">
        <f t="shared" si="0"/>
        <v>0.5934513280585586</v>
      </c>
      <c r="T43" s="117">
        <f t="shared" si="0"/>
        <v>0.53464083608879154</v>
      </c>
      <c r="U43" s="117">
        <f t="shared" si="0"/>
        <v>0.48165841089080319</v>
      </c>
      <c r="V43" s="118">
        <f t="shared" si="0"/>
        <v>0.43392649629802077</v>
      </c>
      <c r="W43" s="119"/>
      <c r="X43" s="120"/>
      <c r="Y43" s="16"/>
      <c r="Z43" s="16"/>
      <c r="AA43" s="16"/>
      <c r="AB43" s="16"/>
    </row>
    <row r="44" spans="1:28" ht="17" customHeight="1" x14ac:dyDescent="0.35">
      <c r="A44" s="16"/>
      <c r="B44" s="16"/>
      <c r="C44" s="45"/>
      <c r="D44" s="45"/>
      <c r="E44" s="45"/>
      <c r="F44" s="257"/>
      <c r="G44" s="16"/>
      <c r="H44" s="16"/>
      <c r="I44" s="16"/>
      <c r="J44" s="23"/>
      <c r="K44" s="134" t="s">
        <v>53</v>
      </c>
      <c r="L44" s="216"/>
      <c r="M44" s="121"/>
      <c r="N44" s="122">
        <f t="shared" ref="N44:V44" si="1">N42*N43</f>
        <v>-1327200</v>
      </c>
      <c r="O44" s="123">
        <f t="shared" si="1"/>
        <v>233783.78378378376</v>
      </c>
      <c r="P44" s="123">
        <f t="shared" si="1"/>
        <v>210616.02142683219</v>
      </c>
      <c r="Q44" s="123">
        <f t="shared" si="1"/>
        <v>189744.16344759657</v>
      </c>
      <c r="R44" s="123">
        <f t="shared" si="1"/>
        <v>151178.75856627754</v>
      </c>
      <c r="S44" s="123">
        <f t="shared" si="1"/>
        <v>242128.14184789191</v>
      </c>
      <c r="T44" s="123">
        <f t="shared" si="1"/>
        <v>218133.46112422695</v>
      </c>
      <c r="U44" s="123">
        <f t="shared" si="1"/>
        <v>196516.6316434477</v>
      </c>
      <c r="V44" s="124">
        <f t="shared" si="1"/>
        <v>702378.25703020033</v>
      </c>
      <c r="W44" s="125"/>
      <c r="X44" s="126"/>
      <c r="Y44" s="16"/>
      <c r="Z44" s="16"/>
      <c r="AA44" s="16"/>
      <c r="AB44" s="16"/>
    </row>
    <row r="45" spans="1:28" ht="16" customHeight="1" x14ac:dyDescent="0.35">
      <c r="A45" s="16"/>
      <c r="B45" s="189" t="s">
        <v>54</v>
      </c>
      <c r="C45" s="177"/>
      <c r="D45" s="177"/>
      <c r="E45" s="177"/>
      <c r="F45" s="177"/>
      <c r="G45" s="177"/>
      <c r="H45" s="177"/>
      <c r="I45" s="16"/>
      <c r="J45" s="23"/>
      <c r="K45" s="190" t="s">
        <v>55</v>
      </c>
      <c r="L45" s="220"/>
      <c r="M45" s="258">
        <f>NPV(M43,O42:V42)+N42</f>
        <v>817279.21887025703</v>
      </c>
      <c r="N45" s="259"/>
      <c r="O45" s="128"/>
      <c r="P45" s="129"/>
      <c r="Q45" s="129"/>
      <c r="R45" s="129">
        <v>11</v>
      </c>
      <c r="S45" s="129"/>
      <c r="T45" s="129"/>
      <c r="U45" s="129"/>
      <c r="V45" s="129"/>
      <c r="W45" s="29"/>
      <c r="X45" s="29"/>
      <c r="Y45" s="16"/>
      <c r="Z45" s="16"/>
      <c r="AA45" s="16"/>
      <c r="AB45" s="16"/>
    </row>
    <row r="46" spans="1:28" ht="14" customHeight="1" x14ac:dyDescent="0.35">
      <c r="A46" s="16"/>
      <c r="B46" s="177"/>
      <c r="C46" s="177"/>
      <c r="D46" s="177"/>
      <c r="E46" s="177"/>
      <c r="F46" s="177"/>
      <c r="G46" s="177"/>
      <c r="H46" s="177"/>
      <c r="I46" s="16"/>
      <c r="J46" s="16"/>
      <c r="K46" s="45"/>
      <c r="L46" s="45"/>
      <c r="M46" s="45"/>
      <c r="N46" s="260">
        <v>13</v>
      </c>
      <c r="O46" s="16"/>
      <c r="P46" s="16"/>
      <c r="Q46" s="16"/>
      <c r="R46" s="16"/>
      <c r="S46" s="16"/>
      <c r="T46" s="16"/>
      <c r="U46" s="29"/>
      <c r="V46" s="29"/>
      <c r="W46" s="29"/>
      <c r="X46" s="29"/>
      <c r="Y46" s="16"/>
      <c r="Z46" s="16"/>
      <c r="AA46" s="16"/>
      <c r="AB46" s="16"/>
    </row>
    <row r="47" spans="1:28" ht="14" customHeight="1" x14ac:dyDescent="0.35">
      <c r="A47" s="16"/>
      <c r="B47" s="177"/>
      <c r="C47" s="177"/>
      <c r="D47" s="177"/>
      <c r="E47" s="177"/>
      <c r="F47" s="177"/>
      <c r="G47" s="177"/>
      <c r="H47" s="177"/>
      <c r="I47" s="16"/>
      <c r="J47" s="16"/>
      <c r="K47" s="20" t="s">
        <v>39</v>
      </c>
      <c r="L47" s="46"/>
      <c r="M47" s="131"/>
      <c r="N47" s="131"/>
      <c r="O47" s="29"/>
      <c r="P47" s="16"/>
      <c r="Q47" s="20" t="s">
        <v>56</v>
      </c>
      <c r="R47" s="21"/>
      <c r="S47" s="21"/>
      <c r="T47" s="16"/>
      <c r="U47" s="29"/>
      <c r="V47" s="29"/>
      <c r="W47" s="29"/>
      <c r="X47" s="29"/>
      <c r="Y47" s="16"/>
      <c r="Z47" s="16"/>
      <c r="AA47" s="16"/>
      <c r="AB47" s="16"/>
    </row>
    <row r="48" spans="1:28" ht="14.5" customHeight="1" x14ac:dyDescent="0.35">
      <c r="A48" s="16"/>
      <c r="B48" s="177"/>
      <c r="C48" s="177"/>
      <c r="D48" s="177"/>
      <c r="E48" s="177"/>
      <c r="F48" s="177"/>
      <c r="G48" s="177"/>
      <c r="H48" s="177"/>
      <c r="I48" s="16"/>
      <c r="J48" s="23"/>
      <c r="K48" s="167" t="s">
        <v>100</v>
      </c>
      <c r="L48" s="261"/>
      <c r="M48" s="262">
        <f>PMT(M43,V24,-1)</f>
        <v>0.19432105421050014</v>
      </c>
      <c r="N48" s="263"/>
      <c r="O48" s="28"/>
      <c r="P48" s="23"/>
      <c r="Q48" s="133" t="s">
        <v>57</v>
      </c>
      <c r="R48" s="264" t="s">
        <v>101</v>
      </c>
      <c r="S48" s="265" t="s">
        <v>102</v>
      </c>
      <c r="T48" s="28"/>
      <c r="U48" s="29"/>
      <c r="V48" s="16"/>
      <c r="W48" s="16"/>
      <c r="X48" s="16"/>
      <c r="Y48" s="16"/>
      <c r="Z48" s="16"/>
      <c r="AA48" s="16"/>
      <c r="AB48" s="16"/>
    </row>
    <row r="49" spans="1:28" ht="16" customHeight="1" x14ac:dyDescent="0.35">
      <c r="A49" s="16"/>
      <c r="B49" s="189" t="s">
        <v>58</v>
      </c>
      <c r="C49" s="177"/>
      <c r="D49" s="177"/>
      <c r="E49" s="177"/>
      <c r="F49" s="177"/>
      <c r="G49" s="177"/>
      <c r="H49" s="177"/>
      <c r="I49" s="16"/>
      <c r="J49" s="23"/>
      <c r="K49" s="134" t="s">
        <v>59</v>
      </c>
      <c r="L49" s="216"/>
      <c r="M49" s="266">
        <f>Ennoncé!M45*M48</f>
        <v>158814.55939520241</v>
      </c>
      <c r="N49" s="267"/>
      <c r="O49" s="136" t="s">
        <v>103</v>
      </c>
      <c r="P49" s="23"/>
      <c r="Q49" s="137">
        <v>0</v>
      </c>
      <c r="R49" s="268">
        <f>M53</f>
        <v>-1346961.92922435</v>
      </c>
      <c r="S49" s="139">
        <f>R49</f>
        <v>-1346961.92922435</v>
      </c>
      <c r="T49" s="269">
        <v>17.100000000000001</v>
      </c>
      <c r="U49" s="29"/>
      <c r="V49" s="16"/>
      <c r="W49" s="16"/>
      <c r="X49" s="16"/>
      <c r="Y49" s="16"/>
      <c r="Z49" s="16"/>
      <c r="AA49" s="16"/>
      <c r="AB49" s="16"/>
    </row>
    <row r="50" spans="1:28" ht="14" customHeight="1" x14ac:dyDescent="0.35">
      <c r="A50" s="16"/>
      <c r="B50" s="177"/>
      <c r="C50" s="177"/>
      <c r="D50" s="177"/>
      <c r="E50" s="177"/>
      <c r="F50" s="177"/>
      <c r="G50" s="177"/>
      <c r="H50" s="177"/>
      <c r="I50" s="16"/>
      <c r="J50" s="16"/>
      <c r="K50" s="140"/>
      <c r="L50" s="141"/>
      <c r="M50" s="142"/>
      <c r="N50" s="142"/>
      <c r="O50" s="16"/>
      <c r="P50" s="23"/>
      <c r="Q50" s="137">
        <v>1</v>
      </c>
      <c r="R50" s="138">
        <f>O44</f>
        <v>233783.78378378376</v>
      </c>
      <c r="S50" s="270">
        <f t="shared" ref="S50:S57" si="2">S49+R50</f>
        <v>-1113178.1454405664</v>
      </c>
      <c r="T50" s="269">
        <v>17.2</v>
      </c>
      <c r="U50" s="16"/>
      <c r="V50" s="16"/>
      <c r="W50" s="16"/>
      <c r="X50" s="16"/>
      <c r="Y50" s="16"/>
      <c r="Z50" s="16"/>
      <c r="AA50" s="16"/>
      <c r="AB50" s="16"/>
    </row>
    <row r="51" spans="1:28" ht="14" customHeight="1" x14ac:dyDescent="0.35">
      <c r="A51" s="16"/>
      <c r="B51" s="177"/>
      <c r="C51" s="177"/>
      <c r="D51" s="177"/>
      <c r="E51" s="177"/>
      <c r="F51" s="177"/>
      <c r="G51" s="177"/>
      <c r="H51" s="177"/>
      <c r="I51" s="16"/>
      <c r="J51" s="16"/>
      <c r="K51" s="20" t="s">
        <v>60</v>
      </c>
      <c r="L51" s="46"/>
      <c r="M51" s="143"/>
      <c r="N51" s="143"/>
      <c r="O51" s="29"/>
      <c r="P51" s="23"/>
      <c r="Q51" s="137">
        <v>2</v>
      </c>
      <c r="R51" s="138">
        <f>P44</f>
        <v>210616.02142683219</v>
      </c>
      <c r="S51" s="139">
        <f t="shared" si="2"/>
        <v>-902562.12401373417</v>
      </c>
      <c r="T51" s="28"/>
      <c r="U51" s="16"/>
      <c r="V51" s="16"/>
      <c r="W51" s="16"/>
      <c r="X51" s="16"/>
      <c r="Y51" s="16"/>
      <c r="Z51" s="16"/>
      <c r="AA51" s="16"/>
      <c r="AB51" s="16"/>
    </row>
    <row r="52" spans="1:28" ht="14" customHeight="1" x14ac:dyDescent="0.35">
      <c r="A52" s="16"/>
      <c r="B52" s="177"/>
      <c r="C52" s="177"/>
      <c r="D52" s="177"/>
      <c r="E52" s="177"/>
      <c r="F52" s="177"/>
      <c r="G52" s="177"/>
      <c r="H52" s="177"/>
      <c r="I52" s="16"/>
      <c r="J52" s="23"/>
      <c r="K52" s="167" t="s">
        <v>104</v>
      </c>
      <c r="L52" s="129"/>
      <c r="M52" s="144">
        <f>M45</f>
        <v>817279.21887025703</v>
      </c>
      <c r="N52" s="145"/>
      <c r="O52" s="28"/>
      <c r="P52" s="23"/>
      <c r="Q52" s="137">
        <v>3</v>
      </c>
      <c r="R52" s="138">
        <f>Q44</f>
        <v>189744.16344759657</v>
      </c>
      <c r="S52" s="139">
        <f t="shared" si="2"/>
        <v>-712817.96056613757</v>
      </c>
      <c r="T52" s="28"/>
      <c r="U52" s="16"/>
      <c r="V52" s="16"/>
      <c r="W52" s="16"/>
      <c r="X52" s="16"/>
      <c r="Y52" s="16"/>
      <c r="Z52" s="16"/>
      <c r="AA52" s="16"/>
      <c r="AB52" s="16"/>
    </row>
    <row r="53" spans="1:28" ht="17" customHeight="1" x14ac:dyDescent="0.35">
      <c r="A53" s="16"/>
      <c r="B53" s="177"/>
      <c r="C53" s="177"/>
      <c r="D53" s="177"/>
      <c r="E53" s="177"/>
      <c r="F53" s="177"/>
      <c r="G53" s="177"/>
      <c r="H53" s="177"/>
      <c r="I53" s="16"/>
      <c r="J53" s="23"/>
      <c r="K53" s="134" t="s">
        <v>105</v>
      </c>
      <c r="L53" s="46"/>
      <c r="M53" s="143">
        <f>-(SUM(L19:L21)+Q15+(Q16*R43))</f>
        <v>-1346961.92922435</v>
      </c>
      <c r="N53" s="146"/>
      <c r="O53" s="28"/>
      <c r="P53" s="23"/>
      <c r="Q53" s="137">
        <v>4</v>
      </c>
      <c r="R53" s="138">
        <f>R29*R43</f>
        <v>170940.68779062753</v>
      </c>
      <c r="S53" s="139">
        <f t="shared" si="2"/>
        <v>-541877.27277551009</v>
      </c>
      <c r="T53" s="28"/>
      <c r="U53" s="16"/>
      <c r="V53" s="16"/>
      <c r="W53" s="16"/>
      <c r="X53" s="16"/>
      <c r="Y53" s="16"/>
      <c r="Z53" s="16"/>
      <c r="AA53" s="16"/>
      <c r="AB53" s="16"/>
    </row>
    <row r="54" spans="1:28" ht="17" customHeight="1" x14ac:dyDescent="0.35">
      <c r="A54" s="16"/>
      <c r="B54" s="177"/>
      <c r="C54" s="177"/>
      <c r="D54" s="177"/>
      <c r="E54" s="177"/>
      <c r="F54" s="177"/>
      <c r="G54" s="177"/>
      <c r="H54" s="177"/>
      <c r="I54" s="16"/>
      <c r="J54" s="23"/>
      <c r="K54" s="190" t="s">
        <v>61</v>
      </c>
      <c r="L54" s="209"/>
      <c r="M54" s="271">
        <f>(M45/(-N42+(Q16*R43))+1)</f>
        <v>1.6067574748314442</v>
      </c>
      <c r="N54" s="272"/>
      <c r="O54" s="136" t="s">
        <v>106</v>
      </c>
      <c r="P54" s="23"/>
      <c r="Q54" s="137">
        <v>5</v>
      </c>
      <c r="R54" s="138">
        <f>S44</f>
        <v>242128.14184789191</v>
      </c>
      <c r="S54" s="139">
        <f t="shared" si="2"/>
        <v>-299749.13092761819</v>
      </c>
      <c r="T54" s="28"/>
      <c r="U54" s="16"/>
      <c r="V54" s="16"/>
      <c r="W54" s="16"/>
      <c r="X54" s="16"/>
      <c r="Y54" s="16"/>
      <c r="Z54" s="16"/>
      <c r="AA54" s="16"/>
      <c r="AB54" s="16"/>
    </row>
    <row r="55" spans="1:28" ht="14.5" customHeight="1" x14ac:dyDescent="0.35">
      <c r="A55" s="16"/>
      <c r="B55" s="16"/>
      <c r="C55" s="16"/>
      <c r="D55" s="16"/>
      <c r="E55" s="16"/>
      <c r="F55" s="16"/>
      <c r="G55" s="16"/>
      <c r="H55" s="16"/>
      <c r="I55" s="16"/>
      <c r="J55" s="16"/>
      <c r="K55" s="45"/>
      <c r="L55" s="45"/>
      <c r="M55" s="45"/>
      <c r="N55" s="45"/>
      <c r="O55" s="16"/>
      <c r="P55" s="23"/>
      <c r="Q55" s="137">
        <v>6</v>
      </c>
      <c r="R55" s="138">
        <f>T29</f>
        <v>408000</v>
      </c>
      <c r="S55" s="139">
        <f t="shared" si="2"/>
        <v>108250.86907238181</v>
      </c>
      <c r="T55" s="28"/>
      <c r="U55" s="16"/>
      <c r="V55" s="16"/>
      <c r="W55" s="16"/>
      <c r="X55" s="16"/>
      <c r="Y55" s="16"/>
      <c r="Z55" s="16"/>
      <c r="AA55" s="16"/>
      <c r="AB55" s="16"/>
    </row>
    <row r="56" spans="1:28" ht="17" customHeight="1" x14ac:dyDescent="0.35">
      <c r="A56" s="16"/>
      <c r="B56" s="273" t="s">
        <v>62</v>
      </c>
      <c r="C56" s="274"/>
      <c r="D56" s="274"/>
      <c r="E56" s="274"/>
      <c r="F56" s="274"/>
      <c r="G56" s="274"/>
      <c r="H56" s="274"/>
      <c r="I56" s="16"/>
      <c r="J56" s="16"/>
      <c r="K56" s="130" t="s">
        <v>63</v>
      </c>
      <c r="L56" s="148"/>
      <c r="M56" s="149"/>
      <c r="N56" s="149"/>
      <c r="O56" s="43"/>
      <c r="P56" s="23"/>
      <c r="Q56" s="137">
        <v>7</v>
      </c>
      <c r="R56" s="138">
        <f>U44</f>
        <v>196516.6316434477</v>
      </c>
      <c r="S56" s="139">
        <f t="shared" si="2"/>
        <v>304767.50071582955</v>
      </c>
      <c r="T56" s="28"/>
      <c r="U56" s="16"/>
      <c r="V56" s="16"/>
      <c r="W56" s="16"/>
      <c r="X56" s="16"/>
      <c r="Y56" s="16"/>
      <c r="Z56" s="16"/>
      <c r="AA56" s="16"/>
      <c r="AB56" s="16"/>
    </row>
    <row r="57" spans="1:28" ht="17" customHeight="1" x14ac:dyDescent="0.35">
      <c r="A57" s="16"/>
      <c r="B57" s="16"/>
      <c r="C57" s="16"/>
      <c r="D57" s="16"/>
      <c r="E57" s="16"/>
      <c r="F57" s="16"/>
      <c r="G57" s="16"/>
      <c r="H57" s="16"/>
      <c r="I57" s="16"/>
      <c r="J57" s="23"/>
      <c r="K57" s="60"/>
      <c r="L57" s="140"/>
      <c r="M57" s="191" t="s">
        <v>107</v>
      </c>
      <c r="N57" s="150"/>
      <c r="O57" s="85"/>
      <c r="P57" s="151"/>
      <c r="Q57" s="152">
        <v>8</v>
      </c>
      <c r="R57" s="153">
        <f>V44</f>
        <v>702378.25703020033</v>
      </c>
      <c r="S57" s="154">
        <f t="shared" si="2"/>
        <v>1007145.7577460299</v>
      </c>
      <c r="T57" s="28"/>
      <c r="U57" s="16"/>
      <c r="V57" s="16"/>
      <c r="W57" s="16"/>
      <c r="X57" s="16"/>
      <c r="Y57" s="16"/>
      <c r="Z57" s="16"/>
      <c r="AA57" s="16"/>
      <c r="AB57" s="16"/>
    </row>
    <row r="58" spans="1:28" ht="14.5" customHeight="1" x14ac:dyDescent="0.35">
      <c r="A58" s="16"/>
      <c r="B58" s="19" t="s">
        <v>108</v>
      </c>
      <c r="C58" s="16"/>
      <c r="D58" s="16"/>
      <c r="E58" s="16"/>
      <c r="F58" s="16"/>
      <c r="G58" s="16"/>
      <c r="H58" s="16"/>
      <c r="I58" s="16"/>
      <c r="J58" s="23"/>
      <c r="K58" s="115" t="s">
        <v>64</v>
      </c>
      <c r="L58" s="156"/>
      <c r="M58" s="114">
        <v>0.22</v>
      </c>
      <c r="N58" s="275" t="s">
        <v>109</v>
      </c>
      <c r="O58" s="98">
        <v>0</v>
      </c>
      <c r="P58" s="157"/>
      <c r="Q58" s="158" t="s">
        <v>65</v>
      </c>
      <c r="R58" s="159" t="s">
        <v>66</v>
      </c>
      <c r="S58" s="160"/>
      <c r="T58" s="29"/>
      <c r="U58" s="16"/>
      <c r="V58" s="16"/>
      <c r="W58" s="16"/>
      <c r="X58" s="16"/>
      <c r="Y58" s="16"/>
      <c r="Z58" s="16"/>
      <c r="AA58" s="16"/>
      <c r="AB58" s="16"/>
    </row>
    <row r="59" spans="1:28" ht="17" customHeight="1" x14ac:dyDescent="0.35">
      <c r="A59" s="16"/>
      <c r="B59" s="16"/>
      <c r="C59" s="16"/>
      <c r="D59" s="16"/>
      <c r="E59" s="16"/>
      <c r="F59" s="16"/>
      <c r="G59" s="16"/>
      <c r="H59" s="16"/>
      <c r="I59" s="16"/>
      <c r="J59" s="23"/>
      <c r="K59" s="115" t="s">
        <v>67</v>
      </c>
      <c r="L59" s="156"/>
      <c r="M59" s="114">
        <v>0.23</v>
      </c>
      <c r="N59" s="275" t="s">
        <v>110</v>
      </c>
      <c r="O59" s="98">
        <v>0</v>
      </c>
      <c r="P59" s="157"/>
      <c r="Q59" s="161">
        <f>Q54</f>
        <v>5</v>
      </c>
      <c r="R59" s="162">
        <f>(-S54/R55)*365</f>
        <v>268.15792350142311</v>
      </c>
      <c r="S59" s="72"/>
      <c r="T59" s="163" t="s">
        <v>111</v>
      </c>
      <c r="U59" s="16"/>
      <c r="V59" s="16"/>
      <c r="W59" s="16"/>
      <c r="X59" s="16"/>
      <c r="Y59" s="16"/>
      <c r="Z59" s="16"/>
      <c r="AA59" s="16"/>
      <c r="AB59" s="16"/>
    </row>
    <row r="60" spans="1:28" ht="14.5" customHeight="1" x14ac:dyDescent="0.35">
      <c r="A60" s="16"/>
      <c r="B60" s="19" t="s">
        <v>68</v>
      </c>
      <c r="C60" s="16"/>
      <c r="D60" s="16"/>
      <c r="E60" s="16"/>
      <c r="F60" s="16"/>
      <c r="G60" s="16"/>
      <c r="H60" s="16"/>
      <c r="I60" s="16"/>
      <c r="J60" s="23"/>
      <c r="K60" s="68"/>
      <c r="L60" s="156"/>
      <c r="M60" s="29"/>
      <c r="N60" s="29"/>
      <c r="O60" s="30"/>
      <c r="P60" s="164"/>
      <c r="Q60" s="45"/>
      <c r="R60" s="129">
        <v>17.5</v>
      </c>
      <c r="S60" s="155"/>
      <c r="T60" s="16"/>
      <c r="U60" s="16"/>
      <c r="V60" s="16"/>
      <c r="W60" s="16"/>
      <c r="X60" s="16"/>
      <c r="Y60" s="16"/>
      <c r="Z60" s="16"/>
      <c r="AA60" s="16"/>
      <c r="AB60" s="16"/>
    </row>
    <row r="61" spans="1:28" ht="17" customHeight="1" x14ac:dyDescent="0.35">
      <c r="A61" s="16"/>
      <c r="B61" s="16"/>
      <c r="C61" s="16"/>
      <c r="D61" s="16"/>
      <c r="E61" s="16"/>
      <c r="F61" s="16"/>
      <c r="G61" s="16"/>
      <c r="H61" s="16"/>
      <c r="I61" s="16"/>
      <c r="J61" s="23"/>
      <c r="K61" s="68"/>
      <c r="L61" s="156"/>
      <c r="M61" s="29"/>
      <c r="N61" s="149"/>
      <c r="O61" s="44"/>
      <c r="P61" s="72"/>
      <c r="Q61" s="16"/>
      <c r="R61" s="16"/>
      <c r="S61" s="16"/>
      <c r="T61" s="16"/>
      <c r="U61" s="16"/>
      <c r="V61" s="16"/>
      <c r="W61" s="16"/>
      <c r="X61" s="16"/>
      <c r="Y61" s="16"/>
      <c r="Z61" s="16"/>
      <c r="AA61" s="16"/>
      <c r="AB61" s="16"/>
    </row>
    <row r="62" spans="1:28" ht="17" customHeight="1" x14ac:dyDescent="0.35">
      <c r="A62" s="16"/>
      <c r="B62" s="163" t="s">
        <v>69</v>
      </c>
      <c r="C62" s="16"/>
      <c r="D62" s="16"/>
      <c r="E62" s="16"/>
      <c r="F62" s="16"/>
      <c r="G62" s="16"/>
      <c r="H62" s="16"/>
      <c r="I62" s="16"/>
      <c r="J62" s="23"/>
      <c r="K62" s="42"/>
      <c r="L62" s="43"/>
      <c r="M62" s="44"/>
      <c r="N62" s="276" t="s">
        <v>112</v>
      </c>
      <c r="O62" s="165">
        <f>IRR(Ennoncé!N42:V42)</f>
        <v>0.22241748250664317</v>
      </c>
      <c r="P62" s="136" t="s">
        <v>113</v>
      </c>
      <c r="Q62" s="16"/>
      <c r="R62" s="16"/>
      <c r="S62" s="16"/>
      <c r="T62" s="16"/>
      <c r="U62" s="16"/>
      <c r="V62" s="16"/>
      <c r="W62" s="16"/>
      <c r="X62" s="16"/>
      <c r="Y62" s="16"/>
      <c r="Z62" s="16"/>
      <c r="AA62" s="16"/>
      <c r="AB62" s="16"/>
    </row>
    <row r="63" spans="1:28" ht="14.5" customHeight="1" x14ac:dyDescent="0.35">
      <c r="A63" s="16"/>
      <c r="B63" s="163" t="s">
        <v>70</v>
      </c>
      <c r="C63" s="16"/>
      <c r="D63" s="16"/>
      <c r="E63" s="16"/>
      <c r="F63" s="16"/>
      <c r="G63" s="16"/>
      <c r="H63" s="16"/>
      <c r="I63" s="16"/>
      <c r="J63" s="16"/>
      <c r="K63" s="129"/>
      <c r="L63" s="129"/>
      <c r="M63" s="129"/>
      <c r="N63" s="150"/>
      <c r="O63" s="166"/>
      <c r="P63" s="29"/>
      <c r="Q63" s="16"/>
      <c r="R63" s="16"/>
      <c r="S63" s="16"/>
      <c r="T63" s="16"/>
      <c r="U63" s="16"/>
      <c r="V63" s="16"/>
      <c r="W63" s="16"/>
      <c r="X63" s="16"/>
      <c r="Y63" s="16"/>
      <c r="Z63" s="16"/>
      <c r="AA63" s="16"/>
      <c r="AB63" s="16"/>
    </row>
    <row r="64" spans="1:28" ht="14.5" customHeight="1" x14ac:dyDescent="0.35">
      <c r="A64" s="16"/>
      <c r="B64" s="163" t="s">
        <v>71</v>
      </c>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spans="1:28" ht="17" customHeight="1" x14ac:dyDescent="0.35">
      <c r="A65" s="16"/>
      <c r="B65" s="163" t="s">
        <v>72</v>
      </c>
      <c r="C65" s="16"/>
      <c r="D65" s="16"/>
      <c r="E65" s="16"/>
      <c r="F65" s="16"/>
      <c r="G65" s="16"/>
      <c r="H65" s="16"/>
      <c r="I65" s="16"/>
      <c r="J65" s="16"/>
      <c r="K65" s="20" t="s">
        <v>73</v>
      </c>
      <c r="L65" s="43"/>
      <c r="M65" s="43"/>
      <c r="N65" s="43"/>
      <c r="O65" s="43"/>
      <c r="P65" s="43"/>
      <c r="Q65" s="43"/>
      <c r="R65" s="43"/>
      <c r="S65" s="43"/>
      <c r="T65" s="43"/>
      <c r="U65" s="43"/>
      <c r="V65" s="21"/>
      <c r="W65" s="21"/>
      <c r="X65" s="16"/>
      <c r="Y65" s="16"/>
      <c r="Z65" s="16"/>
      <c r="AA65" s="16"/>
      <c r="AB65" s="16"/>
    </row>
    <row r="66" spans="1:28" ht="16" customHeight="1" x14ac:dyDescent="0.35">
      <c r="A66" s="16"/>
      <c r="B66" s="189" t="s">
        <v>74</v>
      </c>
      <c r="C66" s="177"/>
      <c r="D66" s="177"/>
      <c r="E66" s="177"/>
      <c r="F66" s="177"/>
      <c r="G66" s="177"/>
      <c r="H66" s="177"/>
      <c r="I66" s="16"/>
      <c r="J66" s="23"/>
      <c r="K66" s="167" t="s">
        <v>75</v>
      </c>
      <c r="L66" s="150"/>
      <c r="M66" s="168">
        <v>0.1</v>
      </c>
      <c r="N66" s="129"/>
      <c r="O66" s="129"/>
      <c r="P66" s="129"/>
      <c r="Q66" s="129"/>
      <c r="R66" s="129"/>
      <c r="S66" s="129"/>
      <c r="T66" s="129"/>
      <c r="U66" s="129"/>
      <c r="V66" s="129"/>
      <c r="W66" s="85"/>
      <c r="X66" s="24"/>
      <c r="Y66" s="16"/>
      <c r="Z66" s="16"/>
      <c r="AA66" s="16"/>
      <c r="AB66" s="16"/>
    </row>
    <row r="67" spans="1:28" ht="14.5" customHeight="1" x14ac:dyDescent="0.35">
      <c r="A67" s="16"/>
      <c r="B67" s="177"/>
      <c r="C67" s="177"/>
      <c r="D67" s="177"/>
      <c r="E67" s="177"/>
      <c r="F67" s="177"/>
      <c r="G67" s="177"/>
      <c r="H67" s="177"/>
      <c r="I67" s="16"/>
      <c r="J67" s="23"/>
      <c r="K67" s="169" t="s">
        <v>76</v>
      </c>
      <c r="L67" s="35"/>
      <c r="M67" s="170">
        <f>M43</f>
        <v>0.11</v>
      </c>
      <c r="N67" s="29"/>
      <c r="O67" s="29"/>
      <c r="P67" s="29"/>
      <c r="Q67" s="29"/>
      <c r="R67" s="29"/>
      <c r="S67" s="29"/>
      <c r="T67" s="29"/>
      <c r="U67" s="29"/>
      <c r="V67" s="29"/>
      <c r="W67" s="30"/>
      <c r="X67" s="24"/>
      <c r="Y67" s="16"/>
      <c r="Z67" s="16"/>
      <c r="AA67" s="16"/>
      <c r="AB67" s="16"/>
    </row>
    <row r="68" spans="1:28" ht="14.5" customHeight="1" x14ac:dyDescent="0.35">
      <c r="A68" s="16"/>
      <c r="B68" s="163" t="s">
        <v>77</v>
      </c>
      <c r="C68" s="16"/>
      <c r="D68" s="16"/>
      <c r="E68" s="16"/>
      <c r="F68" s="16"/>
      <c r="G68" s="16"/>
      <c r="H68" s="16"/>
      <c r="I68" s="16"/>
      <c r="J68" s="23"/>
      <c r="K68" s="171"/>
      <c r="L68" s="35"/>
      <c r="M68" s="172">
        <v>0</v>
      </c>
      <c r="N68" s="155">
        <v>1</v>
      </c>
      <c r="O68" s="155">
        <v>2</v>
      </c>
      <c r="P68" s="155">
        <v>3</v>
      </c>
      <c r="Q68" s="155">
        <v>4</v>
      </c>
      <c r="R68" s="155">
        <v>5</v>
      </c>
      <c r="S68" s="155">
        <v>6</v>
      </c>
      <c r="T68" s="155">
        <v>7</v>
      </c>
      <c r="U68" s="155">
        <v>8</v>
      </c>
      <c r="V68" s="155"/>
      <c r="W68" s="173"/>
      <c r="X68" s="24"/>
      <c r="Y68" s="16"/>
      <c r="Z68" s="16"/>
      <c r="AA68" s="16"/>
      <c r="AB68" s="16"/>
    </row>
    <row r="69" spans="1:28" ht="14.5" customHeight="1" x14ac:dyDescent="0.35">
      <c r="A69" s="16"/>
      <c r="B69" s="163" t="s">
        <v>78</v>
      </c>
      <c r="C69" s="16"/>
      <c r="D69" s="16"/>
      <c r="E69" s="16"/>
      <c r="F69" s="16"/>
      <c r="G69" s="16"/>
      <c r="H69" s="16"/>
      <c r="I69" s="16"/>
      <c r="J69" s="23"/>
      <c r="K69" s="28"/>
      <c r="L69" s="35"/>
      <c r="M69" s="29"/>
      <c r="N69" s="174">
        <f t="shared" ref="N69:U69" si="3">(1+$M$66)^($U$68-N68)</f>
        <v>1.9487171000000012</v>
      </c>
      <c r="O69" s="174">
        <f t="shared" si="3"/>
        <v>1.7715610000000008</v>
      </c>
      <c r="P69" s="174">
        <f t="shared" si="3"/>
        <v>1.6105100000000006</v>
      </c>
      <c r="Q69" s="174">
        <f t="shared" si="3"/>
        <v>1.4641000000000004</v>
      </c>
      <c r="R69" s="174">
        <f t="shared" si="3"/>
        <v>1.3310000000000004</v>
      </c>
      <c r="S69" s="174">
        <f t="shared" si="3"/>
        <v>1.2100000000000002</v>
      </c>
      <c r="T69" s="174">
        <f t="shared" si="3"/>
        <v>1.1000000000000001</v>
      </c>
      <c r="U69" s="174">
        <f t="shared" si="3"/>
        <v>1</v>
      </c>
      <c r="V69" s="174"/>
      <c r="W69" s="175"/>
      <c r="X69" s="24"/>
      <c r="Y69" s="16"/>
      <c r="Z69" s="16"/>
      <c r="AA69" s="16"/>
      <c r="AB69" s="16"/>
    </row>
    <row r="70" spans="1:28" ht="14.5" customHeight="1" x14ac:dyDescent="0.35">
      <c r="A70" s="16"/>
      <c r="B70" s="163" t="s">
        <v>79</v>
      </c>
      <c r="C70" s="16"/>
      <c r="D70" s="16"/>
      <c r="E70" s="16"/>
      <c r="F70" s="16"/>
      <c r="G70" s="16"/>
      <c r="H70" s="16"/>
      <c r="I70" s="16"/>
      <c r="J70" s="23"/>
      <c r="K70" s="28"/>
      <c r="L70" s="35"/>
      <c r="M70" s="163" t="s">
        <v>114</v>
      </c>
      <c r="N70" s="22">
        <f t="shared" ref="N70:U70" si="4">O42*N69</f>
        <v>505692.08745000028</v>
      </c>
      <c r="O70" s="22">
        <f t="shared" si="4"/>
        <v>459720.07950000023</v>
      </c>
      <c r="P70" s="22">
        <f t="shared" si="4"/>
        <v>417927.34500000015</v>
      </c>
      <c r="Q70" s="22">
        <f t="shared" si="4"/>
        <v>336010.95000000007</v>
      </c>
      <c r="R70" s="22">
        <f t="shared" si="4"/>
        <v>543048.00000000012</v>
      </c>
      <c r="S70" s="22">
        <f t="shared" si="4"/>
        <v>493680.00000000006</v>
      </c>
      <c r="T70" s="22">
        <f t="shared" si="4"/>
        <v>448800.00000000006</v>
      </c>
      <c r="U70" s="22">
        <f t="shared" si="4"/>
        <v>1618657.2219544917</v>
      </c>
      <c r="V70" s="22"/>
      <c r="W70" s="98"/>
      <c r="X70" s="24"/>
      <c r="Y70" s="16"/>
      <c r="Z70" s="16"/>
      <c r="AA70" s="16"/>
      <c r="AB70" s="16"/>
    </row>
    <row r="71" spans="1:28" ht="14.5" customHeight="1" x14ac:dyDescent="0.35">
      <c r="A71" s="16"/>
      <c r="B71" s="16"/>
      <c r="C71" s="16"/>
      <c r="D71" s="16"/>
      <c r="E71" s="16"/>
      <c r="F71" s="16"/>
      <c r="G71" s="16"/>
      <c r="H71" s="16"/>
      <c r="I71" s="16"/>
      <c r="J71" s="23"/>
      <c r="K71" s="169" t="s">
        <v>115</v>
      </c>
      <c r="L71" s="126">
        <f>SUM(N70:U70)</f>
        <v>4823535.6839044923</v>
      </c>
      <c r="M71" s="31"/>
      <c r="N71" s="31"/>
      <c r="O71" s="31"/>
      <c r="P71" s="31"/>
      <c r="Q71" s="31"/>
      <c r="R71" s="35"/>
      <c r="S71" s="35"/>
      <c r="T71" s="35"/>
      <c r="U71" s="29"/>
      <c r="V71" s="29"/>
      <c r="W71" s="30"/>
      <c r="X71" s="24"/>
      <c r="Y71" s="16"/>
      <c r="Z71" s="16"/>
      <c r="AA71" s="16"/>
      <c r="AB71" s="16"/>
    </row>
    <row r="72" spans="1:28" ht="14.5" customHeight="1" x14ac:dyDescent="0.35">
      <c r="A72" s="16"/>
      <c r="B72" s="19" t="s">
        <v>116</v>
      </c>
      <c r="C72" s="16"/>
      <c r="D72" s="16"/>
      <c r="E72" s="16"/>
      <c r="F72" s="16"/>
      <c r="G72" s="16"/>
      <c r="H72" s="16"/>
      <c r="I72" s="16"/>
      <c r="J72" s="23"/>
      <c r="K72" s="169" t="s">
        <v>117</v>
      </c>
      <c r="L72" s="126">
        <f>N44</f>
        <v>-1327200</v>
      </c>
      <c r="M72" s="29"/>
      <c r="N72" s="29"/>
      <c r="O72" s="29"/>
      <c r="P72" s="29"/>
      <c r="Q72" s="29"/>
      <c r="R72" s="35"/>
      <c r="S72" s="35"/>
      <c r="T72" s="35"/>
      <c r="U72" s="29"/>
      <c r="V72" s="29"/>
      <c r="W72" s="30"/>
      <c r="X72" s="24"/>
      <c r="Y72" s="16"/>
      <c r="Z72" s="16"/>
      <c r="AA72" s="16"/>
      <c r="AB72" s="16"/>
    </row>
    <row r="73" spans="1:28" ht="14.5" customHeight="1" x14ac:dyDescent="0.35">
      <c r="A73" s="16"/>
      <c r="B73" s="163" t="s">
        <v>30</v>
      </c>
      <c r="C73" s="16"/>
      <c r="D73" s="16"/>
      <c r="E73" s="16"/>
      <c r="F73" s="16"/>
      <c r="G73" s="16"/>
      <c r="H73" s="16"/>
      <c r="I73" s="16"/>
      <c r="J73" s="23"/>
      <c r="K73" s="28"/>
      <c r="L73" s="29"/>
      <c r="M73" s="29"/>
      <c r="N73" s="29"/>
      <c r="O73" s="29"/>
      <c r="P73" s="29"/>
      <c r="Q73" s="29"/>
      <c r="R73" s="29"/>
      <c r="S73" s="29"/>
      <c r="T73" s="29"/>
      <c r="U73" s="29"/>
      <c r="V73" s="29"/>
      <c r="W73" s="30"/>
      <c r="X73" s="24"/>
      <c r="Y73" s="16"/>
      <c r="Z73" s="16"/>
      <c r="AA73" s="16"/>
      <c r="AB73" s="16"/>
    </row>
    <row r="74" spans="1:28" ht="17" customHeight="1" x14ac:dyDescent="0.35">
      <c r="A74" s="16"/>
      <c r="B74" s="163" t="s">
        <v>118</v>
      </c>
      <c r="C74" s="16"/>
      <c r="D74" s="16"/>
      <c r="E74" s="16"/>
      <c r="F74" s="16"/>
      <c r="G74" s="16"/>
      <c r="H74" s="16"/>
      <c r="I74" s="16"/>
      <c r="J74" s="23"/>
      <c r="K74" s="28"/>
      <c r="L74" s="163" t="s">
        <v>80</v>
      </c>
      <c r="M74" s="176">
        <f>((L71/-L72)^(1/U68))-1</f>
        <v>0.17504267719593214</v>
      </c>
      <c r="N74" s="29"/>
      <c r="O74" s="29"/>
      <c r="P74" s="29"/>
      <c r="Q74" s="29"/>
      <c r="R74" s="29"/>
      <c r="S74" s="29"/>
      <c r="T74" s="29"/>
      <c r="U74" s="29"/>
      <c r="V74" s="43"/>
      <c r="W74" s="44"/>
      <c r="X74" s="24"/>
      <c r="Y74" s="16"/>
      <c r="Z74" s="16"/>
      <c r="AA74" s="16"/>
      <c r="AB74" s="16"/>
    </row>
    <row r="75" spans="1:28" ht="17" customHeight="1" x14ac:dyDescent="0.35">
      <c r="A75" s="16"/>
      <c r="B75" s="189" t="s">
        <v>119</v>
      </c>
      <c r="C75" s="177"/>
      <c r="D75" s="177"/>
      <c r="E75" s="177"/>
      <c r="F75" s="177"/>
      <c r="G75" s="177"/>
      <c r="H75" s="177"/>
      <c r="I75" s="16"/>
      <c r="J75" s="23"/>
      <c r="K75" s="42"/>
      <c r="L75" s="43"/>
      <c r="M75" s="43"/>
      <c r="N75" s="43"/>
      <c r="O75" s="43"/>
      <c r="P75" s="43"/>
      <c r="Q75" s="43"/>
      <c r="R75" s="43"/>
      <c r="S75" s="43"/>
      <c r="T75" s="43"/>
      <c r="U75" s="44"/>
      <c r="V75" s="178" t="s">
        <v>80</v>
      </c>
      <c r="W75" s="165">
        <f>MIRR(Ennoncé!N42:V42,Feuil3!M67,Feuil3!M66)</f>
        <v>0.17504267719593214</v>
      </c>
      <c r="X75" s="136" t="s">
        <v>111</v>
      </c>
      <c r="Y75" s="16"/>
      <c r="Z75" s="16"/>
      <c r="AA75" s="16"/>
      <c r="AB75" s="16"/>
    </row>
    <row r="76" spans="1:28" ht="14.5" customHeight="1" x14ac:dyDescent="0.35">
      <c r="A76" s="16"/>
      <c r="B76" s="177"/>
      <c r="C76" s="177"/>
      <c r="D76" s="177"/>
      <c r="E76" s="177"/>
      <c r="F76" s="177"/>
      <c r="G76" s="177"/>
      <c r="H76" s="177"/>
      <c r="I76" s="16"/>
      <c r="J76" s="16"/>
      <c r="K76" s="45"/>
      <c r="L76" s="45"/>
      <c r="M76" s="45"/>
      <c r="N76" s="45"/>
      <c r="O76" s="45"/>
      <c r="P76" s="45"/>
      <c r="Q76" s="45"/>
      <c r="R76" s="45"/>
      <c r="S76" s="45"/>
      <c r="T76" s="45"/>
      <c r="U76" s="45"/>
      <c r="V76" s="45"/>
      <c r="W76" s="260">
        <v>18</v>
      </c>
      <c r="X76" s="16"/>
      <c r="Y76" s="16"/>
      <c r="Z76" s="16"/>
      <c r="AA76" s="16"/>
      <c r="AB76" s="16"/>
    </row>
    <row r="77" spans="1:28" ht="14.5" customHeight="1" x14ac:dyDescent="0.35">
      <c r="A77" s="16"/>
      <c r="B77" s="163" t="s">
        <v>120</v>
      </c>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ht="17" customHeight="1" x14ac:dyDescent="0.35">
      <c r="A78" s="16"/>
      <c r="B78" s="277" t="s">
        <v>121</v>
      </c>
      <c r="C78" s="179"/>
      <c r="D78" s="179"/>
      <c r="E78" s="179"/>
      <c r="F78" s="179"/>
      <c r="G78" s="179"/>
      <c r="H78" s="179"/>
      <c r="I78" s="16"/>
      <c r="J78" s="16"/>
      <c r="K78" s="130" t="s">
        <v>81</v>
      </c>
      <c r="L78" s="148"/>
      <c r="M78" s="149"/>
      <c r="N78" s="149"/>
      <c r="O78" s="43"/>
      <c r="P78" s="21"/>
      <c r="Q78" s="21"/>
      <c r="R78" s="16"/>
      <c r="S78" s="16"/>
      <c r="T78" s="16"/>
      <c r="U78" s="16"/>
      <c r="V78" s="16"/>
      <c r="W78" s="16"/>
      <c r="X78" s="16"/>
      <c r="Y78" s="16"/>
      <c r="Z78" s="16"/>
      <c r="AA78" s="16"/>
      <c r="AB78" s="16"/>
    </row>
    <row r="79" spans="1:28" ht="14.5" customHeight="1" x14ac:dyDescent="0.35">
      <c r="A79" s="16"/>
      <c r="B79" s="179"/>
      <c r="C79" s="179"/>
      <c r="D79" s="179"/>
      <c r="E79" s="179"/>
      <c r="F79" s="179"/>
      <c r="G79" s="179"/>
      <c r="H79" s="179"/>
      <c r="I79" s="16"/>
      <c r="J79" s="23"/>
      <c r="K79" s="278"/>
      <c r="L79" s="279"/>
      <c r="M79" s="279"/>
      <c r="N79" s="279"/>
      <c r="O79" s="279"/>
      <c r="P79" s="279"/>
      <c r="Q79" s="280"/>
      <c r="R79" s="24"/>
      <c r="S79" s="16"/>
      <c r="T79" s="16"/>
      <c r="U79" s="16"/>
      <c r="V79" s="16"/>
      <c r="W79" s="16"/>
      <c r="X79" s="16"/>
      <c r="Y79" s="16"/>
      <c r="Z79" s="16"/>
      <c r="AA79" s="16"/>
      <c r="AB79" s="16"/>
    </row>
    <row r="80" spans="1:28" ht="16" customHeight="1" x14ac:dyDescent="0.35">
      <c r="A80" s="16"/>
      <c r="B80" s="277" t="s">
        <v>122</v>
      </c>
      <c r="C80" s="179"/>
      <c r="D80" s="179"/>
      <c r="E80" s="179"/>
      <c r="F80" s="179"/>
      <c r="G80" s="179"/>
      <c r="H80" s="179"/>
      <c r="I80" s="16"/>
      <c r="J80" s="23"/>
      <c r="K80" s="281"/>
      <c r="L80" s="282"/>
      <c r="M80" s="282"/>
      <c r="N80" s="282"/>
      <c r="O80" s="282"/>
      <c r="P80" s="282"/>
      <c r="Q80" s="283"/>
      <c r="R80" s="24"/>
      <c r="S80" s="16"/>
      <c r="T80" s="16"/>
      <c r="U80" s="16"/>
      <c r="V80" s="16"/>
      <c r="W80" s="16"/>
      <c r="X80" s="16"/>
      <c r="Y80" s="16"/>
      <c r="Z80" s="16"/>
      <c r="AA80" s="16"/>
      <c r="AB80" s="16"/>
    </row>
    <row r="81" spans="1:28" ht="14" customHeight="1" x14ac:dyDescent="0.35">
      <c r="A81" s="16"/>
      <c r="B81" s="179"/>
      <c r="C81" s="179"/>
      <c r="D81" s="179"/>
      <c r="E81" s="179"/>
      <c r="F81" s="179"/>
      <c r="G81" s="179"/>
      <c r="H81" s="179"/>
      <c r="I81" s="16"/>
      <c r="J81" s="23"/>
      <c r="K81" s="281"/>
      <c r="L81" s="282"/>
      <c r="M81" s="282"/>
      <c r="N81" s="282"/>
      <c r="O81" s="282"/>
      <c r="P81" s="282"/>
      <c r="Q81" s="283"/>
      <c r="R81" s="24"/>
      <c r="S81" s="16"/>
      <c r="T81" s="16"/>
      <c r="U81" s="16"/>
      <c r="V81" s="16"/>
      <c r="W81" s="16"/>
      <c r="X81" s="16"/>
      <c r="Y81" s="16"/>
      <c r="Z81" s="16"/>
      <c r="AA81" s="16"/>
      <c r="AB81" s="16"/>
    </row>
    <row r="82" spans="1:28" ht="15" customHeight="1" x14ac:dyDescent="0.35">
      <c r="A82" s="16"/>
      <c r="B82" s="179"/>
      <c r="C82" s="179"/>
      <c r="D82" s="179"/>
      <c r="E82" s="179"/>
      <c r="F82" s="179"/>
      <c r="G82" s="179"/>
      <c r="H82" s="179"/>
      <c r="I82" s="16"/>
      <c r="J82" s="23"/>
      <c r="K82" s="284"/>
      <c r="L82" s="285"/>
      <c r="M82" s="285"/>
      <c r="N82" s="285"/>
      <c r="O82" s="285"/>
      <c r="P82" s="285"/>
      <c r="Q82" s="286"/>
      <c r="R82" s="24"/>
      <c r="S82" s="16"/>
      <c r="T82" s="16"/>
      <c r="U82" s="16"/>
      <c r="V82" s="16"/>
      <c r="W82" s="16"/>
      <c r="X82" s="16"/>
      <c r="Y82" s="16"/>
      <c r="Z82" s="16"/>
      <c r="AA82" s="16"/>
      <c r="AB82" s="16"/>
    </row>
    <row r="83" spans="1:28" ht="14.5" customHeight="1" x14ac:dyDescent="0.35">
      <c r="A83" s="16"/>
      <c r="B83" s="179"/>
      <c r="C83" s="179"/>
      <c r="D83" s="179"/>
      <c r="E83" s="179"/>
      <c r="F83" s="179"/>
      <c r="G83" s="179"/>
      <c r="H83" s="179"/>
      <c r="I83" s="16"/>
      <c r="J83" s="16"/>
      <c r="K83" s="140"/>
      <c r="L83" s="140"/>
      <c r="M83" s="129"/>
      <c r="N83" s="150"/>
      <c r="O83" s="129"/>
      <c r="P83" s="84"/>
      <c r="Q83" s="45"/>
      <c r="R83" s="16"/>
      <c r="S83" s="16"/>
      <c r="T83" s="16"/>
      <c r="U83" s="16"/>
      <c r="V83" s="16"/>
      <c r="W83" s="16"/>
      <c r="X83" s="16"/>
      <c r="Y83" s="16"/>
      <c r="Z83" s="16"/>
      <c r="AA83" s="16"/>
      <c r="AB83" s="16"/>
    </row>
    <row r="84" spans="1:28" ht="14.5" customHeight="1" x14ac:dyDescent="0.35">
      <c r="A84" s="16"/>
      <c r="B84" s="16"/>
      <c r="C84" s="16"/>
      <c r="D84" s="16"/>
      <c r="E84" s="16"/>
      <c r="F84" s="16"/>
      <c r="G84" s="16"/>
      <c r="H84" s="16"/>
      <c r="I84" s="16"/>
      <c r="J84" s="16"/>
      <c r="K84" s="29"/>
      <c r="L84" s="29"/>
      <c r="M84" s="29"/>
      <c r="N84" s="31"/>
      <c r="O84" s="180"/>
      <c r="P84" s="163"/>
      <c r="Q84" s="16"/>
      <c r="R84" s="16"/>
      <c r="S84" s="16"/>
      <c r="T84" s="16"/>
      <c r="U84" s="16"/>
      <c r="V84" s="16"/>
      <c r="W84" s="16"/>
      <c r="X84" s="16"/>
      <c r="Y84" s="16"/>
      <c r="Z84" s="16"/>
      <c r="AA84" s="16"/>
      <c r="AB84" s="16"/>
    </row>
    <row r="85" spans="1:28" ht="14.5" customHeight="1" x14ac:dyDescent="0.35">
      <c r="A85" s="16"/>
      <c r="B85" s="163" t="s">
        <v>39</v>
      </c>
      <c r="C85" s="16"/>
      <c r="D85" s="16"/>
      <c r="E85" s="16"/>
      <c r="F85" s="16"/>
      <c r="G85" s="16"/>
      <c r="H85" s="16"/>
      <c r="I85" s="16"/>
      <c r="J85" s="16"/>
      <c r="K85" s="29"/>
      <c r="L85" s="29"/>
      <c r="M85" s="29"/>
      <c r="N85" s="35"/>
      <c r="O85" s="176"/>
      <c r="P85" s="29"/>
      <c r="Q85" s="16"/>
      <c r="R85" s="16"/>
      <c r="S85" s="16"/>
      <c r="T85" s="16"/>
      <c r="U85" s="16"/>
      <c r="V85" s="16"/>
      <c r="W85" s="16"/>
      <c r="X85" s="16"/>
      <c r="Y85" s="16"/>
      <c r="Z85" s="16"/>
      <c r="AA85" s="16"/>
      <c r="AB85" s="16"/>
    </row>
    <row r="86" spans="1:28" ht="16" customHeight="1" x14ac:dyDescent="0.35">
      <c r="A86" s="16"/>
      <c r="B86" s="287" t="s">
        <v>123</v>
      </c>
      <c r="C86" s="181"/>
      <c r="D86" s="181"/>
      <c r="E86" s="181"/>
      <c r="F86" s="181"/>
      <c r="G86" s="181"/>
      <c r="H86" s="181"/>
      <c r="I86" s="181"/>
      <c r="J86" s="16"/>
      <c r="K86" s="22"/>
      <c r="L86" s="16"/>
      <c r="M86" s="163" t="s">
        <v>124</v>
      </c>
      <c r="N86" s="288" t="s">
        <v>125</v>
      </c>
      <c r="O86" s="289"/>
      <c r="P86" s="288" t="s">
        <v>126</v>
      </c>
      <c r="Q86" s="289">
        <v>0.1</v>
      </c>
      <c r="R86" s="289"/>
      <c r="S86" s="16"/>
      <c r="T86" s="16"/>
      <c r="U86" s="16"/>
      <c r="V86" s="16"/>
      <c r="W86" s="16"/>
      <c r="X86" s="16"/>
      <c r="Y86" s="16"/>
      <c r="Z86" s="16"/>
      <c r="AA86" s="16"/>
      <c r="AB86" s="16"/>
    </row>
    <row r="87" spans="1:28" ht="14.5" customHeight="1" x14ac:dyDescent="0.35">
      <c r="A87" s="16"/>
      <c r="B87" s="181"/>
      <c r="C87" s="181"/>
      <c r="D87" s="181"/>
      <c r="E87" s="181"/>
      <c r="F87" s="181"/>
      <c r="G87" s="181"/>
      <c r="H87" s="181"/>
      <c r="I87" s="181"/>
      <c r="J87" s="16"/>
      <c r="K87" s="16"/>
      <c r="L87" s="29"/>
      <c r="M87" s="29"/>
      <c r="N87" s="275" t="s">
        <v>33</v>
      </c>
      <c r="O87" s="289"/>
      <c r="P87" s="288" t="s">
        <v>126</v>
      </c>
      <c r="Q87" s="289">
        <v>0.5</v>
      </c>
      <c r="R87" s="290" t="s">
        <v>127</v>
      </c>
      <c r="S87" s="163" t="s">
        <v>128</v>
      </c>
      <c r="T87" s="16"/>
      <c r="U87" s="16"/>
      <c r="V87" s="16"/>
      <c r="W87" s="16"/>
      <c r="X87" s="16"/>
      <c r="Y87" s="16"/>
      <c r="Z87" s="16"/>
      <c r="AA87" s="16"/>
      <c r="AB87" s="16"/>
    </row>
    <row r="88" spans="1:28" ht="14.5" customHeight="1" x14ac:dyDescent="0.35">
      <c r="A88" s="16"/>
      <c r="B88" s="16"/>
      <c r="C88" s="16"/>
      <c r="D88" s="16"/>
      <c r="E88" s="16"/>
      <c r="F88" s="16"/>
      <c r="G88" s="16"/>
      <c r="H88" s="16"/>
      <c r="I88" s="16"/>
      <c r="J88" s="16"/>
      <c r="K88" s="29">
        <v>1</v>
      </c>
      <c r="L88" s="19" t="s">
        <v>35</v>
      </c>
      <c r="M88" s="22">
        <f>L19</f>
        <v>327000</v>
      </c>
      <c r="N88" s="22">
        <f>Feuil5!L19</f>
        <v>327000</v>
      </c>
      <c r="O88" s="289">
        <f>IF((M88-N88=0),1,0)</f>
        <v>1</v>
      </c>
      <c r="P88" s="289">
        <f>IF((M88-N88=0),1,0)</f>
        <v>1</v>
      </c>
      <c r="Q88" s="289">
        <f>IF(O88+P88=2,1,0)</f>
        <v>1</v>
      </c>
      <c r="R88" s="291">
        <v>0</v>
      </c>
      <c r="S88" s="291">
        <f>Q88*R88</f>
        <v>0</v>
      </c>
      <c r="T88" s="291">
        <f>IFERROR(S88,0)</f>
        <v>0</v>
      </c>
      <c r="U88" s="16"/>
      <c r="V88" s="16"/>
      <c r="W88" s="16"/>
      <c r="X88" s="29"/>
      <c r="Y88" s="16"/>
      <c r="Z88" s="16"/>
      <c r="AA88" s="16"/>
      <c r="AB88" s="16"/>
    </row>
    <row r="89" spans="1:28" ht="14.5" customHeight="1" x14ac:dyDescent="0.35">
      <c r="A89" s="16"/>
      <c r="B89" s="16"/>
      <c r="C89" s="16"/>
      <c r="D89" s="16"/>
      <c r="E89" s="16"/>
      <c r="F89" s="16"/>
      <c r="G89" s="16"/>
      <c r="H89" s="16"/>
      <c r="I89" s="16"/>
      <c r="J89" s="16"/>
      <c r="K89" s="29">
        <v>2</v>
      </c>
      <c r="L89" s="19" t="s">
        <v>37</v>
      </c>
      <c r="M89" s="22">
        <f>L20</f>
        <v>343070</v>
      </c>
      <c r="N89" s="22">
        <f>Feuil5!L20</f>
        <v>343000</v>
      </c>
      <c r="O89" s="289">
        <f>IF((M89-N89=0),1,0)</f>
        <v>0</v>
      </c>
      <c r="P89" s="289">
        <f>IF((M89-N89=0),1,0)</f>
        <v>0</v>
      </c>
      <c r="Q89" s="289">
        <f>IF(O89+P89=2,1,0)</f>
        <v>0</v>
      </c>
      <c r="R89" s="291">
        <v>1.75</v>
      </c>
      <c r="S89" s="291">
        <f>Q89*R89</f>
        <v>0</v>
      </c>
      <c r="T89" s="291">
        <f>IFERROR(S89,0)</f>
        <v>0</v>
      </c>
      <c r="U89" s="29"/>
      <c r="V89" s="16"/>
      <c r="W89" s="16"/>
      <c r="X89" s="16"/>
      <c r="Y89" s="16"/>
      <c r="Z89" s="16"/>
      <c r="AA89" s="16"/>
      <c r="AB89" s="16"/>
    </row>
    <row r="90" spans="1:28" ht="14.5" customHeight="1" x14ac:dyDescent="0.35">
      <c r="A90" s="16"/>
      <c r="B90" s="16"/>
      <c r="C90" s="16"/>
      <c r="D90" s="16"/>
      <c r="E90" s="16"/>
      <c r="F90" s="16"/>
      <c r="G90" s="16"/>
      <c r="H90" s="16"/>
      <c r="I90" s="16"/>
      <c r="J90" s="16"/>
      <c r="K90" s="29">
        <v>3</v>
      </c>
      <c r="L90" s="19" t="s">
        <v>38</v>
      </c>
      <c r="M90" s="22">
        <f>L21</f>
        <v>637130</v>
      </c>
      <c r="N90" s="22">
        <f>Feuil5!L21</f>
        <v>637000</v>
      </c>
      <c r="O90" s="289">
        <f>IF((M90-N90=0),1,0)</f>
        <v>0</v>
      </c>
      <c r="P90" s="289">
        <f>IF((M90-N90=0),1,0)</f>
        <v>0</v>
      </c>
      <c r="Q90" s="289">
        <f>IF(O90+P90=2,1,0)</f>
        <v>0</v>
      </c>
      <c r="R90" s="291">
        <v>0</v>
      </c>
      <c r="S90" s="291">
        <f>Q90*R90</f>
        <v>0</v>
      </c>
      <c r="T90" s="291">
        <f>IFERROR(S90,0)</f>
        <v>0</v>
      </c>
      <c r="U90" s="29"/>
      <c r="V90" s="16"/>
      <c r="W90" s="16"/>
      <c r="X90" s="16"/>
      <c r="Y90" s="16"/>
      <c r="Z90" s="16"/>
      <c r="AA90" s="16"/>
      <c r="AB90" s="16"/>
    </row>
    <row r="91" spans="1:28" ht="14.5" customHeight="1" x14ac:dyDescent="0.35">
      <c r="A91" s="16"/>
      <c r="B91" s="16"/>
      <c r="C91" s="16"/>
      <c r="D91" s="16"/>
      <c r="E91" s="16"/>
      <c r="F91" s="16"/>
      <c r="G91" s="16"/>
      <c r="H91" s="16"/>
      <c r="I91" s="16"/>
      <c r="J91" s="16"/>
      <c r="K91" s="16"/>
      <c r="L91" s="29"/>
      <c r="M91" s="67"/>
      <c r="N91" s="19" t="s">
        <v>34</v>
      </c>
      <c r="O91" s="289"/>
      <c r="P91" s="289"/>
      <c r="Q91" s="289"/>
      <c r="R91" s="291"/>
      <c r="S91" s="16"/>
      <c r="T91" s="16"/>
      <c r="U91" s="29"/>
      <c r="V91" s="16"/>
      <c r="W91" s="16"/>
      <c r="X91" s="16"/>
      <c r="Y91" s="16"/>
      <c r="Z91" s="16"/>
      <c r="AA91" s="16"/>
      <c r="AB91" s="16"/>
    </row>
    <row r="92" spans="1:28" ht="14.5" customHeight="1" x14ac:dyDescent="0.35">
      <c r="A92" s="16"/>
      <c r="B92" s="16"/>
      <c r="C92" s="16"/>
      <c r="D92" s="16"/>
      <c r="E92" s="16"/>
      <c r="F92" s="16"/>
      <c r="G92" s="16"/>
      <c r="H92" s="16"/>
      <c r="I92" s="16"/>
      <c r="J92" s="16"/>
      <c r="K92" s="29">
        <v>5</v>
      </c>
      <c r="L92" s="19" t="s">
        <v>35</v>
      </c>
      <c r="M92" s="67">
        <f>M19</f>
        <v>233560</v>
      </c>
      <c r="N92" s="22">
        <f>L19-((L19-M12)/L12*V24)</f>
        <v>233560</v>
      </c>
      <c r="O92" s="289">
        <f>IF((M92-N92=0),1,0)</f>
        <v>1</v>
      </c>
      <c r="P92" s="289">
        <f>IF((M92-N92=0),1,0)</f>
        <v>1</v>
      </c>
      <c r="Q92" s="289">
        <f t="shared" ref="Q92:Q107" si="5">IF(O92+P92=2,1,0)</f>
        <v>1</v>
      </c>
      <c r="R92" s="291">
        <v>0.25</v>
      </c>
      <c r="S92" s="291">
        <f t="shared" ref="S92:S107" si="6">Q92*R92</f>
        <v>0.25</v>
      </c>
      <c r="T92" s="291">
        <f t="shared" ref="T92:T107" si="7">IFERROR(S92,0)</f>
        <v>0.25</v>
      </c>
      <c r="U92" s="29"/>
      <c r="V92" s="16"/>
      <c r="W92" s="16"/>
      <c r="X92" s="16"/>
      <c r="Y92" s="16"/>
      <c r="Z92" s="16"/>
      <c r="AA92" s="16"/>
      <c r="AB92" s="16"/>
    </row>
    <row r="93" spans="1:28" ht="14.5" customHeight="1" x14ac:dyDescent="0.35">
      <c r="A93" s="16"/>
      <c r="B93" s="16"/>
      <c r="C93" s="16"/>
      <c r="D93" s="16"/>
      <c r="E93" s="16"/>
      <c r="F93" s="16"/>
      <c r="G93" s="16"/>
      <c r="H93" s="16"/>
      <c r="I93" s="16"/>
      <c r="J93" s="16"/>
      <c r="K93" s="29">
        <v>6</v>
      </c>
      <c r="L93" s="19" t="s">
        <v>37</v>
      </c>
      <c r="M93" s="22">
        <f>M20</f>
        <v>120000</v>
      </c>
      <c r="N93" s="22">
        <f>L13</f>
        <v>120000</v>
      </c>
      <c r="O93" s="289">
        <f>IF((M93-N93=0),1,0)</f>
        <v>1</v>
      </c>
      <c r="P93" s="289">
        <f>IF((M93-N93=0),1,0)</f>
        <v>1</v>
      </c>
      <c r="Q93" s="289">
        <f t="shared" si="5"/>
        <v>1</v>
      </c>
      <c r="R93" s="291">
        <v>0</v>
      </c>
      <c r="S93" s="291">
        <f t="shared" si="6"/>
        <v>0</v>
      </c>
      <c r="T93" s="291">
        <f t="shared" si="7"/>
        <v>0</v>
      </c>
      <c r="U93" s="29"/>
      <c r="V93" s="16"/>
      <c r="W93" s="16"/>
      <c r="X93" s="16"/>
      <c r="Y93" s="16"/>
      <c r="Z93" s="16"/>
      <c r="AA93" s="16"/>
      <c r="AB93" s="16"/>
    </row>
    <row r="94" spans="1:28" ht="14.5" customHeight="1" x14ac:dyDescent="0.35">
      <c r="A94" s="16"/>
      <c r="B94" s="16"/>
      <c r="C94" s="16"/>
      <c r="D94" s="16"/>
      <c r="E94" s="16"/>
      <c r="F94" s="16"/>
      <c r="G94" s="16"/>
      <c r="H94" s="16"/>
      <c r="I94" s="16"/>
      <c r="J94" s="16"/>
      <c r="K94" s="29">
        <v>7</v>
      </c>
      <c r="L94" s="19" t="s">
        <v>38</v>
      </c>
      <c r="M94" s="22">
        <f>M21</f>
        <v>807097.22195449169</v>
      </c>
      <c r="N94" s="22">
        <f>L21*(1+L14)^V24</f>
        <v>807097.22195449169</v>
      </c>
      <c r="O94" s="289">
        <f>IF((M94-N94=0),1,0)</f>
        <v>1</v>
      </c>
      <c r="P94" s="289">
        <f>IF((M94-N94=0),1,0)</f>
        <v>1</v>
      </c>
      <c r="Q94" s="289">
        <f t="shared" si="5"/>
        <v>1</v>
      </c>
      <c r="R94" s="291">
        <v>0.25</v>
      </c>
      <c r="S94" s="291">
        <f t="shared" si="6"/>
        <v>0.25</v>
      </c>
      <c r="T94" s="291">
        <f t="shared" si="7"/>
        <v>0.25</v>
      </c>
      <c r="U94" s="29"/>
      <c r="V94" s="16"/>
      <c r="W94" s="16"/>
      <c r="X94" s="16"/>
      <c r="Y94" s="16"/>
      <c r="Z94" s="16"/>
      <c r="AA94" s="16"/>
      <c r="AB94" s="16"/>
    </row>
    <row r="95" spans="1:28" ht="14.5" customHeight="1" x14ac:dyDescent="0.35">
      <c r="A95" s="16"/>
      <c r="B95" s="16"/>
      <c r="C95" s="16"/>
      <c r="D95" s="16"/>
      <c r="E95" s="16"/>
      <c r="F95" s="16"/>
      <c r="G95" s="16"/>
      <c r="H95" s="16"/>
      <c r="I95" s="16"/>
      <c r="J95" s="16"/>
      <c r="K95" s="29">
        <v>8</v>
      </c>
      <c r="L95" s="16"/>
      <c r="M95" s="194">
        <f>O25</f>
        <v>15300</v>
      </c>
      <c r="N95" s="194">
        <f>Feuil5!O25</f>
        <v>15300</v>
      </c>
      <c r="O95" s="289">
        <f>IF((M95-N95=0),1,0)</f>
        <v>1</v>
      </c>
      <c r="P95" s="289">
        <f>IF((M95-N95=0),1,0)</f>
        <v>1</v>
      </c>
      <c r="Q95" s="289">
        <f t="shared" si="5"/>
        <v>1</v>
      </c>
      <c r="R95" s="291">
        <v>0</v>
      </c>
      <c r="S95" s="291">
        <f t="shared" si="6"/>
        <v>0</v>
      </c>
      <c r="T95" s="291">
        <f t="shared" si="7"/>
        <v>0</v>
      </c>
      <c r="U95" s="29"/>
      <c r="V95" s="16"/>
      <c r="W95" s="16"/>
      <c r="X95" s="16"/>
      <c r="Y95" s="16"/>
      <c r="Z95" s="16"/>
      <c r="AA95" s="16"/>
      <c r="AB95" s="16"/>
    </row>
    <row r="96" spans="1:28" ht="14.5" customHeight="1" x14ac:dyDescent="0.35">
      <c r="A96" s="16"/>
      <c r="B96" s="16"/>
      <c r="C96" s="16"/>
      <c r="D96" s="16"/>
      <c r="E96" s="16"/>
      <c r="F96" s="16"/>
      <c r="G96" s="16"/>
      <c r="H96" s="16"/>
      <c r="I96" s="16"/>
      <c r="J96" s="16"/>
      <c r="K96" s="29">
        <v>9</v>
      </c>
      <c r="L96" s="16"/>
      <c r="M96" s="194">
        <f>S25</f>
        <v>26000</v>
      </c>
      <c r="N96" s="194">
        <f>Feuil5!S25</f>
        <v>26000</v>
      </c>
      <c r="O96" s="289">
        <f>IF((M96-N96=0),1,0)</f>
        <v>1</v>
      </c>
      <c r="P96" s="289">
        <f>IF((M96-N96=0),1,0)</f>
        <v>1</v>
      </c>
      <c r="Q96" s="289">
        <f t="shared" si="5"/>
        <v>1</v>
      </c>
      <c r="R96" s="291">
        <v>0</v>
      </c>
      <c r="S96" s="291">
        <f t="shared" si="6"/>
        <v>0</v>
      </c>
      <c r="T96" s="291">
        <f t="shared" si="7"/>
        <v>0</v>
      </c>
      <c r="U96" s="16"/>
      <c r="V96" s="16"/>
      <c r="W96" s="16"/>
      <c r="X96" s="16"/>
      <c r="Y96" s="16"/>
      <c r="Z96" s="16"/>
      <c r="AA96" s="16"/>
      <c r="AB96" s="16"/>
    </row>
    <row r="97" spans="1:28" ht="14.5" customHeight="1" x14ac:dyDescent="0.35">
      <c r="A97" s="16"/>
      <c r="B97" s="16"/>
      <c r="C97" s="16"/>
      <c r="D97" s="16"/>
      <c r="E97" s="16"/>
      <c r="F97" s="16"/>
      <c r="G97" s="16"/>
      <c r="H97" s="16"/>
      <c r="I97" s="16"/>
      <c r="J97" s="16"/>
      <c r="K97" s="29">
        <v>10</v>
      </c>
      <c r="L97" s="16"/>
      <c r="M97" s="22">
        <f>Ennoncé!N42</f>
        <v>-1327200</v>
      </c>
      <c r="N97" s="22">
        <f>N42</f>
        <v>-1327200</v>
      </c>
      <c r="O97" s="289">
        <f t="shared" ref="O97:O102" si="8">IF(M97/N97&gt;0.998,1,0)</f>
        <v>1</v>
      </c>
      <c r="P97" s="289">
        <f t="shared" ref="P97:P102" si="9">IF(M97/N97&lt;1.002,1,0)</f>
        <v>1</v>
      </c>
      <c r="Q97" s="289">
        <f t="shared" si="5"/>
        <v>1</v>
      </c>
      <c r="R97" s="291">
        <f t="shared" ref="R97:R107" si="10">$Q$87</f>
        <v>0.5</v>
      </c>
      <c r="S97" s="291">
        <f t="shared" si="6"/>
        <v>0.5</v>
      </c>
      <c r="T97" s="291">
        <f t="shared" si="7"/>
        <v>0.5</v>
      </c>
      <c r="U97" s="16"/>
      <c r="V97" s="16"/>
      <c r="W97" s="16"/>
      <c r="X97" s="16"/>
      <c r="Y97" s="16"/>
      <c r="Z97" s="16"/>
      <c r="AA97" s="16"/>
      <c r="AB97" s="16"/>
    </row>
    <row r="98" spans="1:28" ht="14.5" customHeight="1" x14ac:dyDescent="0.35">
      <c r="A98" s="16"/>
      <c r="B98" s="16"/>
      <c r="C98" s="16"/>
      <c r="D98" s="16"/>
      <c r="E98" s="16"/>
      <c r="F98" s="16"/>
      <c r="G98" s="16"/>
      <c r="H98" s="16"/>
      <c r="I98" s="16"/>
      <c r="J98" s="16"/>
      <c r="K98" s="29">
        <v>11</v>
      </c>
      <c r="L98" s="16"/>
      <c r="M98" s="22">
        <f>Ennoncé!R42</f>
        <v>229500</v>
      </c>
      <c r="N98" s="22">
        <f>R29-Q16</f>
        <v>229500</v>
      </c>
      <c r="O98" s="289">
        <f t="shared" si="8"/>
        <v>1</v>
      </c>
      <c r="P98" s="289">
        <f t="shared" si="9"/>
        <v>1</v>
      </c>
      <c r="Q98" s="289">
        <f t="shared" si="5"/>
        <v>1</v>
      </c>
      <c r="R98" s="291">
        <f t="shared" si="10"/>
        <v>0.5</v>
      </c>
      <c r="S98" s="291">
        <f t="shared" si="6"/>
        <v>0.5</v>
      </c>
      <c r="T98" s="291">
        <f t="shared" si="7"/>
        <v>0.5</v>
      </c>
      <c r="U98" s="16"/>
      <c r="V98" s="16"/>
      <c r="W98" s="16"/>
      <c r="X98" s="16"/>
      <c r="Y98" s="16"/>
      <c r="Z98" s="16"/>
      <c r="AA98" s="16"/>
      <c r="AB98" s="16"/>
    </row>
    <row r="99" spans="1:28" ht="14.5" customHeight="1" x14ac:dyDescent="0.35">
      <c r="A99" s="16"/>
      <c r="B99" s="16"/>
      <c r="C99" s="16"/>
      <c r="D99" s="16"/>
      <c r="E99" s="16"/>
      <c r="F99" s="16"/>
      <c r="G99" s="16"/>
      <c r="H99" s="16"/>
      <c r="I99" s="16"/>
      <c r="J99" s="16"/>
      <c r="K99" s="29">
        <v>12</v>
      </c>
      <c r="L99" s="16"/>
      <c r="M99" s="22">
        <f>Ennoncé!V42</f>
        <v>1618657.2219544917</v>
      </c>
      <c r="N99" s="22">
        <f>V42</f>
        <v>1618657.2219544917</v>
      </c>
      <c r="O99" s="289">
        <f t="shared" si="8"/>
        <v>1</v>
      </c>
      <c r="P99" s="289">
        <f t="shared" si="9"/>
        <v>1</v>
      </c>
      <c r="Q99" s="289">
        <f t="shared" si="5"/>
        <v>1</v>
      </c>
      <c r="R99" s="291">
        <f t="shared" si="10"/>
        <v>0.5</v>
      </c>
      <c r="S99" s="291">
        <f t="shared" si="6"/>
        <v>0.5</v>
      </c>
      <c r="T99" s="291">
        <f t="shared" si="7"/>
        <v>0.5</v>
      </c>
      <c r="U99" s="16"/>
      <c r="V99" s="16"/>
      <c r="W99" s="16"/>
      <c r="X99" s="16"/>
      <c r="Y99" s="16"/>
      <c r="Z99" s="16"/>
      <c r="AA99" s="16"/>
      <c r="AB99" s="16"/>
    </row>
    <row r="100" spans="1:28" ht="14.5" customHeight="1" x14ac:dyDescent="0.35">
      <c r="A100" s="16"/>
      <c r="B100" s="16"/>
      <c r="C100" s="16"/>
      <c r="D100" s="16"/>
      <c r="E100" s="16"/>
      <c r="F100" s="16"/>
      <c r="G100" s="16"/>
      <c r="H100" s="16"/>
      <c r="I100" s="16"/>
      <c r="J100" s="16"/>
      <c r="K100" s="29">
        <v>13</v>
      </c>
      <c r="L100" s="16"/>
      <c r="M100" s="67">
        <f>Ennoncé!M45</f>
        <v>817279.21887025691</v>
      </c>
      <c r="N100" s="67">
        <f>M121</f>
        <v>817279.21887025703</v>
      </c>
      <c r="O100" s="289">
        <f t="shared" si="8"/>
        <v>1</v>
      </c>
      <c r="P100" s="289">
        <f t="shared" si="9"/>
        <v>1</v>
      </c>
      <c r="Q100" s="289">
        <f t="shared" si="5"/>
        <v>1</v>
      </c>
      <c r="R100" s="291">
        <f t="shared" si="10"/>
        <v>0.5</v>
      </c>
      <c r="S100" s="291">
        <f t="shared" si="6"/>
        <v>0.5</v>
      </c>
      <c r="T100" s="291">
        <f t="shared" si="7"/>
        <v>0.5</v>
      </c>
      <c r="U100" s="16"/>
      <c r="V100" s="16"/>
      <c r="W100" s="16"/>
      <c r="X100" s="16"/>
      <c r="Y100" s="16"/>
      <c r="Z100" s="16"/>
      <c r="AA100" s="16"/>
      <c r="AB100" s="16"/>
    </row>
    <row r="101" spans="1:28" ht="14.5" customHeight="1" x14ac:dyDescent="0.35">
      <c r="A101" s="16"/>
      <c r="B101" s="16"/>
      <c r="C101" s="16"/>
      <c r="D101" s="16"/>
      <c r="E101" s="16"/>
      <c r="F101" s="16"/>
      <c r="G101" s="16"/>
      <c r="H101" s="16"/>
      <c r="I101" s="16"/>
      <c r="J101" s="16"/>
      <c r="K101" s="29">
        <v>14</v>
      </c>
      <c r="L101" s="16"/>
      <c r="M101" s="67">
        <f>Ennoncé!M49</f>
        <v>158814.55939520241</v>
      </c>
      <c r="N101" s="67">
        <f>M49</f>
        <v>158814.55939520241</v>
      </c>
      <c r="O101" s="289">
        <f t="shared" si="8"/>
        <v>1</v>
      </c>
      <c r="P101" s="289">
        <f t="shared" si="9"/>
        <v>1</v>
      </c>
      <c r="Q101" s="289">
        <f t="shared" si="5"/>
        <v>1</v>
      </c>
      <c r="R101" s="291">
        <f t="shared" si="10"/>
        <v>0.5</v>
      </c>
      <c r="S101" s="29">
        <f t="shared" si="6"/>
        <v>0.5</v>
      </c>
      <c r="T101" s="29">
        <f t="shared" si="7"/>
        <v>0.5</v>
      </c>
      <c r="U101" s="16"/>
      <c r="V101" s="16"/>
      <c r="W101" s="16"/>
      <c r="X101" s="16"/>
      <c r="Y101" s="16"/>
      <c r="Z101" s="16"/>
      <c r="AA101" s="16"/>
      <c r="AB101" s="16"/>
    </row>
    <row r="102" spans="1:28" ht="14.5" customHeight="1" x14ac:dyDescent="0.35">
      <c r="A102" s="16"/>
      <c r="B102" s="16"/>
      <c r="C102" s="16"/>
      <c r="D102" s="16"/>
      <c r="E102" s="16"/>
      <c r="F102" s="16"/>
      <c r="G102" s="16"/>
      <c r="H102" s="16"/>
      <c r="I102" s="16"/>
      <c r="J102" s="16"/>
      <c r="K102" s="29">
        <v>15</v>
      </c>
      <c r="L102" s="16"/>
      <c r="M102" s="292">
        <f>Ennoncé!M54</f>
        <v>1.6067574748314439</v>
      </c>
      <c r="N102" s="292">
        <f>M54</f>
        <v>1.6067574748314442</v>
      </c>
      <c r="O102" s="289">
        <f t="shared" si="8"/>
        <v>1</v>
      </c>
      <c r="P102" s="289">
        <f t="shared" si="9"/>
        <v>1</v>
      </c>
      <c r="Q102" s="289">
        <f t="shared" si="5"/>
        <v>1</v>
      </c>
      <c r="R102" s="291">
        <f t="shared" si="10"/>
        <v>0.5</v>
      </c>
      <c r="S102" s="291">
        <f t="shared" si="6"/>
        <v>0.5</v>
      </c>
      <c r="T102" s="291">
        <f t="shared" si="7"/>
        <v>0.5</v>
      </c>
      <c r="U102" s="16"/>
      <c r="V102" s="16"/>
      <c r="W102" s="16"/>
      <c r="X102" s="16"/>
      <c r="Y102" s="16"/>
      <c r="Z102" s="16"/>
      <c r="AA102" s="16"/>
      <c r="AB102" s="16"/>
    </row>
    <row r="103" spans="1:28" ht="14.5" customHeight="1" x14ac:dyDescent="0.35">
      <c r="A103" s="16"/>
      <c r="B103" s="16"/>
      <c r="C103" s="16"/>
      <c r="D103" s="16"/>
      <c r="E103" s="16"/>
      <c r="F103" s="16"/>
      <c r="G103" s="16"/>
      <c r="H103" s="16"/>
      <c r="I103" s="16"/>
      <c r="J103" s="16"/>
      <c r="K103" s="29">
        <v>16</v>
      </c>
      <c r="L103" s="16"/>
      <c r="M103" s="176">
        <f>Ennoncé!O62</f>
        <v>0.22247082959981829</v>
      </c>
      <c r="N103" s="176">
        <f>O62</f>
        <v>0.22241748250664317</v>
      </c>
      <c r="O103" s="289">
        <f>IF(M103/N103&gt;0.996,1,0)</f>
        <v>1</v>
      </c>
      <c r="P103" s="289">
        <f>IF(M103/N103&lt;1.004,1,0)</f>
        <v>1</v>
      </c>
      <c r="Q103" s="289">
        <f t="shared" si="5"/>
        <v>1</v>
      </c>
      <c r="R103" s="291">
        <f t="shared" si="10"/>
        <v>0.5</v>
      </c>
      <c r="S103" s="29">
        <f t="shared" si="6"/>
        <v>0.5</v>
      </c>
      <c r="T103" s="29">
        <f t="shared" si="7"/>
        <v>0.5</v>
      </c>
      <c r="U103" s="16"/>
      <c r="V103" s="16"/>
      <c r="W103" s="16"/>
      <c r="X103" s="16"/>
      <c r="Y103" s="16"/>
      <c r="Z103" s="16"/>
      <c r="AA103" s="16"/>
      <c r="AB103" s="16"/>
    </row>
    <row r="104" spans="1:28" ht="14.5" customHeight="1" x14ac:dyDescent="0.35">
      <c r="A104" s="16"/>
      <c r="B104" s="16"/>
      <c r="C104" s="16"/>
      <c r="D104" s="16"/>
      <c r="E104" s="16"/>
      <c r="F104" s="16"/>
      <c r="G104" s="16"/>
      <c r="H104" s="16"/>
      <c r="I104" s="16"/>
      <c r="J104" s="16"/>
      <c r="K104" s="29">
        <v>17.100000000000001</v>
      </c>
      <c r="L104" s="16"/>
      <c r="M104" s="22">
        <f>Ennoncé!R49</f>
        <v>-1346961.92922435</v>
      </c>
      <c r="N104" s="22">
        <f>-(SUM(L19:L21)+Q15+(Q16*R43))</f>
        <v>-1346961.92922435</v>
      </c>
      <c r="O104" s="289">
        <f>IF(M104/N104&gt;0.998,1,0)</f>
        <v>1</v>
      </c>
      <c r="P104" s="289">
        <f>IF(M104/N104&lt;1.002,1,0)</f>
        <v>1</v>
      </c>
      <c r="Q104" s="289">
        <f t="shared" si="5"/>
        <v>1</v>
      </c>
      <c r="R104" s="291">
        <v>0.25</v>
      </c>
      <c r="S104" s="291">
        <f t="shared" si="6"/>
        <v>0.25</v>
      </c>
      <c r="T104" s="291">
        <f t="shared" si="7"/>
        <v>0.25</v>
      </c>
      <c r="U104" s="16"/>
      <c r="V104" s="16"/>
      <c r="W104" s="16"/>
      <c r="X104" s="16"/>
      <c r="Y104" s="16"/>
      <c r="Z104" s="16"/>
      <c r="AA104" s="16"/>
      <c r="AB104" s="16"/>
    </row>
    <row r="105" spans="1:28" ht="14.5" customHeight="1" x14ac:dyDescent="0.35">
      <c r="A105" s="16"/>
      <c r="B105" s="16"/>
      <c r="C105" s="16"/>
      <c r="D105" s="16"/>
      <c r="E105" s="16"/>
      <c r="F105" s="16"/>
      <c r="G105" s="16"/>
      <c r="H105" s="16"/>
      <c r="I105" s="16"/>
      <c r="J105" s="16"/>
      <c r="K105" s="29">
        <v>17.2</v>
      </c>
      <c r="L105" s="16"/>
      <c r="M105" s="22">
        <f>Ennoncé!S50</f>
        <v>1113178.1454405664</v>
      </c>
      <c r="N105" s="22">
        <f>R50+M104</f>
        <v>-1113178.1454405664</v>
      </c>
      <c r="O105" s="289">
        <f>IF(M105/N105&gt;0.998,1,0)</f>
        <v>0</v>
      </c>
      <c r="P105" s="289">
        <f>IF(M105/N105&lt;1.002,1,0)</f>
        <v>1</v>
      </c>
      <c r="Q105" s="289">
        <f t="shared" si="5"/>
        <v>0</v>
      </c>
      <c r="R105" s="291">
        <v>0.25</v>
      </c>
      <c r="S105" s="29">
        <f t="shared" si="6"/>
        <v>0</v>
      </c>
      <c r="T105" s="29">
        <f t="shared" si="7"/>
        <v>0</v>
      </c>
      <c r="U105" s="16"/>
      <c r="V105" s="16"/>
      <c r="W105" s="16"/>
      <c r="X105" s="16"/>
      <c r="Y105" s="16"/>
      <c r="Z105" s="16"/>
      <c r="AA105" s="16"/>
      <c r="AB105" s="16"/>
    </row>
    <row r="106" spans="1:28" ht="14.5" customHeight="1" x14ac:dyDescent="0.35">
      <c r="A106" s="16"/>
      <c r="B106" s="16"/>
      <c r="C106" s="16"/>
      <c r="D106" s="16"/>
      <c r="E106" s="16"/>
      <c r="F106" s="16"/>
      <c r="G106" s="16"/>
      <c r="H106" s="16"/>
      <c r="I106" s="16"/>
      <c r="J106" s="16"/>
      <c r="K106" s="29">
        <v>17.5</v>
      </c>
      <c r="L106" s="16"/>
      <c r="M106" s="293">
        <f>Ennoncé!R59</f>
        <v>151.58879545771543</v>
      </c>
      <c r="N106" s="293">
        <f>R59</f>
        <v>268.15792350142311</v>
      </c>
      <c r="O106" s="289">
        <f>IF(M106/N106&gt;0.998,1,0)</f>
        <v>0</v>
      </c>
      <c r="P106" s="289">
        <f>IF(M106/N106&lt;1.002,1,0)</f>
        <v>1</v>
      </c>
      <c r="Q106" s="289">
        <f t="shared" si="5"/>
        <v>0</v>
      </c>
      <c r="R106" s="291"/>
      <c r="S106" s="29">
        <f t="shared" si="6"/>
        <v>0</v>
      </c>
      <c r="T106" s="29">
        <f t="shared" si="7"/>
        <v>0</v>
      </c>
      <c r="U106" s="16"/>
      <c r="V106" s="16"/>
      <c r="W106" s="16"/>
      <c r="X106" s="16"/>
      <c r="Y106" s="16"/>
      <c r="Z106" s="16"/>
      <c r="AA106" s="16"/>
      <c r="AB106" s="16"/>
    </row>
    <row r="107" spans="1:28" ht="14.5" customHeight="1" x14ac:dyDescent="0.35">
      <c r="A107" s="16"/>
      <c r="B107" s="16"/>
      <c r="C107" s="16"/>
      <c r="D107" s="16"/>
      <c r="E107" s="16"/>
      <c r="F107" s="16"/>
      <c r="G107" s="16"/>
      <c r="H107" s="16"/>
      <c r="I107" s="16"/>
      <c r="J107" s="16"/>
      <c r="K107" s="89">
        <v>18</v>
      </c>
      <c r="L107" s="294"/>
      <c r="M107" s="295">
        <f>Ennoncé!W75</f>
        <v>0.17504267719593214</v>
      </c>
      <c r="N107" s="295">
        <f>W75</f>
        <v>0.17504267719593214</v>
      </c>
      <c r="O107" s="296">
        <f>IF(M107/N107&gt;0.998,1,0)</f>
        <v>1</v>
      </c>
      <c r="P107" s="296">
        <f>IF(M107/N107&lt;1.002,1,0)</f>
        <v>1</v>
      </c>
      <c r="Q107" s="296">
        <f t="shared" si="5"/>
        <v>1</v>
      </c>
      <c r="R107" s="297">
        <f t="shared" si="10"/>
        <v>0.5</v>
      </c>
      <c r="S107" s="89">
        <f t="shared" si="6"/>
        <v>0.5</v>
      </c>
      <c r="T107" s="89">
        <f t="shared" si="7"/>
        <v>0.5</v>
      </c>
      <c r="U107" s="297">
        <f>SUM(T88:T107)</f>
        <v>4.75</v>
      </c>
      <c r="V107" s="291">
        <f>20-SUM(R88:R107)</f>
        <v>13.25</v>
      </c>
      <c r="W107" s="163" t="s">
        <v>129</v>
      </c>
      <c r="X107" s="291">
        <f>V107+U107</f>
        <v>18</v>
      </c>
      <c r="Y107" s="16"/>
      <c r="Z107" s="16"/>
      <c r="AA107" s="16"/>
      <c r="AB107" s="16"/>
    </row>
    <row r="108" spans="1:28" ht="14.5" customHeight="1" x14ac:dyDescent="0.35">
      <c r="A108" s="16"/>
      <c r="B108" s="16"/>
      <c r="C108" s="16"/>
      <c r="D108" s="16"/>
      <c r="E108" s="16"/>
      <c r="F108" s="16"/>
      <c r="G108" s="16"/>
      <c r="H108" s="16"/>
      <c r="I108" s="16"/>
      <c r="J108" s="16"/>
      <c r="K108" s="298"/>
      <c r="L108" s="298"/>
      <c r="M108" s="95"/>
      <c r="N108" s="95"/>
      <c r="O108" s="299"/>
      <c r="P108" s="299"/>
      <c r="Q108" s="299"/>
      <c r="R108" s="300"/>
      <c r="S108" s="298"/>
      <c r="T108" s="18"/>
      <c r="U108" s="18"/>
      <c r="V108" s="16"/>
      <c r="W108" s="16"/>
      <c r="X108" s="16"/>
      <c r="Y108" s="16"/>
      <c r="Z108" s="16"/>
      <c r="AA108" s="16"/>
      <c r="AB108" s="16"/>
    </row>
    <row r="109" spans="1:28" ht="14.5" customHeight="1" x14ac:dyDescent="0.35">
      <c r="A109" s="16"/>
      <c r="B109" s="16"/>
      <c r="C109" s="16"/>
      <c r="D109" s="16"/>
      <c r="E109" s="16"/>
      <c r="F109" s="16"/>
      <c r="G109" s="16"/>
      <c r="H109" s="16"/>
      <c r="I109" s="16"/>
      <c r="J109" s="16"/>
      <c r="K109" s="29"/>
      <c r="L109" s="29"/>
      <c r="M109" s="22"/>
      <c r="N109" s="22"/>
      <c r="O109" s="289"/>
      <c r="P109" s="289"/>
      <c r="Q109" s="289"/>
      <c r="R109" s="291"/>
      <c r="S109" s="29"/>
      <c r="T109" s="16"/>
      <c r="U109" s="16"/>
      <c r="V109" s="16"/>
      <c r="W109" s="16"/>
      <c r="X109" s="16"/>
      <c r="Y109" s="16"/>
      <c r="Z109" s="16"/>
      <c r="AA109" s="16"/>
      <c r="AB109" s="16"/>
    </row>
    <row r="110" spans="1:28" ht="14.5" customHeight="1" x14ac:dyDescent="0.35">
      <c r="A110" s="16"/>
      <c r="B110" s="16"/>
      <c r="C110" s="16"/>
      <c r="D110" s="16"/>
      <c r="E110" s="16"/>
      <c r="F110" s="16"/>
      <c r="G110" s="16"/>
      <c r="H110" s="16"/>
      <c r="I110" s="16"/>
      <c r="J110" s="16"/>
      <c r="K110" s="29"/>
      <c r="L110" s="29"/>
      <c r="M110" s="22"/>
      <c r="N110" s="22"/>
      <c r="O110" s="289"/>
      <c r="P110" s="289"/>
      <c r="Q110" s="289"/>
      <c r="R110" s="291"/>
      <c r="S110" s="29"/>
      <c r="T110" s="16"/>
      <c r="U110" s="16"/>
      <c r="V110" s="16"/>
      <c r="W110" s="16"/>
      <c r="X110" s="16"/>
      <c r="Y110" s="16"/>
      <c r="Z110" s="16"/>
      <c r="AA110" s="16"/>
      <c r="AB110" s="16"/>
    </row>
    <row r="111" spans="1:28" ht="14.5" customHeight="1" x14ac:dyDescent="0.35">
      <c r="A111" s="16"/>
      <c r="B111" s="16"/>
      <c r="C111" s="16"/>
      <c r="D111" s="16"/>
      <c r="E111" s="16"/>
      <c r="F111" s="16"/>
      <c r="G111" s="16"/>
      <c r="H111" s="16"/>
      <c r="I111" s="16"/>
      <c r="J111" s="16"/>
      <c r="K111" s="89"/>
      <c r="L111" s="89"/>
      <c r="M111" s="295"/>
      <c r="N111" s="295"/>
      <c r="O111" s="296"/>
      <c r="P111" s="296"/>
      <c r="Q111" s="296"/>
      <c r="R111" s="297"/>
      <c r="S111" s="89"/>
      <c r="T111" s="89"/>
      <c r="U111" s="89"/>
      <c r="V111" s="16"/>
      <c r="W111" s="16"/>
      <c r="X111" s="16"/>
      <c r="Y111" s="16"/>
      <c r="Z111" s="16"/>
      <c r="AA111" s="16"/>
      <c r="AB111" s="16"/>
    </row>
    <row r="112" spans="1:28" ht="14.5" customHeight="1" x14ac:dyDescent="0.3">
      <c r="A112" s="16"/>
      <c r="B112" s="16"/>
      <c r="C112" s="16"/>
      <c r="D112" s="16"/>
      <c r="E112" s="16"/>
      <c r="F112" s="16"/>
      <c r="G112" s="16"/>
      <c r="H112" s="16"/>
      <c r="I112" s="16"/>
      <c r="J112" s="16"/>
      <c r="K112" s="18"/>
      <c r="L112" s="18"/>
      <c r="M112" s="18"/>
      <c r="N112" s="18"/>
      <c r="O112" s="18"/>
      <c r="P112" s="18"/>
      <c r="Q112" s="18"/>
      <c r="R112" s="18"/>
      <c r="S112" s="18"/>
      <c r="T112" s="18"/>
      <c r="U112" s="18"/>
      <c r="V112" s="16"/>
      <c r="W112" s="16"/>
      <c r="X112" s="16"/>
      <c r="Y112" s="16"/>
      <c r="Z112" s="16"/>
      <c r="AA112" s="16"/>
      <c r="AB112" s="16"/>
    </row>
    <row r="113" spans="1:28" ht="14.5" customHeight="1" x14ac:dyDescent="0.35">
      <c r="A113" s="16"/>
      <c r="B113" s="155"/>
      <c r="C113" s="16"/>
      <c r="D113" s="16"/>
      <c r="E113" s="16"/>
      <c r="F113" s="16"/>
      <c r="G113" s="16"/>
      <c r="H113" s="16"/>
      <c r="I113" s="16"/>
      <c r="J113" s="16"/>
      <c r="K113" s="16"/>
      <c r="L113" s="16"/>
      <c r="M113" s="16"/>
      <c r="N113" s="16"/>
      <c r="O113" s="16"/>
      <c r="P113" s="16"/>
      <c r="Q113" s="301" t="s">
        <v>130</v>
      </c>
      <c r="R113" s="302">
        <f>V107</f>
        <v>13.25</v>
      </c>
      <c r="S113" s="291">
        <f>SUM(R88:R111)</f>
        <v>6.75</v>
      </c>
      <c r="T113" s="16"/>
      <c r="U113" s="16"/>
      <c r="V113" s="16"/>
      <c r="W113" s="16"/>
      <c r="X113" s="16"/>
      <c r="Y113" s="16"/>
      <c r="Z113" s="16"/>
      <c r="AA113" s="16"/>
      <c r="AB113" s="16"/>
    </row>
    <row r="114" spans="1:28" ht="14.5" customHeight="1" x14ac:dyDescent="0.35">
      <c r="A114" s="16"/>
      <c r="B114" s="16"/>
      <c r="C114" s="16"/>
      <c r="D114" s="16"/>
      <c r="E114" s="16"/>
      <c r="F114" s="16"/>
      <c r="G114" s="16"/>
      <c r="H114" s="16"/>
      <c r="I114" s="16"/>
      <c r="J114" s="16"/>
      <c r="K114" s="16"/>
      <c r="L114" s="16"/>
      <c r="M114" s="16"/>
      <c r="N114" s="16"/>
      <c r="O114" s="16"/>
      <c r="P114" s="16"/>
      <c r="Q114" s="163" t="s">
        <v>131</v>
      </c>
      <c r="R114" s="16"/>
      <c r="S114" s="291">
        <f>(20-S113)</f>
        <v>13.25</v>
      </c>
      <c r="T114" s="16"/>
      <c r="U114" s="16"/>
      <c r="V114" s="16"/>
      <c r="W114" s="16"/>
      <c r="X114" s="16"/>
      <c r="Y114" s="16"/>
      <c r="Z114" s="16"/>
      <c r="AA114" s="16"/>
      <c r="AB114" s="16"/>
    </row>
    <row r="115" spans="1:28" ht="14.5" customHeigh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ht="14.5" customHeigh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spans="1:28" ht="14.5" customHeigh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spans="1:28" ht="14.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spans="1:28" ht="14.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spans="1:28" ht="17" customHeight="1" x14ac:dyDescent="0.35">
      <c r="A120" s="16"/>
      <c r="B120" s="16"/>
      <c r="C120" s="16"/>
      <c r="D120" s="16"/>
      <c r="E120" s="16"/>
      <c r="F120" s="16"/>
      <c r="G120" s="16"/>
      <c r="H120" s="16"/>
      <c r="I120" s="16"/>
      <c r="J120" s="23"/>
      <c r="K120" s="134" t="s">
        <v>53</v>
      </c>
      <c r="L120" s="216"/>
      <c r="M120" s="303">
        <f>N42</f>
        <v>-1327200</v>
      </c>
      <c r="N120" s="22">
        <f>((Feuil5!O27)*O25)-Feuil5!O26</f>
        <v>259500</v>
      </c>
      <c r="O120" s="22">
        <f>P42</f>
        <v>259500</v>
      </c>
      <c r="P120" s="22">
        <f>Q42</f>
        <v>259500</v>
      </c>
      <c r="Q120" s="22">
        <f>Ennoncé!R42</f>
        <v>229500</v>
      </c>
      <c r="R120" s="22">
        <f>S42</f>
        <v>408000</v>
      </c>
      <c r="S120" s="22">
        <f>T42</f>
        <v>408000</v>
      </c>
      <c r="T120" s="22">
        <f>U42</f>
        <v>408000</v>
      </c>
      <c r="U120" s="22">
        <f>Ennoncé!V42</f>
        <v>1618657.2219544917</v>
      </c>
      <c r="V120" s="16"/>
      <c r="W120" s="16"/>
      <c r="X120" s="16"/>
      <c r="Y120" s="16"/>
      <c r="Z120" s="16"/>
      <c r="AA120" s="16"/>
      <c r="AB120" s="16"/>
    </row>
    <row r="121" spans="1:28" ht="14.5" customHeight="1" x14ac:dyDescent="0.35">
      <c r="A121" s="16"/>
      <c r="B121" s="16"/>
      <c r="C121" s="16"/>
      <c r="D121" s="16"/>
      <c r="E121" s="16"/>
      <c r="F121" s="16"/>
      <c r="G121" s="16"/>
      <c r="H121" s="16"/>
      <c r="I121" s="16"/>
      <c r="J121" s="16"/>
      <c r="K121" s="45"/>
      <c r="L121" s="45"/>
      <c r="M121" s="22">
        <f>NPV(M43,N120:U120)+M120</f>
        <v>817279.21887025703</v>
      </c>
      <c r="N121" s="16"/>
      <c r="O121" s="16"/>
      <c r="P121" s="16"/>
      <c r="Q121" s="16"/>
      <c r="R121" s="16"/>
      <c r="S121" s="16"/>
      <c r="T121" s="16"/>
      <c r="U121" s="16"/>
      <c r="V121" s="16"/>
      <c r="W121" s="16"/>
      <c r="X121" s="16"/>
      <c r="Y121" s="16"/>
      <c r="Z121" s="16"/>
      <c r="AA121" s="16"/>
      <c r="AB121" s="16"/>
    </row>
  </sheetData>
  <conditionalFormatting sqref="M26:M28">
    <cfRule type="cellIs" dxfId="1" priority="1" stopIfTrue="1" operator="lessThan">
      <formula>0</formula>
    </cfRule>
  </conditionalFormatting>
  <pageMargins left="0.7" right="0.7" top="0.75" bottom="0.75" header="0.3" footer="0.3"/>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
  <sheetViews>
    <sheetView showGridLines="0" topLeftCell="F1" workbookViewId="0">
      <selection activeCell="F11" sqref="F11"/>
    </sheetView>
  </sheetViews>
  <sheetFormatPr baseColWidth="10" defaultColWidth="11.83203125" defaultRowHeight="14" customHeight="1" x14ac:dyDescent="0.3"/>
  <cols>
    <col min="1" max="5" width="11.83203125" style="304" hidden="1" customWidth="1"/>
    <col min="6" max="256" width="11.83203125" style="304" customWidth="1"/>
  </cols>
  <sheetData>
    <row r="1" spans="1:6" ht="14.5" customHeight="1" x14ac:dyDescent="0.3">
      <c r="A1" s="305" t="s">
        <v>132</v>
      </c>
      <c r="B1" s="306">
        <f>Feuil3!X107</f>
        <v>18</v>
      </c>
      <c r="C1" s="307">
        <f>Ennoncé!H1</f>
        <v>1949062</v>
      </c>
      <c r="D1" s="307">
        <f>Ennoncé!J1</f>
        <v>3</v>
      </c>
      <c r="E1" s="305" t="str">
        <f>Ennoncé!C1</f>
        <v>Hemed</v>
      </c>
      <c r="F1" s="305" t="str">
        <f>Ennoncé!E1</f>
        <v>Salha</v>
      </c>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95"/>
  <sheetViews>
    <sheetView showGridLines="0" topLeftCell="X1" workbookViewId="0"/>
  </sheetViews>
  <sheetFormatPr baseColWidth="10" defaultColWidth="10.83203125" defaultRowHeight="16" customHeight="1" x14ac:dyDescent="0.3"/>
  <cols>
    <col min="1" max="23" width="10.83203125" style="308" hidden="1" customWidth="1"/>
    <col min="24" max="256" width="10.83203125" style="308" customWidth="1"/>
  </cols>
  <sheetData>
    <row r="1" spans="1:24" ht="14.5" customHeight="1" x14ac:dyDescent="0.35">
      <c r="A1" s="12"/>
      <c r="B1" s="13" t="s">
        <v>22</v>
      </c>
      <c r="C1" s="183"/>
      <c r="D1" s="13" t="s">
        <v>23</v>
      </c>
      <c r="E1" s="184"/>
      <c r="F1" s="185"/>
      <c r="G1" s="13" t="s">
        <v>24</v>
      </c>
      <c r="H1" s="186"/>
      <c r="I1" s="14" t="s">
        <v>25</v>
      </c>
      <c r="J1" s="187"/>
      <c r="K1" s="15"/>
      <c r="L1" s="16"/>
      <c r="M1" s="16"/>
      <c r="N1" s="16"/>
      <c r="O1" s="16"/>
      <c r="P1" s="16"/>
      <c r="Q1" s="16"/>
      <c r="R1" s="16"/>
      <c r="S1" s="16"/>
      <c r="T1" s="16"/>
      <c r="U1" s="16"/>
      <c r="V1" s="16"/>
      <c r="W1" s="16"/>
      <c r="X1" s="16"/>
    </row>
    <row r="2" spans="1:24" ht="14.5" customHeight="1" x14ac:dyDescent="0.35">
      <c r="A2" s="16"/>
      <c r="B2" s="188" t="s">
        <v>26</v>
      </c>
      <c r="C2" s="17"/>
      <c r="D2" s="17"/>
      <c r="E2" s="17"/>
      <c r="F2" s="17"/>
      <c r="G2" s="188" t="s">
        <v>27</v>
      </c>
      <c r="H2" s="17"/>
      <c r="I2" s="17"/>
      <c r="J2" s="18"/>
      <c r="K2" s="19" t="s">
        <v>28</v>
      </c>
      <c r="L2" s="16"/>
      <c r="M2" s="16"/>
      <c r="N2" s="16"/>
      <c r="O2" s="16"/>
      <c r="P2" s="16"/>
      <c r="Q2" s="16"/>
      <c r="R2" s="16"/>
      <c r="S2" s="16"/>
      <c r="T2" s="16"/>
      <c r="U2" s="16"/>
      <c r="V2" s="16"/>
      <c r="W2" s="16"/>
      <c r="X2" s="16"/>
    </row>
    <row r="3" spans="1:24" ht="16" customHeight="1" x14ac:dyDescent="0.3">
      <c r="A3" s="16"/>
      <c r="B3" s="189" t="s">
        <v>133</v>
      </c>
      <c r="C3" s="177"/>
      <c r="D3" s="177"/>
      <c r="E3" s="177"/>
      <c r="F3" s="177"/>
      <c r="G3" s="177"/>
      <c r="H3" s="177"/>
      <c r="I3" s="16"/>
      <c r="J3" s="16"/>
      <c r="K3" s="16"/>
      <c r="L3" s="16"/>
      <c r="M3" s="16"/>
      <c r="N3" s="16"/>
      <c r="O3" s="16"/>
      <c r="P3" s="16"/>
      <c r="Q3" s="16"/>
      <c r="R3" s="16"/>
      <c r="S3" s="16"/>
      <c r="T3" s="16"/>
      <c r="U3" s="16"/>
      <c r="V3" s="16"/>
      <c r="W3" s="16"/>
      <c r="X3" s="16"/>
    </row>
    <row r="4" spans="1:24" ht="14" customHeight="1" x14ac:dyDescent="0.35">
      <c r="A4" s="16"/>
      <c r="B4" s="177"/>
      <c r="C4" s="177"/>
      <c r="D4" s="177"/>
      <c r="E4" s="177"/>
      <c r="F4" s="177"/>
      <c r="G4" s="177"/>
      <c r="H4" s="177"/>
      <c r="I4" s="16"/>
      <c r="J4" s="16"/>
      <c r="K4" s="20" t="s">
        <v>30</v>
      </c>
      <c r="L4" s="21"/>
      <c r="M4" s="21"/>
      <c r="N4" s="21"/>
      <c r="O4" s="21"/>
      <c r="P4" s="21"/>
      <c r="Q4" s="21"/>
      <c r="R4" s="22"/>
      <c r="S4" s="16"/>
      <c r="T4" s="16"/>
      <c r="U4" s="16"/>
      <c r="V4" s="16"/>
      <c r="W4" s="16"/>
      <c r="X4" s="16"/>
    </row>
    <row r="5" spans="1:24" ht="14" customHeight="1" x14ac:dyDescent="0.35">
      <c r="A5" s="16"/>
      <c r="B5" s="177"/>
      <c r="C5" s="177"/>
      <c r="D5" s="177"/>
      <c r="E5" s="177"/>
      <c r="F5" s="177"/>
      <c r="G5" s="177"/>
      <c r="H5" s="177"/>
      <c r="I5" s="16"/>
      <c r="J5" s="23"/>
      <c r="K5" s="128"/>
      <c r="L5" s="191" t="s">
        <v>83</v>
      </c>
      <c r="M5" s="129"/>
      <c r="N5" s="129"/>
      <c r="O5" s="129"/>
      <c r="P5" s="191" t="s">
        <v>84</v>
      </c>
      <c r="Q5" s="192" t="s">
        <v>85</v>
      </c>
      <c r="R5" s="24"/>
      <c r="S5" s="16"/>
      <c r="T5" s="16"/>
      <c r="U5" s="16"/>
      <c r="V5" s="16"/>
      <c r="W5" s="16"/>
      <c r="X5" s="16"/>
    </row>
    <row r="6" spans="1:24" ht="14" customHeight="1" x14ac:dyDescent="0.35">
      <c r="A6" s="16"/>
      <c r="B6" s="177"/>
      <c r="C6" s="177"/>
      <c r="D6" s="177"/>
      <c r="E6" s="177"/>
      <c r="F6" s="177"/>
      <c r="G6" s="177"/>
      <c r="H6" s="177"/>
      <c r="I6" s="16"/>
      <c r="J6" s="23"/>
      <c r="K6" s="136" t="s">
        <v>86</v>
      </c>
      <c r="L6" s="22">
        <v>954000</v>
      </c>
      <c r="M6" s="29"/>
      <c r="N6" s="29"/>
      <c r="O6" s="163" t="s">
        <v>37</v>
      </c>
      <c r="P6" s="22">
        <v>294000</v>
      </c>
      <c r="Q6" s="193">
        <v>0.35</v>
      </c>
      <c r="R6" s="24"/>
      <c r="S6" s="16"/>
      <c r="T6" s="16"/>
      <c r="U6" s="16"/>
      <c r="V6" s="16"/>
      <c r="W6" s="16"/>
      <c r="X6" s="16"/>
    </row>
    <row r="7" spans="1:24" ht="14" customHeight="1" x14ac:dyDescent="0.35">
      <c r="A7" s="16"/>
      <c r="B7" s="177"/>
      <c r="C7" s="177"/>
      <c r="D7" s="177"/>
      <c r="E7" s="177"/>
      <c r="F7" s="177"/>
      <c r="G7" s="177"/>
      <c r="H7" s="177"/>
      <c r="I7" s="16"/>
      <c r="J7" s="23"/>
      <c r="K7" s="136" t="s">
        <v>87</v>
      </c>
      <c r="L7" s="22">
        <v>4550</v>
      </c>
      <c r="M7" s="29"/>
      <c r="N7" s="29"/>
      <c r="O7" s="163" t="s">
        <v>38</v>
      </c>
      <c r="P7" s="22">
        <v>546000</v>
      </c>
      <c r="Q7" s="193">
        <v>0.65</v>
      </c>
      <c r="R7" s="24"/>
      <c r="S7" s="16"/>
      <c r="T7" s="16"/>
      <c r="U7" s="16"/>
      <c r="V7" s="16"/>
      <c r="W7" s="16"/>
      <c r="X7" s="16"/>
    </row>
    <row r="8" spans="1:24" ht="14" customHeight="1" x14ac:dyDescent="0.35">
      <c r="A8" s="16"/>
      <c r="B8" s="177"/>
      <c r="C8" s="177"/>
      <c r="D8" s="177"/>
      <c r="E8" s="177"/>
      <c r="F8" s="177"/>
      <c r="G8" s="177"/>
      <c r="H8" s="177"/>
      <c r="I8" s="16"/>
      <c r="J8" s="23"/>
      <c r="K8" s="136" t="s">
        <v>88</v>
      </c>
      <c r="L8" s="22">
        <v>21450</v>
      </c>
      <c r="M8" s="29"/>
      <c r="N8" s="29"/>
      <c r="O8" s="195" t="s">
        <v>89</v>
      </c>
      <c r="P8" s="113">
        <f>P6+P7</f>
        <v>840000</v>
      </c>
      <c r="Q8" s="30"/>
      <c r="R8" s="309"/>
      <c r="S8" s="16"/>
      <c r="T8" s="16"/>
      <c r="U8" s="16"/>
      <c r="V8" s="16"/>
      <c r="W8" s="16"/>
      <c r="X8" s="16"/>
    </row>
    <row r="9" spans="1:24" ht="14.5" customHeight="1" x14ac:dyDescent="0.35">
      <c r="A9" s="16"/>
      <c r="B9" s="177"/>
      <c r="C9" s="177"/>
      <c r="D9" s="177"/>
      <c r="E9" s="177"/>
      <c r="F9" s="177"/>
      <c r="G9" s="177"/>
      <c r="H9" s="177"/>
      <c r="I9" s="16"/>
      <c r="J9" s="23"/>
      <c r="K9" s="196" t="s">
        <v>89</v>
      </c>
      <c r="L9" s="113">
        <f>SUM(L6:L8)</f>
        <v>980000</v>
      </c>
      <c r="M9" s="29"/>
      <c r="N9" s="29"/>
      <c r="O9" s="29"/>
      <c r="P9" s="29"/>
      <c r="Q9" s="30"/>
      <c r="R9" s="24"/>
      <c r="S9" s="16"/>
      <c r="T9" s="16"/>
      <c r="U9" s="16"/>
      <c r="V9" s="16"/>
      <c r="W9" s="16"/>
      <c r="X9" s="16"/>
    </row>
    <row r="10" spans="1:24" ht="14.5" customHeight="1" x14ac:dyDescent="0.35">
      <c r="A10" s="16"/>
      <c r="B10" s="177"/>
      <c r="C10" s="177"/>
      <c r="D10" s="177"/>
      <c r="E10" s="177"/>
      <c r="F10" s="177"/>
      <c r="G10" s="177"/>
      <c r="H10" s="177"/>
      <c r="I10" s="16"/>
      <c r="J10" s="23"/>
      <c r="K10" s="28"/>
      <c r="L10" s="29"/>
      <c r="M10" s="29"/>
      <c r="N10" s="22"/>
      <c r="O10" s="22"/>
      <c r="P10" s="29"/>
      <c r="Q10" s="30"/>
      <c r="R10" s="24"/>
      <c r="S10" s="16"/>
      <c r="T10" s="16"/>
      <c r="U10" s="16"/>
      <c r="V10" s="16"/>
      <c r="W10" s="16"/>
      <c r="X10" s="16"/>
    </row>
    <row r="11" spans="1:24" ht="16" customHeight="1" x14ac:dyDescent="0.35">
      <c r="A11" s="16"/>
      <c r="B11" s="189" t="s">
        <v>134</v>
      </c>
      <c r="C11" s="177"/>
      <c r="D11" s="177"/>
      <c r="E11" s="177"/>
      <c r="F11" s="177"/>
      <c r="G11" s="177"/>
      <c r="H11" s="177"/>
      <c r="I11" s="16"/>
      <c r="J11" s="23"/>
      <c r="K11" s="28"/>
      <c r="L11" s="163" t="s">
        <v>34</v>
      </c>
      <c r="M11" s="29"/>
      <c r="N11" s="29"/>
      <c r="O11" s="29"/>
      <c r="P11" s="29"/>
      <c r="Q11" s="30"/>
      <c r="R11" s="24"/>
      <c r="S11" s="16"/>
      <c r="T11" s="16"/>
      <c r="U11" s="16"/>
      <c r="V11" s="16"/>
      <c r="W11" s="16"/>
      <c r="X11" s="16"/>
    </row>
    <row r="12" spans="1:24" ht="14.5" customHeight="1" x14ac:dyDescent="0.35">
      <c r="A12" s="16"/>
      <c r="B12" s="177"/>
      <c r="C12" s="177"/>
      <c r="D12" s="177"/>
      <c r="E12" s="177"/>
      <c r="F12" s="177"/>
      <c r="G12" s="177"/>
      <c r="H12" s="177"/>
      <c r="I12" s="16"/>
      <c r="J12" s="23"/>
      <c r="K12" s="169" t="s">
        <v>35</v>
      </c>
      <c r="L12" s="197">
        <v>25</v>
      </c>
      <c r="M12" s="22">
        <v>35000</v>
      </c>
      <c r="N12" s="29"/>
      <c r="O12" s="29"/>
      <c r="P12" s="29"/>
      <c r="Q12" s="30"/>
      <c r="R12" s="24"/>
      <c r="S12" s="16"/>
      <c r="T12" s="16"/>
      <c r="U12" s="16"/>
      <c r="V12" s="16"/>
      <c r="W12" s="16"/>
      <c r="X12" s="16"/>
    </row>
    <row r="13" spans="1:24" ht="14.5" customHeight="1" x14ac:dyDescent="0.35">
      <c r="A13" s="16"/>
      <c r="B13" s="177"/>
      <c r="C13" s="177"/>
      <c r="D13" s="177"/>
      <c r="E13" s="177"/>
      <c r="F13" s="177"/>
      <c r="G13" s="177"/>
      <c r="H13" s="177"/>
      <c r="I13" s="16"/>
      <c r="J13" s="23"/>
      <c r="K13" s="169" t="s">
        <v>37</v>
      </c>
      <c r="L13" s="292">
        <v>120000</v>
      </c>
      <c r="M13" s="29"/>
      <c r="N13" s="29"/>
      <c r="O13" s="29"/>
      <c r="P13" s="29"/>
      <c r="Q13" s="30"/>
      <c r="R13" s="24"/>
      <c r="S13" s="16"/>
      <c r="T13" s="16"/>
      <c r="U13" s="16"/>
      <c r="V13" s="16"/>
      <c r="W13" s="16"/>
      <c r="X13" s="16"/>
    </row>
    <row r="14" spans="1:24" ht="14.5" customHeight="1" x14ac:dyDescent="0.35">
      <c r="A14" s="16"/>
      <c r="B14" s="177"/>
      <c r="C14" s="177"/>
      <c r="D14" s="177"/>
      <c r="E14" s="177"/>
      <c r="F14" s="177"/>
      <c r="G14" s="177"/>
      <c r="H14" s="177"/>
      <c r="I14" s="16"/>
      <c r="J14" s="23"/>
      <c r="K14" s="169" t="s">
        <v>38</v>
      </c>
      <c r="L14" s="114">
        <v>0.03</v>
      </c>
      <c r="M14" s="29"/>
      <c r="N14" s="29"/>
      <c r="O14" s="29"/>
      <c r="P14" s="29"/>
      <c r="Q14" s="30"/>
      <c r="R14" s="24"/>
      <c r="S14" s="16"/>
      <c r="T14" s="16"/>
      <c r="U14" s="16"/>
      <c r="V14" s="16"/>
      <c r="W14" s="16"/>
      <c r="X14" s="16"/>
    </row>
    <row r="15" spans="1:24" ht="14.5" customHeight="1" x14ac:dyDescent="0.35">
      <c r="A15" s="16"/>
      <c r="B15" s="177"/>
      <c r="C15" s="177"/>
      <c r="D15" s="177"/>
      <c r="E15" s="177"/>
      <c r="F15" s="177"/>
      <c r="G15" s="177"/>
      <c r="H15" s="177"/>
      <c r="I15" s="16"/>
      <c r="J15" s="23"/>
      <c r="K15" s="28"/>
      <c r="L15" s="29"/>
      <c r="M15" s="29"/>
      <c r="N15" s="29"/>
      <c r="O15" s="163" t="s">
        <v>90</v>
      </c>
      <c r="P15" s="29"/>
      <c r="Q15" s="98">
        <v>20000</v>
      </c>
      <c r="R15" s="24"/>
      <c r="S15" s="16"/>
      <c r="T15" s="16"/>
      <c r="U15" s="16"/>
      <c r="V15" s="16"/>
      <c r="W15" s="16"/>
      <c r="X15" s="16"/>
    </row>
    <row r="16" spans="1:24" ht="14.5" customHeight="1" x14ac:dyDescent="0.35">
      <c r="A16" s="16"/>
      <c r="B16" s="177"/>
      <c r="C16" s="177"/>
      <c r="D16" s="177"/>
      <c r="E16" s="177"/>
      <c r="F16" s="177"/>
      <c r="G16" s="177"/>
      <c r="H16" s="177"/>
      <c r="I16" s="16"/>
      <c r="J16" s="23"/>
      <c r="K16" s="28"/>
      <c r="L16" s="29"/>
      <c r="M16" s="29"/>
      <c r="N16" s="29"/>
      <c r="O16" s="29"/>
      <c r="P16" s="29"/>
      <c r="Q16" s="98">
        <v>30000</v>
      </c>
      <c r="R16" s="24"/>
      <c r="S16" s="16"/>
      <c r="T16" s="16"/>
      <c r="U16" s="16"/>
      <c r="V16" s="16"/>
      <c r="W16" s="16"/>
      <c r="X16" s="16"/>
    </row>
    <row r="17" spans="1:24" ht="16" customHeight="1" x14ac:dyDescent="0.35">
      <c r="A17" s="16"/>
      <c r="B17" s="189" t="s">
        <v>135</v>
      </c>
      <c r="C17" s="177"/>
      <c r="D17" s="177"/>
      <c r="E17" s="177"/>
      <c r="F17" s="177"/>
      <c r="G17" s="177"/>
      <c r="H17" s="177"/>
      <c r="I17" s="16"/>
      <c r="J17" s="23"/>
      <c r="K17" s="28"/>
      <c r="L17" s="43"/>
      <c r="M17" s="43"/>
      <c r="N17" s="29"/>
      <c r="O17" s="29"/>
      <c r="P17" s="29"/>
      <c r="Q17" s="30"/>
      <c r="R17" s="24"/>
      <c r="S17" s="16"/>
      <c r="T17" s="16"/>
      <c r="U17" s="16"/>
      <c r="V17" s="16"/>
      <c r="W17" s="16"/>
      <c r="X17" s="16"/>
    </row>
    <row r="18" spans="1:24" ht="16" customHeight="1" x14ac:dyDescent="0.35">
      <c r="A18" s="16"/>
      <c r="B18" s="177"/>
      <c r="C18" s="177"/>
      <c r="D18" s="177"/>
      <c r="E18" s="177"/>
      <c r="F18" s="177"/>
      <c r="G18" s="177"/>
      <c r="H18" s="177"/>
      <c r="I18" s="16"/>
      <c r="J18" s="23"/>
      <c r="K18" s="25"/>
      <c r="L18" s="26" t="s">
        <v>33</v>
      </c>
      <c r="M18" s="27" t="s">
        <v>34</v>
      </c>
      <c r="N18" s="28"/>
      <c r="O18" s="29"/>
      <c r="P18" s="29"/>
      <c r="Q18" s="30"/>
      <c r="R18" s="24"/>
      <c r="S18" s="16"/>
      <c r="T18" s="35"/>
      <c r="U18" s="16"/>
      <c r="V18" s="16"/>
      <c r="W18" s="16"/>
      <c r="X18" s="16"/>
    </row>
    <row r="19" spans="1:24" ht="14" customHeight="1" x14ac:dyDescent="0.35">
      <c r="A19" s="16"/>
      <c r="B19" s="177"/>
      <c r="C19" s="177"/>
      <c r="D19" s="177"/>
      <c r="E19" s="177"/>
      <c r="F19" s="177"/>
      <c r="G19" s="177"/>
      <c r="H19" s="177"/>
      <c r="I19" s="16"/>
      <c r="J19" s="23"/>
      <c r="K19" s="32" t="s">
        <v>35</v>
      </c>
      <c r="L19" s="33">
        <v>327000</v>
      </c>
      <c r="M19" s="34">
        <f>L19-((L19-M12)/L12*V24)</f>
        <v>233560</v>
      </c>
      <c r="N19" s="28"/>
      <c r="O19" s="29"/>
      <c r="P19" s="29"/>
      <c r="Q19" s="30"/>
      <c r="R19" s="24"/>
      <c r="S19" s="16"/>
      <c r="T19" s="35"/>
      <c r="U19" s="16"/>
      <c r="V19" s="16"/>
      <c r="W19" s="16"/>
      <c r="X19" s="16"/>
    </row>
    <row r="20" spans="1:24" ht="16" customHeight="1" x14ac:dyDescent="0.35">
      <c r="A20" s="16"/>
      <c r="B20" s="189" t="s">
        <v>136</v>
      </c>
      <c r="C20" s="177"/>
      <c r="D20" s="177"/>
      <c r="E20" s="177"/>
      <c r="F20" s="177"/>
      <c r="G20" s="177"/>
      <c r="H20" s="177"/>
      <c r="I20" s="16"/>
      <c r="J20" s="23"/>
      <c r="K20" s="36" t="s">
        <v>37</v>
      </c>
      <c r="L20" s="37">
        <f>L9*Q6</f>
        <v>343000</v>
      </c>
      <c r="M20" s="38">
        <f>L13</f>
        <v>120000</v>
      </c>
      <c r="N20" s="28"/>
      <c r="O20" s="29"/>
      <c r="P20" s="29"/>
      <c r="Q20" s="30"/>
      <c r="R20" s="24"/>
      <c r="S20" s="16"/>
      <c r="T20" s="16"/>
      <c r="U20" s="16"/>
      <c r="V20" s="16"/>
      <c r="W20" s="16"/>
      <c r="X20" s="16"/>
    </row>
    <row r="21" spans="1:24" ht="17" customHeight="1" x14ac:dyDescent="0.35">
      <c r="A21" s="16"/>
      <c r="B21" s="177"/>
      <c r="C21" s="177"/>
      <c r="D21" s="177"/>
      <c r="E21" s="177"/>
      <c r="F21" s="177"/>
      <c r="G21" s="177"/>
      <c r="H21" s="177"/>
      <c r="I21" s="16"/>
      <c r="J21" s="23"/>
      <c r="K21" s="39" t="s">
        <v>38</v>
      </c>
      <c r="L21" s="40">
        <f>L9*Q7</f>
        <v>637000</v>
      </c>
      <c r="M21" s="41">
        <f>L21*(1+L14)^V24</f>
        <v>806932.5418439114</v>
      </c>
      <c r="N21" s="42"/>
      <c r="O21" s="43"/>
      <c r="P21" s="43"/>
      <c r="Q21" s="44"/>
      <c r="R21" s="24"/>
      <c r="S21" s="16"/>
      <c r="T21" s="16"/>
      <c r="U21" s="16"/>
      <c r="V21" s="16"/>
      <c r="W21" s="16"/>
      <c r="X21" s="16"/>
    </row>
    <row r="22" spans="1:24" ht="14.5" customHeight="1" x14ac:dyDescent="0.3">
      <c r="A22" s="16"/>
      <c r="B22" s="177"/>
      <c r="C22" s="177"/>
      <c r="D22" s="177"/>
      <c r="E22" s="177"/>
      <c r="F22" s="177"/>
      <c r="G22" s="177"/>
      <c r="H22" s="177"/>
      <c r="I22" s="16"/>
      <c r="J22" s="16"/>
      <c r="K22" s="45"/>
      <c r="L22" s="45"/>
      <c r="M22" s="45"/>
      <c r="N22" s="45"/>
      <c r="O22" s="45"/>
      <c r="P22" s="45"/>
      <c r="Q22" s="45"/>
      <c r="R22" s="16"/>
      <c r="S22" s="16"/>
      <c r="T22" s="16"/>
      <c r="U22" s="16"/>
      <c r="V22" s="16"/>
      <c r="W22" s="16"/>
      <c r="X22" s="16"/>
    </row>
    <row r="23" spans="1:24" ht="17" customHeight="1" x14ac:dyDescent="0.35">
      <c r="A23" s="16"/>
      <c r="B23" s="177"/>
      <c r="C23" s="177"/>
      <c r="D23" s="177"/>
      <c r="E23" s="177"/>
      <c r="F23" s="177"/>
      <c r="G23" s="177"/>
      <c r="H23" s="177"/>
      <c r="I23" s="16"/>
      <c r="J23" s="16"/>
      <c r="K23" s="20" t="s">
        <v>39</v>
      </c>
      <c r="L23" s="46"/>
      <c r="M23" s="46"/>
      <c r="N23" s="43"/>
      <c r="O23" s="47"/>
      <c r="P23" s="43"/>
      <c r="Q23" s="43"/>
      <c r="R23" s="43"/>
      <c r="S23" s="43"/>
      <c r="T23" s="43"/>
      <c r="U23" s="43"/>
      <c r="V23" s="21"/>
      <c r="W23" s="16"/>
      <c r="X23" s="16"/>
    </row>
    <row r="24" spans="1:24" ht="16" customHeight="1" x14ac:dyDescent="0.35">
      <c r="A24" s="16"/>
      <c r="B24" s="189" t="s">
        <v>137</v>
      </c>
      <c r="C24" s="177"/>
      <c r="D24" s="177"/>
      <c r="E24" s="177"/>
      <c r="F24" s="177"/>
      <c r="G24" s="177"/>
      <c r="H24" s="177"/>
      <c r="I24" s="16"/>
      <c r="J24" s="23"/>
      <c r="K24" s="190" t="s">
        <v>41</v>
      </c>
      <c r="L24" s="48"/>
      <c r="M24" s="49" t="s">
        <v>42</v>
      </c>
      <c r="N24" s="50">
        <v>0</v>
      </c>
      <c r="O24" s="51">
        <v>1</v>
      </c>
      <c r="P24" s="51">
        <v>2</v>
      </c>
      <c r="Q24" s="51">
        <v>3</v>
      </c>
      <c r="R24" s="51">
        <v>4</v>
      </c>
      <c r="S24" s="51">
        <v>5</v>
      </c>
      <c r="T24" s="51">
        <v>6</v>
      </c>
      <c r="U24" s="51">
        <v>7</v>
      </c>
      <c r="V24" s="52">
        <v>8</v>
      </c>
      <c r="W24" s="53"/>
      <c r="X24" s="31"/>
    </row>
    <row r="25" spans="1:24" ht="14" customHeight="1" x14ac:dyDescent="0.35">
      <c r="A25" s="16"/>
      <c r="B25" s="177"/>
      <c r="C25" s="177"/>
      <c r="D25" s="177"/>
      <c r="E25" s="177"/>
      <c r="F25" s="177"/>
      <c r="G25" s="177"/>
      <c r="H25" s="177"/>
      <c r="I25" s="16"/>
      <c r="J25" s="23"/>
      <c r="K25" s="190" t="s">
        <v>43</v>
      </c>
      <c r="L25" s="48"/>
      <c r="M25" s="54"/>
      <c r="N25" s="55"/>
      <c r="O25" s="56">
        <f t="shared" ref="O25:R25" si="0">$C$39</f>
        <v>15300</v>
      </c>
      <c r="P25" s="56">
        <f t="shared" si="0"/>
        <v>15300</v>
      </c>
      <c r="Q25" s="56">
        <f t="shared" si="0"/>
        <v>15300</v>
      </c>
      <c r="R25" s="56">
        <f t="shared" si="0"/>
        <v>15300</v>
      </c>
      <c r="S25" s="56">
        <f t="shared" ref="S25:V25" si="1">$E$39</f>
        <v>26000</v>
      </c>
      <c r="T25" s="56">
        <f t="shared" si="1"/>
        <v>26000</v>
      </c>
      <c r="U25" s="56">
        <f t="shared" si="1"/>
        <v>26000</v>
      </c>
      <c r="V25" s="57">
        <f t="shared" si="1"/>
        <v>26000</v>
      </c>
      <c r="W25" s="58"/>
      <c r="X25" s="59"/>
    </row>
    <row r="26" spans="1:24" ht="14" customHeight="1" x14ac:dyDescent="0.35">
      <c r="A26" s="16"/>
      <c r="B26" s="177"/>
      <c r="C26" s="177"/>
      <c r="D26" s="177"/>
      <c r="E26" s="177"/>
      <c r="F26" s="177"/>
      <c r="G26" s="177"/>
      <c r="H26" s="177"/>
      <c r="I26" s="16"/>
      <c r="J26" s="23"/>
      <c r="K26" s="167" t="s">
        <v>92</v>
      </c>
      <c r="L26" s="61"/>
      <c r="M26" s="62"/>
      <c r="N26" s="310"/>
      <c r="O26" s="311">
        <v>123000</v>
      </c>
      <c r="P26" s="312">
        <f>O26</f>
        <v>123000</v>
      </c>
      <c r="Q26" s="64">
        <f>O26</f>
        <v>123000</v>
      </c>
      <c r="R26" s="313">
        <f>O26</f>
        <v>123000</v>
      </c>
      <c r="S26" s="311">
        <v>242000</v>
      </c>
      <c r="T26" s="312">
        <f>S26</f>
        <v>242000</v>
      </c>
      <c r="U26" s="64">
        <f>S26</f>
        <v>242000</v>
      </c>
      <c r="V26" s="65">
        <f>S26</f>
        <v>242000</v>
      </c>
      <c r="W26" s="66"/>
      <c r="X26" s="67"/>
    </row>
    <row r="27" spans="1:24" ht="14" customHeight="1" x14ac:dyDescent="0.35">
      <c r="A27" s="16"/>
      <c r="B27" s="177"/>
      <c r="C27" s="177"/>
      <c r="D27" s="177"/>
      <c r="E27" s="177"/>
      <c r="F27" s="177"/>
      <c r="G27" s="177"/>
      <c r="H27" s="177"/>
      <c r="I27" s="16"/>
      <c r="J27" s="23"/>
      <c r="K27" s="169" t="s">
        <v>93</v>
      </c>
      <c r="L27" s="69"/>
      <c r="M27" s="70"/>
      <c r="N27" s="314"/>
      <c r="O27" s="315">
        <v>25</v>
      </c>
      <c r="P27" s="316">
        <f t="shared" ref="P27:V27" si="2">$O$27</f>
        <v>25</v>
      </c>
      <c r="Q27" s="67">
        <f t="shared" si="2"/>
        <v>25</v>
      </c>
      <c r="R27" s="67">
        <f t="shared" si="2"/>
        <v>25</v>
      </c>
      <c r="S27" s="317">
        <f t="shared" si="2"/>
        <v>25</v>
      </c>
      <c r="T27" s="67">
        <f t="shared" si="2"/>
        <v>25</v>
      </c>
      <c r="U27" s="67">
        <f t="shared" si="2"/>
        <v>25</v>
      </c>
      <c r="V27" s="71">
        <f t="shared" si="2"/>
        <v>25</v>
      </c>
      <c r="W27" s="72"/>
      <c r="X27" s="22"/>
    </row>
    <row r="28" spans="1:24" ht="17" customHeight="1" x14ac:dyDescent="0.35">
      <c r="A28" s="16"/>
      <c r="B28" s="177"/>
      <c r="C28" s="177"/>
      <c r="D28" s="177"/>
      <c r="E28" s="177"/>
      <c r="F28" s="177"/>
      <c r="G28" s="177"/>
      <c r="H28" s="177"/>
      <c r="I28" s="16"/>
      <c r="J28" s="23"/>
      <c r="K28" s="134" t="s">
        <v>94</v>
      </c>
      <c r="L28" s="73"/>
      <c r="M28" s="74"/>
      <c r="N28" s="75"/>
      <c r="O28" s="318">
        <f t="shared" ref="O28:V28" si="3">O27*O25</f>
        <v>382500</v>
      </c>
      <c r="P28" s="76">
        <f t="shared" si="3"/>
        <v>382500</v>
      </c>
      <c r="Q28" s="76">
        <f t="shared" si="3"/>
        <v>382500</v>
      </c>
      <c r="R28" s="76">
        <f t="shared" si="3"/>
        <v>382500</v>
      </c>
      <c r="S28" s="76">
        <f t="shared" si="3"/>
        <v>650000</v>
      </c>
      <c r="T28" s="76">
        <f t="shared" si="3"/>
        <v>650000</v>
      </c>
      <c r="U28" s="76">
        <f t="shared" si="3"/>
        <v>650000</v>
      </c>
      <c r="V28" s="77">
        <f t="shared" si="3"/>
        <v>650000</v>
      </c>
      <c r="W28" s="72"/>
      <c r="X28" s="22"/>
    </row>
    <row r="29" spans="1:24" ht="16" customHeight="1" x14ac:dyDescent="0.35">
      <c r="A29" s="16"/>
      <c r="B29" s="189" t="s">
        <v>138</v>
      </c>
      <c r="C29" s="177"/>
      <c r="D29" s="177"/>
      <c r="E29" s="177"/>
      <c r="F29" s="177"/>
      <c r="G29" s="177"/>
      <c r="H29" s="177"/>
      <c r="I29" s="16"/>
      <c r="J29" s="23"/>
      <c r="K29" s="190" t="s">
        <v>45</v>
      </c>
      <c r="L29" s="78"/>
      <c r="M29" s="79"/>
      <c r="N29" s="80"/>
      <c r="O29" s="81">
        <f t="shared" ref="O29:V29" si="4">O28-O26</f>
        <v>259500</v>
      </c>
      <c r="P29" s="81">
        <f t="shared" si="4"/>
        <v>259500</v>
      </c>
      <c r="Q29" s="81">
        <f t="shared" si="4"/>
        <v>259500</v>
      </c>
      <c r="R29" s="81">
        <f t="shared" si="4"/>
        <v>259500</v>
      </c>
      <c r="S29" s="81">
        <f t="shared" si="4"/>
        <v>408000</v>
      </c>
      <c r="T29" s="81">
        <f t="shared" si="4"/>
        <v>408000</v>
      </c>
      <c r="U29" s="81">
        <f t="shared" si="4"/>
        <v>408000</v>
      </c>
      <c r="V29" s="82">
        <f t="shared" si="4"/>
        <v>408000</v>
      </c>
      <c r="W29" s="72"/>
      <c r="X29" s="22"/>
    </row>
    <row r="30" spans="1:24" ht="14" customHeight="1" x14ac:dyDescent="0.35">
      <c r="A30" s="16"/>
      <c r="B30" s="177"/>
      <c r="C30" s="177"/>
      <c r="D30" s="177"/>
      <c r="E30" s="177"/>
      <c r="F30" s="177"/>
      <c r="G30" s="177"/>
      <c r="H30" s="177"/>
      <c r="I30" s="16"/>
      <c r="J30" s="23"/>
      <c r="K30" s="167" t="s">
        <v>46</v>
      </c>
      <c r="L30" s="61"/>
      <c r="M30" s="83"/>
      <c r="N30" s="319"/>
      <c r="O30" s="84"/>
      <c r="P30" s="84"/>
      <c r="Q30" s="84"/>
      <c r="R30" s="84"/>
      <c r="S30" s="84"/>
      <c r="T30" s="84"/>
      <c r="U30" s="84"/>
      <c r="V30" s="85"/>
      <c r="W30" s="28"/>
      <c r="X30" s="29"/>
    </row>
    <row r="31" spans="1:24" ht="14" customHeight="1" x14ac:dyDescent="0.35">
      <c r="A31" s="16"/>
      <c r="B31" s="177"/>
      <c r="C31" s="177"/>
      <c r="D31" s="177"/>
      <c r="E31" s="177"/>
      <c r="F31" s="177"/>
      <c r="G31" s="177"/>
      <c r="H31" s="177"/>
      <c r="I31" s="16"/>
      <c r="J31" s="23"/>
      <c r="K31" s="169" t="s">
        <v>35</v>
      </c>
      <c r="L31" s="69"/>
      <c r="M31" s="86"/>
      <c r="N31" s="320">
        <f>-L19</f>
        <v>-327000</v>
      </c>
      <c r="O31" s="321"/>
      <c r="P31" s="22"/>
      <c r="Q31" s="22"/>
      <c r="R31" s="22"/>
      <c r="S31" s="22"/>
      <c r="T31" s="22"/>
      <c r="U31" s="22"/>
      <c r="V31" s="30"/>
      <c r="W31" s="28"/>
      <c r="X31" s="29"/>
    </row>
    <row r="32" spans="1:24" ht="14" customHeight="1" x14ac:dyDescent="0.35">
      <c r="A32" s="16"/>
      <c r="B32" s="177"/>
      <c r="C32" s="177"/>
      <c r="D32" s="177"/>
      <c r="E32" s="177"/>
      <c r="F32" s="177"/>
      <c r="G32" s="177"/>
      <c r="H32" s="177"/>
      <c r="I32" s="16"/>
      <c r="J32" s="23"/>
      <c r="K32" s="169" t="s">
        <v>37</v>
      </c>
      <c r="L32" s="69"/>
      <c r="M32" s="86"/>
      <c r="N32" s="320">
        <f>-L20</f>
        <v>-343000</v>
      </c>
      <c r="O32" s="321"/>
      <c r="P32" s="22"/>
      <c r="Q32" s="22"/>
      <c r="R32" s="22"/>
      <c r="S32" s="22"/>
      <c r="T32" s="22"/>
      <c r="U32" s="22"/>
      <c r="V32" s="30"/>
      <c r="W32" s="28"/>
      <c r="X32" s="29"/>
    </row>
    <row r="33" spans="1:24" ht="14" customHeight="1" x14ac:dyDescent="0.35">
      <c r="A33" s="16"/>
      <c r="B33" s="177"/>
      <c r="C33" s="177"/>
      <c r="D33" s="177"/>
      <c r="E33" s="177"/>
      <c r="F33" s="177"/>
      <c r="G33" s="177"/>
      <c r="H33" s="177"/>
      <c r="I33" s="16"/>
      <c r="J33" s="23"/>
      <c r="K33" s="169" t="s">
        <v>38</v>
      </c>
      <c r="L33" s="69"/>
      <c r="M33" s="86"/>
      <c r="N33" s="320">
        <f>-L21</f>
        <v>-637000</v>
      </c>
      <c r="O33" s="321"/>
      <c r="P33" s="22"/>
      <c r="Q33" s="22"/>
      <c r="R33" s="322"/>
      <c r="S33" s="22"/>
      <c r="T33" s="22"/>
      <c r="U33" s="22"/>
      <c r="V33" s="30"/>
      <c r="W33" s="28"/>
      <c r="X33" s="29"/>
    </row>
    <row r="34" spans="1:24" ht="17" customHeight="1" x14ac:dyDescent="0.35">
      <c r="A34" s="16"/>
      <c r="B34" s="16"/>
      <c r="C34" s="21"/>
      <c r="D34" s="21"/>
      <c r="E34" s="21"/>
      <c r="F34" s="21"/>
      <c r="G34" s="16"/>
      <c r="H34" s="16"/>
      <c r="I34" s="16"/>
      <c r="J34" s="23"/>
      <c r="K34" s="169" t="s">
        <v>95</v>
      </c>
      <c r="L34" s="69"/>
      <c r="M34" s="86"/>
      <c r="N34" s="320">
        <f>-Q15</f>
        <v>-20000</v>
      </c>
      <c r="O34" s="321"/>
      <c r="P34" s="22"/>
      <c r="Q34" s="323"/>
      <c r="R34" s="315">
        <f>-Q16</f>
        <v>-30000</v>
      </c>
      <c r="S34" s="321"/>
      <c r="T34" s="22"/>
      <c r="U34" s="22"/>
      <c r="V34" s="30"/>
      <c r="W34" s="28"/>
      <c r="X34" s="29"/>
    </row>
    <row r="35" spans="1:24" ht="17" customHeight="1" x14ac:dyDescent="0.35">
      <c r="A35" s="16"/>
      <c r="B35" s="23"/>
      <c r="C35" s="224" t="s">
        <v>139</v>
      </c>
      <c r="D35" s="225"/>
      <c r="E35" s="224" t="s">
        <v>140</v>
      </c>
      <c r="F35" s="225"/>
      <c r="G35" s="24"/>
      <c r="H35" s="16"/>
      <c r="I35" s="16"/>
      <c r="J35" s="23"/>
      <c r="K35" s="226"/>
      <c r="L35" s="227"/>
      <c r="M35" s="88"/>
      <c r="N35" s="324"/>
      <c r="O35" s="89"/>
      <c r="P35" s="89"/>
      <c r="Q35" s="89"/>
      <c r="R35" s="325"/>
      <c r="S35" s="90"/>
      <c r="T35" s="89"/>
      <c r="U35" s="90"/>
      <c r="V35" s="91"/>
      <c r="W35" s="28"/>
      <c r="X35" s="29"/>
    </row>
    <row r="36" spans="1:24" ht="16" customHeight="1" x14ac:dyDescent="0.35">
      <c r="A36" s="16"/>
      <c r="B36" s="23"/>
      <c r="C36" s="230" t="s">
        <v>49</v>
      </c>
      <c r="D36" s="231" t="s">
        <v>96</v>
      </c>
      <c r="E36" s="230" t="s">
        <v>49</v>
      </c>
      <c r="F36" s="231" t="s">
        <v>96</v>
      </c>
      <c r="G36" s="24"/>
      <c r="H36" s="16"/>
      <c r="I36" s="16"/>
      <c r="J36" s="23"/>
      <c r="K36" s="232" t="s">
        <v>50</v>
      </c>
      <c r="L36" s="92"/>
      <c r="M36" s="93"/>
      <c r="N36" s="94"/>
      <c r="O36" s="95"/>
      <c r="P36" s="95"/>
      <c r="Q36" s="95"/>
      <c r="R36" s="95"/>
      <c r="S36" s="95"/>
      <c r="T36" s="95"/>
      <c r="U36" s="95"/>
      <c r="V36" s="96"/>
      <c r="W36" s="28"/>
      <c r="X36" s="29"/>
    </row>
    <row r="37" spans="1:24" ht="14" customHeight="1" x14ac:dyDescent="0.35">
      <c r="A37" s="16"/>
      <c r="B37" s="23"/>
      <c r="C37" s="238"/>
      <c r="D37" s="239"/>
      <c r="E37" s="238"/>
      <c r="F37" s="239"/>
      <c r="G37" s="24"/>
      <c r="H37" s="16"/>
      <c r="I37" s="16"/>
      <c r="J37" s="23"/>
      <c r="K37" s="169" t="s">
        <v>97</v>
      </c>
      <c r="L37" s="69"/>
      <c r="M37" s="97"/>
      <c r="N37" s="66"/>
      <c r="O37" s="22"/>
      <c r="P37" s="22"/>
      <c r="Q37" s="22"/>
      <c r="R37" s="22"/>
      <c r="S37" s="22"/>
      <c r="T37" s="22"/>
      <c r="U37" s="22"/>
      <c r="V37" s="98">
        <f>M19</f>
        <v>233560</v>
      </c>
      <c r="W37" s="28"/>
      <c r="X37" s="29"/>
    </row>
    <row r="38" spans="1:24" ht="17" customHeight="1" x14ac:dyDescent="0.35">
      <c r="A38" s="16"/>
      <c r="B38" s="23"/>
      <c r="C38" s="240"/>
      <c r="D38" s="241"/>
      <c r="E38" s="240"/>
      <c r="F38" s="241"/>
      <c r="G38" s="24"/>
      <c r="H38" s="16"/>
      <c r="I38" s="16"/>
      <c r="J38" s="23"/>
      <c r="K38" s="169" t="s">
        <v>98</v>
      </c>
      <c r="L38" s="69"/>
      <c r="M38" s="97"/>
      <c r="N38" s="66"/>
      <c r="O38" s="22"/>
      <c r="P38" s="22"/>
      <c r="Q38" s="22"/>
      <c r="R38" s="22"/>
      <c r="S38" s="22"/>
      <c r="T38" s="22"/>
      <c r="U38" s="22"/>
      <c r="V38" s="98">
        <f>M20</f>
        <v>120000</v>
      </c>
      <c r="W38" s="28"/>
      <c r="X38" s="29"/>
    </row>
    <row r="39" spans="1:24" ht="17" customHeight="1" x14ac:dyDescent="0.35">
      <c r="A39" s="16"/>
      <c r="B39" s="23"/>
      <c r="C39" s="242">
        <v>15300</v>
      </c>
      <c r="D39" s="243">
        <v>1</v>
      </c>
      <c r="E39" s="242">
        <v>26000</v>
      </c>
      <c r="F39" s="243">
        <v>1</v>
      </c>
      <c r="G39" s="24"/>
      <c r="H39" s="16"/>
      <c r="I39" s="16"/>
      <c r="J39" s="23"/>
      <c r="K39" s="169" t="s">
        <v>99</v>
      </c>
      <c r="L39" s="69"/>
      <c r="M39" s="97"/>
      <c r="N39" s="66"/>
      <c r="O39" s="22"/>
      <c r="P39" s="22"/>
      <c r="Q39" s="22"/>
      <c r="R39" s="22"/>
      <c r="S39" s="22"/>
      <c r="T39" s="22"/>
      <c r="U39" s="22"/>
      <c r="V39" s="98">
        <f>M21</f>
        <v>806932.5418439114</v>
      </c>
      <c r="W39" s="28"/>
      <c r="X39" s="29"/>
    </row>
    <row r="40" spans="1:24" ht="17" customHeight="1" x14ac:dyDescent="0.35">
      <c r="A40" s="16"/>
      <c r="B40" s="23"/>
      <c r="C40" s="244">
        <v>11000</v>
      </c>
      <c r="D40" s="245">
        <v>0.4</v>
      </c>
      <c r="E40" s="244">
        <v>22000</v>
      </c>
      <c r="F40" s="245">
        <v>0.5</v>
      </c>
      <c r="G40" s="24"/>
      <c r="H40" s="16"/>
      <c r="I40" s="16"/>
      <c r="J40" s="23"/>
      <c r="K40" s="169" t="s">
        <v>95</v>
      </c>
      <c r="L40" s="69"/>
      <c r="M40" s="97"/>
      <c r="N40" s="66"/>
      <c r="O40" s="22"/>
      <c r="P40" s="22"/>
      <c r="Q40" s="22"/>
      <c r="R40" s="22"/>
      <c r="S40" s="22"/>
      <c r="T40" s="22"/>
      <c r="U40" s="101"/>
      <c r="V40" s="98">
        <f>-(N34+R34)</f>
        <v>50000</v>
      </c>
      <c r="W40" s="28"/>
      <c r="X40" s="29"/>
    </row>
    <row r="41" spans="1:24" ht="17" customHeight="1" x14ac:dyDescent="0.35">
      <c r="A41" s="16"/>
      <c r="B41" s="23"/>
      <c r="C41" s="244">
        <v>16000</v>
      </c>
      <c r="D41" s="245">
        <v>0.3</v>
      </c>
      <c r="E41" s="244">
        <v>30000</v>
      </c>
      <c r="F41" s="245">
        <v>0.3</v>
      </c>
      <c r="G41" s="24"/>
      <c r="H41" s="16"/>
      <c r="I41" s="16"/>
      <c r="J41" s="23"/>
      <c r="K41" s="246"/>
      <c r="L41" s="104"/>
      <c r="M41" s="105"/>
      <c r="N41" s="106"/>
      <c r="O41" s="90"/>
      <c r="P41" s="90"/>
      <c r="Q41" s="90"/>
      <c r="R41" s="90"/>
      <c r="S41" s="90"/>
      <c r="T41" s="90"/>
      <c r="U41" s="107"/>
      <c r="V41" s="91"/>
      <c r="W41" s="28"/>
      <c r="X41" s="29"/>
    </row>
    <row r="42" spans="1:24" ht="17" customHeight="1" x14ac:dyDescent="0.35">
      <c r="A42" s="16"/>
      <c r="B42" s="23"/>
      <c r="C42" s="244">
        <v>20000</v>
      </c>
      <c r="D42" s="245">
        <v>0.1</v>
      </c>
      <c r="E42" s="244">
        <v>40000</v>
      </c>
      <c r="F42" s="245">
        <v>0.05</v>
      </c>
      <c r="G42" s="24"/>
      <c r="H42" s="16"/>
      <c r="I42" s="16"/>
      <c r="J42" s="23"/>
      <c r="K42" s="232" t="s">
        <v>51</v>
      </c>
      <c r="L42" s="92"/>
      <c r="M42" s="108"/>
      <c r="N42" s="326">
        <f t="shared" ref="N42:V42" si="5">SUM(N29:N41)</f>
        <v>-1327000</v>
      </c>
      <c r="O42" s="250">
        <f t="shared" si="5"/>
        <v>259500</v>
      </c>
      <c r="P42" s="250">
        <f t="shared" si="5"/>
        <v>259500</v>
      </c>
      <c r="Q42" s="250">
        <f t="shared" si="5"/>
        <v>259500</v>
      </c>
      <c r="R42" s="250">
        <f t="shared" si="5"/>
        <v>229500</v>
      </c>
      <c r="S42" s="250">
        <f t="shared" si="5"/>
        <v>408000</v>
      </c>
      <c r="T42" s="250">
        <f t="shared" si="5"/>
        <v>408000</v>
      </c>
      <c r="U42" s="250">
        <f t="shared" si="5"/>
        <v>408000</v>
      </c>
      <c r="V42" s="327">
        <f t="shared" si="5"/>
        <v>1618492.5418439114</v>
      </c>
      <c r="W42" s="112"/>
      <c r="X42" s="113"/>
    </row>
    <row r="43" spans="1:24" ht="17" customHeight="1" x14ac:dyDescent="0.35">
      <c r="A43" s="16"/>
      <c r="B43" s="23"/>
      <c r="C43" s="254">
        <v>23000</v>
      </c>
      <c r="D43" s="255">
        <v>0.05</v>
      </c>
      <c r="E43" s="254"/>
      <c r="F43" s="255"/>
      <c r="G43" s="24"/>
      <c r="H43" s="16"/>
      <c r="I43" s="16"/>
      <c r="J43" s="23"/>
      <c r="K43" s="169" t="s">
        <v>52</v>
      </c>
      <c r="L43" s="69"/>
      <c r="M43" s="256">
        <v>0.11</v>
      </c>
      <c r="N43" s="116">
        <f t="shared" ref="N43:V43" si="6">(1+$M$43)^-N24</f>
        <v>1</v>
      </c>
      <c r="O43" s="117">
        <f t="shared" si="6"/>
        <v>0.9009009009009008</v>
      </c>
      <c r="P43" s="117">
        <f t="shared" si="6"/>
        <v>0.8116224332440547</v>
      </c>
      <c r="Q43" s="117">
        <f t="shared" si="6"/>
        <v>0.73119138130095018</v>
      </c>
      <c r="R43" s="117">
        <f t="shared" si="6"/>
        <v>0.65873097414500015</v>
      </c>
      <c r="S43" s="117">
        <f t="shared" si="6"/>
        <v>0.5934513280585586</v>
      </c>
      <c r="T43" s="117">
        <f t="shared" si="6"/>
        <v>0.53464083608879154</v>
      </c>
      <c r="U43" s="117">
        <f t="shared" si="6"/>
        <v>0.48165841089080319</v>
      </c>
      <c r="V43" s="118">
        <f t="shared" si="6"/>
        <v>0.43392649629802077</v>
      </c>
      <c r="W43" s="119"/>
      <c r="X43" s="120"/>
    </row>
    <row r="44" spans="1:24" ht="17" customHeight="1" x14ac:dyDescent="0.35">
      <c r="A44" s="16"/>
      <c r="B44" s="16"/>
      <c r="C44" s="45"/>
      <c r="D44" s="257">
        <f>SUM(D39:D43)</f>
        <v>1.85</v>
      </c>
      <c r="E44" s="257"/>
      <c r="F44" s="257">
        <f>SUM(F39:F43)</f>
        <v>1.85</v>
      </c>
      <c r="G44" s="16"/>
      <c r="H44" s="16"/>
      <c r="I44" s="16"/>
      <c r="J44" s="23"/>
      <c r="K44" s="134" t="s">
        <v>53</v>
      </c>
      <c r="L44" s="73"/>
      <c r="M44" s="121"/>
      <c r="N44" s="122">
        <f t="shared" ref="N44:V44" si="7">N42*N43</f>
        <v>-1327000</v>
      </c>
      <c r="O44" s="123">
        <f t="shared" si="7"/>
        <v>233783.78378378376</v>
      </c>
      <c r="P44" s="123">
        <f t="shared" si="7"/>
        <v>210616.02142683219</v>
      </c>
      <c r="Q44" s="123">
        <f t="shared" si="7"/>
        <v>189744.16344759657</v>
      </c>
      <c r="R44" s="123">
        <f t="shared" si="7"/>
        <v>151178.75856627754</v>
      </c>
      <c r="S44" s="123">
        <f t="shared" si="7"/>
        <v>242128.14184789191</v>
      </c>
      <c r="T44" s="123">
        <f t="shared" si="7"/>
        <v>218133.46112422695</v>
      </c>
      <c r="U44" s="123">
        <f t="shared" si="7"/>
        <v>196516.6316434477</v>
      </c>
      <c r="V44" s="124">
        <f t="shared" si="7"/>
        <v>702306.79796680622</v>
      </c>
      <c r="W44" s="125"/>
      <c r="X44" s="126"/>
    </row>
    <row r="45" spans="1:24" ht="16" customHeight="1" x14ac:dyDescent="0.35">
      <c r="A45" s="16"/>
      <c r="B45" s="189" t="s">
        <v>141</v>
      </c>
      <c r="C45" s="177"/>
      <c r="D45" s="177"/>
      <c r="E45" s="177"/>
      <c r="F45" s="177"/>
      <c r="G45" s="177"/>
      <c r="H45" s="177"/>
      <c r="I45" s="16"/>
      <c r="J45" s="23"/>
      <c r="K45" s="190" t="s">
        <v>55</v>
      </c>
      <c r="L45" s="79"/>
      <c r="M45" s="258">
        <f>SUM(N44:V44)</f>
        <v>817407.7598068628</v>
      </c>
      <c r="N45" s="127"/>
      <c r="O45" s="328" t="s">
        <v>142</v>
      </c>
      <c r="P45" s="129"/>
      <c r="Q45" s="129"/>
      <c r="R45" s="129"/>
      <c r="S45" s="129"/>
      <c r="T45" s="129"/>
      <c r="U45" s="129"/>
      <c r="V45" s="129"/>
      <c r="W45" s="29"/>
      <c r="X45" s="29"/>
    </row>
    <row r="46" spans="1:24" ht="14" customHeight="1" x14ac:dyDescent="0.35">
      <c r="A46" s="16"/>
      <c r="B46" s="177"/>
      <c r="C46" s="177"/>
      <c r="D46" s="177"/>
      <c r="E46" s="177"/>
      <c r="F46" s="177"/>
      <c r="G46" s="177"/>
      <c r="H46" s="177"/>
      <c r="I46" s="16"/>
      <c r="J46" s="16"/>
      <c r="K46" s="45"/>
      <c r="L46" s="45"/>
      <c r="M46" s="45"/>
      <c r="N46" s="45"/>
      <c r="O46" s="16"/>
      <c r="P46" s="16"/>
      <c r="Q46" s="16"/>
      <c r="R46" s="16"/>
      <c r="S46" s="16"/>
      <c r="T46" s="16"/>
      <c r="U46" s="29"/>
      <c r="V46" s="29"/>
      <c r="W46" s="29"/>
      <c r="X46" s="29"/>
    </row>
    <row r="47" spans="1:24" ht="14" customHeight="1" x14ac:dyDescent="0.35">
      <c r="A47" s="16"/>
      <c r="B47" s="177"/>
      <c r="C47" s="177"/>
      <c r="D47" s="177"/>
      <c r="E47" s="177"/>
      <c r="F47" s="177"/>
      <c r="G47" s="177"/>
      <c r="H47" s="177"/>
      <c r="I47" s="16"/>
      <c r="J47" s="16"/>
      <c r="K47" s="20" t="s">
        <v>39</v>
      </c>
      <c r="L47" s="43"/>
      <c r="M47" s="131"/>
      <c r="N47" s="131"/>
      <c r="O47" s="29"/>
      <c r="P47" s="16"/>
      <c r="Q47" s="20" t="s">
        <v>56</v>
      </c>
      <c r="R47" s="21"/>
      <c r="S47" s="21"/>
      <c r="T47" s="16"/>
      <c r="U47" s="29"/>
      <c r="V47" s="29"/>
      <c r="W47" s="29"/>
      <c r="X47" s="29"/>
    </row>
    <row r="48" spans="1:24" ht="14.5" customHeight="1" x14ac:dyDescent="0.35">
      <c r="A48" s="16"/>
      <c r="B48" s="177"/>
      <c r="C48" s="177"/>
      <c r="D48" s="177"/>
      <c r="E48" s="177"/>
      <c r="F48" s="177"/>
      <c r="G48" s="177"/>
      <c r="H48" s="177"/>
      <c r="I48" s="16"/>
      <c r="J48" s="23"/>
      <c r="K48" s="167" t="s">
        <v>100</v>
      </c>
      <c r="L48" s="129"/>
      <c r="M48" s="262">
        <f>PMT(M43,V24,-1)</f>
        <v>0.19432105421050014</v>
      </c>
      <c r="N48" s="132"/>
      <c r="O48" s="28"/>
      <c r="P48" s="23"/>
      <c r="Q48" s="133" t="s">
        <v>57</v>
      </c>
      <c r="R48" s="264" t="s">
        <v>101</v>
      </c>
      <c r="S48" s="265" t="s">
        <v>102</v>
      </c>
      <c r="T48" s="28"/>
      <c r="U48" s="29"/>
      <c r="V48" s="16"/>
      <c r="W48" s="16"/>
      <c r="X48" s="16"/>
    </row>
    <row r="49" spans="1:24" ht="16" customHeight="1" x14ac:dyDescent="0.35">
      <c r="A49" s="16"/>
      <c r="B49" s="189" t="s">
        <v>143</v>
      </c>
      <c r="C49" s="177"/>
      <c r="D49" s="177"/>
      <c r="E49" s="177"/>
      <c r="F49" s="177"/>
      <c r="G49" s="177"/>
      <c r="H49" s="177"/>
      <c r="I49" s="16"/>
      <c r="J49" s="23"/>
      <c r="K49" s="134" t="s">
        <v>59</v>
      </c>
      <c r="L49" s="73"/>
      <c r="M49" s="266">
        <f>M45*M48</f>
        <v>158839.53760551286</v>
      </c>
      <c r="N49" s="135"/>
      <c r="O49" s="136" t="s">
        <v>111</v>
      </c>
      <c r="P49" s="23"/>
      <c r="Q49" s="137">
        <v>0</v>
      </c>
      <c r="R49" s="138">
        <f>M53</f>
        <v>-1346761.92922435</v>
      </c>
      <c r="S49" s="139">
        <f>R49</f>
        <v>-1346761.92922435</v>
      </c>
      <c r="T49" s="28"/>
      <c r="U49" s="29"/>
      <c r="V49" s="16"/>
      <c r="W49" s="16"/>
      <c r="X49" s="16"/>
    </row>
    <row r="50" spans="1:24" ht="14" customHeight="1" x14ac:dyDescent="0.35">
      <c r="A50" s="16"/>
      <c r="B50" s="177"/>
      <c r="C50" s="177"/>
      <c r="D50" s="177"/>
      <c r="E50" s="177"/>
      <c r="F50" s="177"/>
      <c r="G50" s="177"/>
      <c r="H50" s="177"/>
      <c r="I50" s="16"/>
      <c r="J50" s="16"/>
      <c r="K50" s="140"/>
      <c r="L50" s="141"/>
      <c r="M50" s="142"/>
      <c r="N50" s="142"/>
      <c r="O50" s="16"/>
      <c r="P50" s="23"/>
      <c r="Q50" s="137">
        <v>1</v>
      </c>
      <c r="R50" s="138">
        <f>O44</f>
        <v>233783.78378378376</v>
      </c>
      <c r="S50" s="139">
        <f t="shared" ref="S50:S57" si="8">S49+R50</f>
        <v>-1112978.1454405664</v>
      </c>
      <c r="T50" s="28"/>
      <c r="U50" s="16"/>
      <c r="V50" s="16"/>
      <c r="W50" s="16"/>
      <c r="X50" s="16"/>
    </row>
    <row r="51" spans="1:24" ht="14" customHeight="1" x14ac:dyDescent="0.35">
      <c r="A51" s="16"/>
      <c r="B51" s="177"/>
      <c r="C51" s="177"/>
      <c r="D51" s="177"/>
      <c r="E51" s="177"/>
      <c r="F51" s="177"/>
      <c r="G51" s="177"/>
      <c r="H51" s="177"/>
      <c r="I51" s="16"/>
      <c r="J51" s="16"/>
      <c r="K51" s="20" t="s">
        <v>60</v>
      </c>
      <c r="L51" s="46"/>
      <c r="M51" s="143"/>
      <c r="N51" s="143"/>
      <c r="O51" s="29"/>
      <c r="P51" s="23"/>
      <c r="Q51" s="137">
        <v>2</v>
      </c>
      <c r="R51" s="138">
        <f>P44</f>
        <v>210616.02142683219</v>
      </c>
      <c r="S51" s="139">
        <f t="shared" si="8"/>
        <v>-902362.12401373417</v>
      </c>
      <c r="T51" s="28"/>
      <c r="U51" s="16"/>
      <c r="V51" s="16"/>
      <c r="W51" s="16"/>
      <c r="X51" s="16"/>
    </row>
    <row r="52" spans="1:24" ht="14" customHeight="1" x14ac:dyDescent="0.35">
      <c r="A52" s="16"/>
      <c r="B52" s="177"/>
      <c r="C52" s="177"/>
      <c r="D52" s="177"/>
      <c r="E52" s="177"/>
      <c r="F52" s="177"/>
      <c r="G52" s="177"/>
      <c r="H52" s="177"/>
      <c r="I52" s="16"/>
      <c r="J52" s="23"/>
      <c r="K52" s="167" t="s">
        <v>104</v>
      </c>
      <c r="L52" s="129"/>
      <c r="M52" s="144">
        <f>M45</f>
        <v>817407.7598068628</v>
      </c>
      <c r="N52" s="145"/>
      <c r="O52" s="28"/>
      <c r="P52" s="23"/>
      <c r="Q52" s="137">
        <v>3</v>
      </c>
      <c r="R52" s="138">
        <f>Q44</f>
        <v>189744.16344759657</v>
      </c>
      <c r="S52" s="139">
        <f t="shared" si="8"/>
        <v>-712617.96056613757</v>
      </c>
      <c r="T52" s="28"/>
      <c r="U52" s="16"/>
      <c r="V52" s="16"/>
      <c r="W52" s="16"/>
      <c r="X52" s="16"/>
    </row>
    <row r="53" spans="1:24" ht="17" customHeight="1" x14ac:dyDescent="0.35">
      <c r="A53" s="16"/>
      <c r="B53" s="177"/>
      <c r="C53" s="177"/>
      <c r="D53" s="177"/>
      <c r="E53" s="177"/>
      <c r="F53" s="177"/>
      <c r="G53" s="177"/>
      <c r="H53" s="177"/>
      <c r="I53" s="16"/>
      <c r="J53" s="23"/>
      <c r="K53" s="134" t="s">
        <v>105</v>
      </c>
      <c r="L53" s="46"/>
      <c r="M53" s="143">
        <f>N42+(R34*R43)</f>
        <v>-1346761.92922435</v>
      </c>
      <c r="N53" s="146"/>
      <c r="O53" s="28"/>
      <c r="P53" s="23"/>
      <c r="Q53" s="137">
        <v>4</v>
      </c>
      <c r="R53" s="138">
        <f>R29*R43</f>
        <v>170940.68779062753</v>
      </c>
      <c r="S53" s="139">
        <f t="shared" si="8"/>
        <v>-541677.27277551009</v>
      </c>
      <c r="T53" s="28"/>
      <c r="U53" s="16"/>
      <c r="V53" s="16"/>
      <c r="W53" s="16"/>
      <c r="X53" s="16"/>
    </row>
    <row r="54" spans="1:24" ht="17" customHeight="1" x14ac:dyDescent="0.35">
      <c r="A54" s="16"/>
      <c r="B54" s="177"/>
      <c r="C54" s="177"/>
      <c r="D54" s="177"/>
      <c r="E54" s="177"/>
      <c r="F54" s="177"/>
      <c r="G54" s="177"/>
      <c r="H54" s="177"/>
      <c r="I54" s="16"/>
      <c r="J54" s="23"/>
      <c r="K54" s="190" t="s">
        <v>61</v>
      </c>
      <c r="L54" s="48"/>
      <c r="M54" s="271">
        <f>(M45/-M53)+1</f>
        <v>1.6069430253924968</v>
      </c>
      <c r="N54" s="147"/>
      <c r="O54" s="136" t="s">
        <v>111</v>
      </c>
      <c r="P54" s="23"/>
      <c r="Q54" s="137">
        <v>5</v>
      </c>
      <c r="R54" s="138">
        <f>S44</f>
        <v>242128.14184789191</v>
      </c>
      <c r="S54" s="139">
        <f t="shared" si="8"/>
        <v>-299549.13092761819</v>
      </c>
      <c r="T54" s="28"/>
      <c r="U54" s="16"/>
      <c r="V54" s="16"/>
      <c r="W54" s="16"/>
      <c r="X54" s="16"/>
    </row>
    <row r="55" spans="1:24" ht="14.5" customHeight="1" x14ac:dyDescent="0.35">
      <c r="A55" s="16"/>
      <c r="B55" s="16"/>
      <c r="C55" s="16"/>
      <c r="D55" s="16"/>
      <c r="E55" s="16"/>
      <c r="F55" s="16"/>
      <c r="G55" s="16"/>
      <c r="H55" s="16"/>
      <c r="I55" s="16"/>
      <c r="J55" s="16"/>
      <c r="K55" s="45"/>
      <c r="L55" s="45"/>
      <c r="M55" s="45"/>
      <c r="N55" s="45"/>
      <c r="O55" s="16"/>
      <c r="P55" s="23"/>
      <c r="Q55" s="137">
        <v>6</v>
      </c>
      <c r="R55" s="138">
        <f>T29</f>
        <v>408000</v>
      </c>
      <c r="S55" s="139">
        <f t="shared" si="8"/>
        <v>108450.86907238181</v>
      </c>
      <c r="T55" s="28"/>
      <c r="U55" s="16"/>
      <c r="V55" s="16"/>
      <c r="W55" s="16"/>
      <c r="X55" s="16"/>
    </row>
    <row r="56" spans="1:24" ht="17" customHeight="1" x14ac:dyDescent="0.35">
      <c r="A56" s="16"/>
      <c r="B56" s="273" t="s">
        <v>144</v>
      </c>
      <c r="C56" s="274"/>
      <c r="D56" s="274"/>
      <c r="E56" s="274"/>
      <c r="F56" s="274"/>
      <c r="G56" s="274"/>
      <c r="H56" s="274"/>
      <c r="I56" s="16"/>
      <c r="J56" s="16"/>
      <c r="K56" s="130" t="s">
        <v>63</v>
      </c>
      <c r="L56" s="148"/>
      <c r="M56" s="149"/>
      <c r="N56" s="149"/>
      <c r="O56" s="43"/>
      <c r="P56" s="23"/>
      <c r="Q56" s="137">
        <v>7</v>
      </c>
      <c r="R56" s="138">
        <f>U44</f>
        <v>196516.6316434477</v>
      </c>
      <c r="S56" s="139">
        <f t="shared" si="8"/>
        <v>304967.50071582955</v>
      </c>
      <c r="T56" s="28"/>
      <c r="U56" s="16"/>
      <c r="V56" s="16"/>
      <c r="W56" s="16"/>
      <c r="X56" s="16"/>
    </row>
    <row r="57" spans="1:24" ht="17" customHeight="1" x14ac:dyDescent="0.35">
      <c r="A57" s="16"/>
      <c r="B57" s="16"/>
      <c r="C57" s="16"/>
      <c r="D57" s="16"/>
      <c r="E57" s="16"/>
      <c r="F57" s="16"/>
      <c r="G57" s="16"/>
      <c r="H57" s="16"/>
      <c r="I57" s="16"/>
      <c r="J57" s="23"/>
      <c r="K57" s="60"/>
      <c r="L57" s="140"/>
      <c r="M57" s="191" t="s">
        <v>107</v>
      </c>
      <c r="N57" s="150"/>
      <c r="O57" s="85"/>
      <c r="P57" s="151"/>
      <c r="Q57" s="152">
        <v>8</v>
      </c>
      <c r="R57" s="153">
        <f>V44</f>
        <v>702306.79796680622</v>
      </c>
      <c r="S57" s="154">
        <f t="shared" si="8"/>
        <v>1007274.2986826358</v>
      </c>
      <c r="T57" s="28"/>
      <c r="U57" s="16"/>
      <c r="V57" s="16"/>
      <c r="W57" s="16"/>
      <c r="X57" s="16"/>
    </row>
    <row r="58" spans="1:24" ht="14.5" customHeight="1" x14ac:dyDescent="0.35">
      <c r="A58" s="16"/>
      <c r="B58" s="19" t="s">
        <v>108</v>
      </c>
      <c r="C58" s="16"/>
      <c r="D58" s="16"/>
      <c r="E58" s="16"/>
      <c r="F58" s="16"/>
      <c r="G58" s="16"/>
      <c r="H58" s="16"/>
      <c r="I58" s="16"/>
      <c r="J58" s="23"/>
      <c r="K58" s="115" t="s">
        <v>64</v>
      </c>
      <c r="L58" s="156"/>
      <c r="M58" s="114">
        <v>0.22</v>
      </c>
      <c r="N58" s="275" t="s">
        <v>109</v>
      </c>
      <c r="O58" s="98">
        <f>NPV(M58,O42:V42)+N42</f>
        <v>12464.91275245999</v>
      </c>
      <c r="P58" s="157"/>
      <c r="Q58" s="158" t="s">
        <v>65</v>
      </c>
      <c r="R58" s="159" t="s">
        <v>66</v>
      </c>
      <c r="S58" s="160"/>
      <c r="T58" s="29"/>
      <c r="U58" s="16"/>
      <c r="V58" s="16"/>
      <c r="W58" s="16"/>
      <c r="X58" s="16"/>
    </row>
    <row r="59" spans="1:24" ht="17" customHeight="1" x14ac:dyDescent="0.35">
      <c r="A59" s="16"/>
      <c r="B59" s="16"/>
      <c r="C59" s="16"/>
      <c r="D59" s="16"/>
      <c r="E59" s="16"/>
      <c r="F59" s="16"/>
      <c r="G59" s="16"/>
      <c r="H59" s="16"/>
      <c r="I59" s="16"/>
      <c r="J59" s="23"/>
      <c r="K59" s="115" t="s">
        <v>67</v>
      </c>
      <c r="L59" s="156"/>
      <c r="M59" s="114">
        <v>0.23</v>
      </c>
      <c r="N59" s="275" t="s">
        <v>110</v>
      </c>
      <c r="O59" s="98">
        <f>NPV(M59,O42:V42)+N42</f>
        <v>-37307.617119209375</v>
      </c>
      <c r="P59" s="157"/>
      <c r="Q59" s="161">
        <f>Q54</f>
        <v>5</v>
      </c>
      <c r="R59" s="162">
        <f>(-S54/R55)*365</f>
        <v>267.97900193279571</v>
      </c>
      <c r="S59" s="72"/>
      <c r="T59" s="163" t="s">
        <v>111</v>
      </c>
      <c r="U59" s="16"/>
      <c r="V59" s="16"/>
      <c r="W59" s="16"/>
      <c r="X59" s="16"/>
    </row>
    <row r="60" spans="1:24" ht="14.5" customHeight="1" x14ac:dyDescent="0.35">
      <c r="A60" s="16"/>
      <c r="B60" s="19" t="s">
        <v>68</v>
      </c>
      <c r="C60" s="16"/>
      <c r="D60" s="16"/>
      <c r="E60" s="16"/>
      <c r="F60" s="16"/>
      <c r="G60" s="16"/>
      <c r="H60" s="16"/>
      <c r="I60" s="16"/>
      <c r="J60" s="23"/>
      <c r="K60" s="68"/>
      <c r="L60" s="156"/>
      <c r="M60" s="29"/>
      <c r="N60" s="29"/>
      <c r="O60" s="30"/>
      <c r="P60" s="164"/>
      <c r="Q60" s="45"/>
      <c r="R60" s="45"/>
      <c r="S60" s="155"/>
      <c r="T60" s="16"/>
      <c r="U60" s="16"/>
      <c r="V60" s="16"/>
      <c r="W60" s="16"/>
      <c r="X60" s="16"/>
    </row>
    <row r="61" spans="1:24" ht="17" customHeight="1" x14ac:dyDescent="0.35">
      <c r="A61" s="16"/>
      <c r="B61" s="16"/>
      <c r="C61" s="16"/>
      <c r="D61" s="16"/>
      <c r="E61" s="16"/>
      <c r="F61" s="16"/>
      <c r="G61" s="16"/>
      <c r="H61" s="16"/>
      <c r="I61" s="16"/>
      <c r="J61" s="23"/>
      <c r="K61" s="68"/>
      <c r="L61" s="156"/>
      <c r="M61" s="29"/>
      <c r="N61" s="149"/>
      <c r="O61" s="44"/>
      <c r="P61" s="72"/>
      <c r="Q61" s="16"/>
      <c r="R61" s="16"/>
      <c r="S61" s="16"/>
      <c r="T61" s="16"/>
      <c r="U61" s="16"/>
      <c r="V61" s="16"/>
      <c r="W61" s="16"/>
      <c r="X61" s="16"/>
    </row>
    <row r="62" spans="1:24" ht="17" customHeight="1" x14ac:dyDescent="0.35">
      <c r="A62" s="16"/>
      <c r="B62" s="163" t="s">
        <v>69</v>
      </c>
      <c r="C62" s="16"/>
      <c r="D62" s="16"/>
      <c r="E62" s="16"/>
      <c r="F62" s="16"/>
      <c r="G62" s="16"/>
      <c r="H62" s="16"/>
      <c r="I62" s="16"/>
      <c r="J62" s="23"/>
      <c r="K62" s="42"/>
      <c r="L62" s="43"/>
      <c r="M62" s="44"/>
      <c r="N62" s="276" t="s">
        <v>112</v>
      </c>
      <c r="O62" s="165">
        <f>M58+((O58/(O58-O59))*(M59-M58))</f>
        <v>0.22250437596493464</v>
      </c>
      <c r="P62" s="136" t="s">
        <v>111</v>
      </c>
      <c r="Q62" s="16"/>
      <c r="R62" s="16"/>
      <c r="S62" s="16"/>
      <c r="T62" s="16"/>
      <c r="U62" s="16"/>
      <c r="V62" s="16"/>
      <c r="W62" s="16"/>
      <c r="X62" s="16"/>
    </row>
    <row r="63" spans="1:24" ht="14.5" customHeight="1" x14ac:dyDescent="0.35">
      <c r="A63" s="16"/>
      <c r="B63" s="163" t="s">
        <v>70</v>
      </c>
      <c r="C63" s="16"/>
      <c r="D63" s="16"/>
      <c r="E63" s="16"/>
      <c r="F63" s="16"/>
      <c r="G63" s="16"/>
      <c r="H63" s="16"/>
      <c r="I63" s="16"/>
      <c r="J63" s="16"/>
      <c r="K63" s="129"/>
      <c r="L63" s="129"/>
      <c r="M63" s="129"/>
      <c r="N63" s="150"/>
      <c r="O63" s="166">
        <f>IRR(N42:V42)</f>
        <v>0.22245054001201181</v>
      </c>
      <c r="P63" s="29"/>
      <c r="Q63" s="16"/>
      <c r="R63" s="16"/>
      <c r="S63" s="16"/>
      <c r="T63" s="16"/>
      <c r="U63" s="16"/>
      <c r="V63" s="16"/>
      <c r="W63" s="16"/>
      <c r="X63" s="16"/>
    </row>
    <row r="64" spans="1:24" ht="14.5" customHeight="1" x14ac:dyDescent="0.35">
      <c r="A64" s="16"/>
      <c r="B64" s="163" t="s">
        <v>71</v>
      </c>
      <c r="C64" s="16"/>
      <c r="D64" s="16"/>
      <c r="E64" s="16"/>
      <c r="F64" s="16"/>
      <c r="G64" s="16"/>
      <c r="H64" s="16"/>
      <c r="I64" s="16"/>
      <c r="J64" s="16"/>
      <c r="K64" s="16"/>
      <c r="L64" s="16"/>
      <c r="M64" s="16"/>
      <c r="N64" s="16"/>
      <c r="O64" s="16"/>
      <c r="P64" s="16"/>
      <c r="Q64" s="16"/>
      <c r="R64" s="16"/>
      <c r="S64" s="16"/>
      <c r="T64" s="16"/>
      <c r="U64" s="16"/>
      <c r="V64" s="16"/>
      <c r="W64" s="16"/>
      <c r="X64" s="16"/>
    </row>
    <row r="65" spans="1:24" ht="17" customHeight="1" x14ac:dyDescent="0.35">
      <c r="A65" s="16"/>
      <c r="B65" s="163" t="s">
        <v>72</v>
      </c>
      <c r="C65" s="16"/>
      <c r="D65" s="16"/>
      <c r="E65" s="16"/>
      <c r="F65" s="16"/>
      <c r="G65" s="16"/>
      <c r="H65" s="16"/>
      <c r="I65" s="16"/>
      <c r="J65" s="16"/>
      <c r="K65" s="20" t="s">
        <v>73</v>
      </c>
      <c r="L65" s="43"/>
      <c r="M65" s="43"/>
      <c r="N65" s="43"/>
      <c r="O65" s="43"/>
      <c r="P65" s="43"/>
      <c r="Q65" s="43"/>
      <c r="R65" s="43"/>
      <c r="S65" s="43"/>
      <c r="T65" s="43"/>
      <c r="U65" s="43"/>
      <c r="V65" s="21"/>
      <c r="W65" s="21"/>
      <c r="X65" s="16"/>
    </row>
    <row r="66" spans="1:24" ht="16" customHeight="1" x14ac:dyDescent="0.35">
      <c r="A66" s="16"/>
      <c r="B66" s="189" t="s">
        <v>74</v>
      </c>
      <c r="C66" s="177"/>
      <c r="D66" s="177"/>
      <c r="E66" s="177"/>
      <c r="F66" s="177"/>
      <c r="G66" s="177"/>
      <c r="H66" s="177"/>
      <c r="I66" s="16"/>
      <c r="J66" s="23"/>
      <c r="K66" s="167" t="s">
        <v>75</v>
      </c>
      <c r="L66" s="150"/>
      <c r="M66" s="168">
        <v>0.1</v>
      </c>
      <c r="N66" s="129"/>
      <c r="O66" s="129"/>
      <c r="P66" s="129"/>
      <c r="Q66" s="129"/>
      <c r="R66" s="129"/>
      <c r="S66" s="129"/>
      <c r="T66" s="129"/>
      <c r="U66" s="129"/>
      <c r="V66" s="129"/>
      <c r="W66" s="85"/>
      <c r="X66" s="16"/>
    </row>
    <row r="67" spans="1:24" ht="14.5" customHeight="1" x14ac:dyDescent="0.35">
      <c r="A67" s="16"/>
      <c r="B67" s="177"/>
      <c r="C67" s="177"/>
      <c r="D67" s="177"/>
      <c r="E67" s="177"/>
      <c r="F67" s="177"/>
      <c r="G67" s="177"/>
      <c r="H67" s="177"/>
      <c r="I67" s="16"/>
      <c r="J67" s="23"/>
      <c r="K67" s="169" t="s">
        <v>76</v>
      </c>
      <c r="L67" s="35"/>
      <c r="M67" s="170">
        <f>M43</f>
        <v>0.11</v>
      </c>
      <c r="N67" s="29"/>
      <c r="O67" s="29"/>
      <c r="P67" s="29"/>
      <c r="Q67" s="29"/>
      <c r="R67" s="29"/>
      <c r="S67" s="29"/>
      <c r="T67" s="29"/>
      <c r="U67" s="29"/>
      <c r="V67" s="29"/>
      <c r="W67" s="30"/>
      <c r="X67" s="16"/>
    </row>
    <row r="68" spans="1:24" ht="14.5" customHeight="1" x14ac:dyDescent="0.35">
      <c r="A68" s="16"/>
      <c r="B68" s="163" t="s">
        <v>77</v>
      </c>
      <c r="C68" s="16"/>
      <c r="D68" s="16"/>
      <c r="E68" s="16"/>
      <c r="F68" s="16"/>
      <c r="G68" s="16"/>
      <c r="H68" s="16"/>
      <c r="I68" s="16"/>
      <c r="J68" s="23"/>
      <c r="K68" s="171"/>
      <c r="L68" s="35"/>
      <c r="M68" s="172">
        <v>0</v>
      </c>
      <c r="N68" s="155">
        <v>1</v>
      </c>
      <c r="O68" s="155">
        <v>2</v>
      </c>
      <c r="P68" s="155">
        <v>3</v>
      </c>
      <c r="Q68" s="155">
        <v>4</v>
      </c>
      <c r="R68" s="155">
        <v>5</v>
      </c>
      <c r="S68" s="155">
        <v>6</v>
      </c>
      <c r="T68" s="155">
        <v>7</v>
      </c>
      <c r="U68" s="155">
        <v>8</v>
      </c>
      <c r="V68" s="155"/>
      <c r="W68" s="173"/>
      <c r="X68" s="16"/>
    </row>
    <row r="69" spans="1:24" ht="14.5" customHeight="1" x14ac:dyDescent="0.35">
      <c r="A69" s="16"/>
      <c r="B69" s="163" t="s">
        <v>78</v>
      </c>
      <c r="C69" s="16"/>
      <c r="D69" s="16"/>
      <c r="E69" s="16"/>
      <c r="F69" s="16"/>
      <c r="G69" s="16"/>
      <c r="H69" s="16"/>
      <c r="I69" s="16"/>
      <c r="J69" s="23"/>
      <c r="K69" s="28"/>
      <c r="L69" s="35"/>
      <c r="M69" s="29"/>
      <c r="N69" s="174">
        <f t="shared" ref="N69:U69" si="9">(1+$M$66)^($U$68-N68)</f>
        <v>1.9487171000000012</v>
      </c>
      <c r="O69" s="174">
        <f t="shared" si="9"/>
        <v>1.7715610000000008</v>
      </c>
      <c r="P69" s="174">
        <f t="shared" si="9"/>
        <v>1.6105100000000006</v>
      </c>
      <c r="Q69" s="174">
        <f t="shared" si="9"/>
        <v>1.4641000000000004</v>
      </c>
      <c r="R69" s="174">
        <f t="shared" si="9"/>
        <v>1.3310000000000004</v>
      </c>
      <c r="S69" s="174">
        <f t="shared" si="9"/>
        <v>1.2100000000000002</v>
      </c>
      <c r="T69" s="174">
        <f t="shared" si="9"/>
        <v>1.1000000000000001</v>
      </c>
      <c r="U69" s="174">
        <f t="shared" si="9"/>
        <v>1</v>
      </c>
      <c r="V69" s="174"/>
      <c r="W69" s="175"/>
      <c r="X69" s="16"/>
    </row>
    <row r="70" spans="1:24" ht="14.5" customHeight="1" x14ac:dyDescent="0.35">
      <c r="A70" s="16"/>
      <c r="B70" s="163" t="s">
        <v>79</v>
      </c>
      <c r="C70" s="16"/>
      <c r="D70" s="16"/>
      <c r="E70" s="16"/>
      <c r="F70" s="16"/>
      <c r="G70" s="16"/>
      <c r="H70" s="16"/>
      <c r="I70" s="16"/>
      <c r="J70" s="23"/>
      <c r="K70" s="28"/>
      <c r="L70" s="35"/>
      <c r="M70" s="163" t="s">
        <v>114</v>
      </c>
      <c r="N70" s="22">
        <f t="shared" ref="N70:U70" si="10">O42*N69</f>
        <v>505692.08745000028</v>
      </c>
      <c r="O70" s="22">
        <f t="shared" si="10"/>
        <v>459720.07950000023</v>
      </c>
      <c r="P70" s="22">
        <f t="shared" si="10"/>
        <v>417927.34500000015</v>
      </c>
      <c r="Q70" s="22">
        <f t="shared" si="10"/>
        <v>336010.95000000007</v>
      </c>
      <c r="R70" s="22">
        <f t="shared" si="10"/>
        <v>543048.00000000012</v>
      </c>
      <c r="S70" s="22">
        <f t="shared" si="10"/>
        <v>493680.00000000006</v>
      </c>
      <c r="T70" s="22">
        <f t="shared" si="10"/>
        <v>448800.00000000006</v>
      </c>
      <c r="U70" s="22">
        <f t="shared" si="10"/>
        <v>1618492.5418439114</v>
      </c>
      <c r="V70" s="22"/>
      <c r="W70" s="98"/>
      <c r="X70" s="16"/>
    </row>
    <row r="71" spans="1:24" ht="14.5" customHeight="1" x14ac:dyDescent="0.35">
      <c r="A71" s="16"/>
      <c r="B71" s="16"/>
      <c r="C71" s="16"/>
      <c r="D71" s="16"/>
      <c r="E71" s="16"/>
      <c r="F71" s="16"/>
      <c r="G71" s="16"/>
      <c r="H71" s="16"/>
      <c r="I71" s="16"/>
      <c r="J71" s="23"/>
      <c r="K71" s="169" t="s">
        <v>115</v>
      </c>
      <c r="L71" s="126">
        <f>SUM(N70:U70)</f>
        <v>4823371.003793912</v>
      </c>
      <c r="M71" s="31"/>
      <c r="N71" s="31"/>
      <c r="O71" s="31"/>
      <c r="P71" s="31"/>
      <c r="Q71" s="31"/>
      <c r="R71" s="35"/>
      <c r="S71" s="35"/>
      <c r="T71" s="35"/>
      <c r="U71" s="29"/>
      <c r="V71" s="29"/>
      <c r="W71" s="30"/>
      <c r="X71" s="16"/>
    </row>
    <row r="72" spans="1:24" ht="14.5" customHeight="1" x14ac:dyDescent="0.35">
      <c r="A72" s="16"/>
      <c r="B72" s="19" t="s">
        <v>116</v>
      </c>
      <c r="C72" s="16"/>
      <c r="D72" s="16"/>
      <c r="E72" s="16"/>
      <c r="F72" s="16"/>
      <c r="G72" s="16"/>
      <c r="H72" s="16"/>
      <c r="I72" s="16"/>
      <c r="J72" s="23"/>
      <c r="K72" s="169" t="s">
        <v>117</v>
      </c>
      <c r="L72" s="126">
        <f>N44</f>
        <v>-1327000</v>
      </c>
      <c r="M72" s="29"/>
      <c r="N72" s="29"/>
      <c r="O72" s="29"/>
      <c r="P72" s="29"/>
      <c r="Q72" s="29"/>
      <c r="R72" s="35"/>
      <c r="S72" s="35"/>
      <c r="T72" s="35"/>
      <c r="U72" s="29"/>
      <c r="V72" s="29"/>
      <c r="W72" s="30"/>
      <c r="X72" s="16"/>
    </row>
    <row r="73" spans="1:24" ht="14.5" customHeight="1" x14ac:dyDescent="0.35">
      <c r="A73" s="16"/>
      <c r="B73" s="163" t="s">
        <v>30</v>
      </c>
      <c r="C73" s="16"/>
      <c r="D73" s="16"/>
      <c r="E73" s="16"/>
      <c r="F73" s="16"/>
      <c r="G73" s="16"/>
      <c r="H73" s="16"/>
      <c r="I73" s="16"/>
      <c r="J73" s="23"/>
      <c r="K73" s="28"/>
      <c r="L73" s="29"/>
      <c r="M73" s="29"/>
      <c r="N73" s="29"/>
      <c r="O73" s="29"/>
      <c r="P73" s="29"/>
      <c r="Q73" s="29"/>
      <c r="R73" s="29"/>
      <c r="S73" s="29"/>
      <c r="T73" s="29"/>
      <c r="U73" s="29"/>
      <c r="V73" s="29"/>
      <c r="W73" s="30"/>
      <c r="X73" s="16"/>
    </row>
    <row r="74" spans="1:24" ht="17" customHeight="1" x14ac:dyDescent="0.35">
      <c r="A74" s="16"/>
      <c r="B74" s="163" t="s">
        <v>118</v>
      </c>
      <c r="C74" s="16"/>
      <c r="D74" s="16"/>
      <c r="E74" s="16"/>
      <c r="F74" s="16"/>
      <c r="G74" s="16"/>
      <c r="H74" s="16"/>
      <c r="I74" s="16"/>
      <c r="J74" s="23"/>
      <c r="K74" s="28"/>
      <c r="L74" s="163" t="s">
        <v>80</v>
      </c>
      <c r="M74" s="176">
        <f>((L71/-L72)^(1/U68))-1</f>
        <v>0.17505979813414729</v>
      </c>
      <c r="N74" s="29"/>
      <c r="O74" s="29"/>
      <c r="P74" s="29"/>
      <c r="Q74" s="29"/>
      <c r="R74" s="29"/>
      <c r="S74" s="29"/>
      <c r="T74" s="29"/>
      <c r="U74" s="29"/>
      <c r="V74" s="43"/>
      <c r="W74" s="44"/>
      <c r="X74" s="16"/>
    </row>
    <row r="75" spans="1:24" ht="17" customHeight="1" x14ac:dyDescent="0.35">
      <c r="A75" s="16"/>
      <c r="B75" s="189" t="s">
        <v>119</v>
      </c>
      <c r="C75" s="177"/>
      <c r="D75" s="177"/>
      <c r="E75" s="177"/>
      <c r="F75" s="177"/>
      <c r="G75" s="177"/>
      <c r="H75" s="177"/>
      <c r="I75" s="16"/>
      <c r="J75" s="23"/>
      <c r="K75" s="42"/>
      <c r="L75" s="43"/>
      <c r="M75" s="43"/>
      <c r="N75" s="43"/>
      <c r="O75" s="43"/>
      <c r="P75" s="43"/>
      <c r="Q75" s="43"/>
      <c r="R75" s="43"/>
      <c r="S75" s="43"/>
      <c r="T75" s="43"/>
      <c r="U75" s="44"/>
      <c r="V75" s="178" t="s">
        <v>80</v>
      </c>
      <c r="W75" s="165">
        <f>M74</f>
        <v>0.17505979813414729</v>
      </c>
      <c r="X75" s="136" t="s">
        <v>111</v>
      </c>
    </row>
    <row r="76" spans="1:24" ht="14.5" customHeight="1" x14ac:dyDescent="0.35">
      <c r="A76" s="16"/>
      <c r="B76" s="177"/>
      <c r="C76" s="177"/>
      <c r="D76" s="177"/>
      <c r="E76" s="177"/>
      <c r="F76" s="177"/>
      <c r="G76" s="177"/>
      <c r="H76" s="177"/>
      <c r="I76" s="16"/>
      <c r="J76" s="16"/>
      <c r="K76" s="45"/>
      <c r="L76" s="45"/>
      <c r="M76" s="45"/>
      <c r="N76" s="45"/>
      <c r="O76" s="45"/>
      <c r="P76" s="45"/>
      <c r="Q76" s="45"/>
      <c r="R76" s="45"/>
      <c r="S76" s="45"/>
      <c r="T76" s="45"/>
      <c r="U76" s="45"/>
      <c r="V76" s="45"/>
      <c r="W76" s="166">
        <f>MIRR(N42:V42,M67,M66)</f>
        <v>0.17505979813414729</v>
      </c>
      <c r="X76" s="16"/>
    </row>
    <row r="77" spans="1:24" ht="14.5" customHeight="1" x14ac:dyDescent="0.35">
      <c r="A77" s="16"/>
      <c r="B77" s="163" t="s">
        <v>120</v>
      </c>
      <c r="C77" s="16"/>
      <c r="D77" s="16"/>
      <c r="E77" s="16"/>
      <c r="F77" s="16"/>
      <c r="G77" s="16"/>
      <c r="H77" s="16"/>
      <c r="I77" s="16"/>
      <c r="J77" s="16"/>
      <c r="K77" s="16"/>
      <c r="L77" s="16"/>
      <c r="M77" s="16"/>
      <c r="N77" s="16"/>
      <c r="O77" s="16"/>
      <c r="P77" s="16"/>
      <c r="Q77" s="16"/>
      <c r="R77" s="16"/>
      <c r="S77" s="16"/>
      <c r="T77" s="16"/>
      <c r="U77" s="16"/>
      <c r="V77" s="16"/>
      <c r="W77" s="16"/>
      <c r="X77" s="16"/>
    </row>
    <row r="78" spans="1:24" ht="17" customHeight="1" x14ac:dyDescent="0.35">
      <c r="A78" s="16"/>
      <c r="B78" s="277" t="s">
        <v>121</v>
      </c>
      <c r="C78" s="179"/>
      <c r="D78" s="179"/>
      <c r="E78" s="179"/>
      <c r="F78" s="179"/>
      <c r="G78" s="179"/>
      <c r="H78" s="179"/>
      <c r="I78" s="16"/>
      <c r="J78" s="16"/>
      <c r="K78" s="130" t="s">
        <v>81</v>
      </c>
      <c r="L78" s="148"/>
      <c r="M78" s="149"/>
      <c r="N78" s="149"/>
      <c r="O78" s="43"/>
      <c r="P78" s="21"/>
      <c r="Q78" s="21"/>
      <c r="R78" s="16"/>
      <c r="S78" s="16"/>
      <c r="T78" s="16"/>
      <c r="U78" s="16"/>
      <c r="V78" s="16"/>
      <c r="W78" s="16"/>
      <c r="X78" s="16"/>
    </row>
    <row r="79" spans="1:24" ht="14.5" customHeight="1" x14ac:dyDescent="0.35">
      <c r="A79" s="16"/>
      <c r="B79" s="179"/>
      <c r="C79" s="179"/>
      <c r="D79" s="179"/>
      <c r="E79" s="179"/>
      <c r="F79" s="179"/>
      <c r="G79" s="179"/>
      <c r="H79" s="179"/>
      <c r="I79" s="16"/>
      <c r="J79" s="23"/>
      <c r="K79" s="278"/>
      <c r="L79" s="279"/>
      <c r="M79" s="279"/>
      <c r="N79" s="279"/>
      <c r="O79" s="279"/>
      <c r="P79" s="279"/>
      <c r="Q79" s="280"/>
      <c r="R79" s="24"/>
      <c r="S79" s="16"/>
      <c r="T79" s="16"/>
      <c r="U79" s="16"/>
      <c r="V79" s="16"/>
      <c r="W79" s="16"/>
      <c r="X79" s="16"/>
    </row>
    <row r="80" spans="1:24" ht="16" customHeight="1" x14ac:dyDescent="0.35">
      <c r="A80" s="16"/>
      <c r="B80" s="277" t="s">
        <v>122</v>
      </c>
      <c r="C80" s="179"/>
      <c r="D80" s="179"/>
      <c r="E80" s="179"/>
      <c r="F80" s="179"/>
      <c r="G80" s="179"/>
      <c r="H80" s="179"/>
      <c r="I80" s="16"/>
      <c r="J80" s="23"/>
      <c r="K80" s="281"/>
      <c r="L80" s="282"/>
      <c r="M80" s="282"/>
      <c r="N80" s="282"/>
      <c r="O80" s="282"/>
      <c r="P80" s="282"/>
      <c r="Q80" s="283"/>
      <c r="R80" s="24"/>
      <c r="S80" s="16"/>
      <c r="T80" s="16"/>
      <c r="U80" s="16"/>
      <c r="V80" s="16"/>
      <c r="W80" s="16"/>
      <c r="X80" s="16"/>
    </row>
    <row r="81" spans="1:24" ht="14" customHeight="1" x14ac:dyDescent="0.35">
      <c r="A81" s="16"/>
      <c r="B81" s="179"/>
      <c r="C81" s="179"/>
      <c r="D81" s="179"/>
      <c r="E81" s="179"/>
      <c r="F81" s="179"/>
      <c r="G81" s="179"/>
      <c r="H81" s="179"/>
      <c r="I81" s="16"/>
      <c r="J81" s="23"/>
      <c r="K81" s="281"/>
      <c r="L81" s="282"/>
      <c r="M81" s="282"/>
      <c r="N81" s="282"/>
      <c r="O81" s="282"/>
      <c r="P81" s="282"/>
      <c r="Q81" s="283"/>
      <c r="R81" s="24"/>
      <c r="S81" s="16"/>
      <c r="T81" s="16"/>
      <c r="U81" s="16"/>
      <c r="V81" s="16"/>
      <c r="W81" s="16"/>
      <c r="X81" s="16"/>
    </row>
    <row r="82" spans="1:24" ht="15" customHeight="1" x14ac:dyDescent="0.35">
      <c r="A82" s="16"/>
      <c r="B82" s="179"/>
      <c r="C82" s="179"/>
      <c r="D82" s="179"/>
      <c r="E82" s="179"/>
      <c r="F82" s="179"/>
      <c r="G82" s="179"/>
      <c r="H82" s="179"/>
      <c r="I82" s="16"/>
      <c r="J82" s="23"/>
      <c r="K82" s="284"/>
      <c r="L82" s="285"/>
      <c r="M82" s="285"/>
      <c r="N82" s="285"/>
      <c r="O82" s="285"/>
      <c r="P82" s="285"/>
      <c r="Q82" s="286"/>
      <c r="R82" s="24"/>
      <c r="S82" s="16"/>
      <c r="T82" s="16"/>
      <c r="U82" s="16"/>
      <c r="V82" s="16"/>
      <c r="W82" s="16"/>
      <c r="X82" s="16"/>
    </row>
    <row r="83" spans="1:24" ht="14.5" customHeight="1" x14ac:dyDescent="0.35">
      <c r="A83" s="16"/>
      <c r="B83" s="179"/>
      <c r="C83" s="179"/>
      <c r="D83" s="179"/>
      <c r="E83" s="179"/>
      <c r="F83" s="179"/>
      <c r="G83" s="179"/>
      <c r="H83" s="179"/>
      <c r="I83" s="16"/>
      <c r="J83" s="16"/>
      <c r="K83" s="140"/>
      <c r="L83" s="140"/>
      <c r="M83" s="129"/>
      <c r="N83" s="150"/>
      <c r="O83" s="129"/>
      <c r="P83" s="84"/>
      <c r="Q83" s="45"/>
      <c r="R83" s="16"/>
      <c r="S83" s="16"/>
      <c r="T83" s="16"/>
      <c r="U83" s="16"/>
      <c r="V83" s="16"/>
      <c r="W83" s="16"/>
      <c r="X83" s="16"/>
    </row>
    <row r="84" spans="1:24" ht="14.5" customHeight="1" x14ac:dyDescent="0.35">
      <c r="A84" s="16"/>
      <c r="B84" s="16"/>
      <c r="C84" s="16"/>
      <c r="D84" s="16"/>
      <c r="E84" s="16"/>
      <c r="F84" s="16"/>
      <c r="G84" s="16"/>
      <c r="H84" s="16"/>
      <c r="I84" s="16"/>
      <c r="J84" s="16"/>
      <c r="K84" s="29"/>
      <c r="L84" s="29"/>
      <c r="M84" s="29"/>
      <c r="N84" s="31"/>
      <c r="O84" s="180"/>
      <c r="P84" s="163"/>
      <c r="Q84" s="16"/>
      <c r="R84" s="16"/>
      <c r="S84" s="16"/>
      <c r="T84" s="16"/>
      <c r="U84" s="16"/>
      <c r="V84" s="16"/>
      <c r="W84" s="16"/>
      <c r="X84" s="16"/>
    </row>
    <row r="85" spans="1:24" ht="14.5" customHeight="1" x14ac:dyDescent="0.35">
      <c r="A85" s="16"/>
      <c r="B85" s="163" t="s">
        <v>39</v>
      </c>
      <c r="C85" s="16"/>
      <c r="D85" s="16"/>
      <c r="E85" s="16"/>
      <c r="F85" s="16"/>
      <c r="G85" s="16"/>
      <c r="H85" s="16"/>
      <c r="I85" s="16"/>
      <c r="J85" s="16"/>
      <c r="K85" s="29"/>
      <c r="L85" s="29"/>
      <c r="M85" s="29"/>
      <c r="N85" s="35"/>
      <c r="O85" s="176"/>
      <c r="P85" s="29"/>
      <c r="Q85" s="16"/>
      <c r="R85" s="16"/>
      <c r="S85" s="16"/>
      <c r="T85" s="16"/>
      <c r="U85" s="16"/>
      <c r="V85" s="16"/>
      <c r="W85" s="16"/>
      <c r="X85" s="16"/>
    </row>
    <row r="86" spans="1:24" ht="16" customHeight="1" x14ac:dyDescent="0.3">
      <c r="A86" s="16"/>
      <c r="B86" s="287" t="s">
        <v>123</v>
      </c>
      <c r="C86" s="181"/>
      <c r="D86" s="181"/>
      <c r="E86" s="181"/>
      <c r="F86" s="181"/>
      <c r="G86" s="181"/>
      <c r="H86" s="181"/>
      <c r="I86" s="181"/>
      <c r="J86" s="16"/>
      <c r="K86" s="16"/>
      <c r="L86" s="16"/>
      <c r="M86" s="16"/>
      <c r="N86" s="16"/>
      <c r="O86" s="16"/>
      <c r="P86" s="16"/>
      <c r="Q86" s="16"/>
      <c r="R86" s="16"/>
      <c r="S86" s="16"/>
      <c r="T86" s="16"/>
      <c r="U86" s="16"/>
      <c r="V86" s="16"/>
      <c r="W86" s="16"/>
      <c r="X86" s="16"/>
    </row>
    <row r="87" spans="1:24" ht="14.5" customHeight="1" x14ac:dyDescent="0.3">
      <c r="A87" s="16"/>
      <c r="B87" s="181"/>
      <c r="C87" s="181"/>
      <c r="D87" s="181"/>
      <c r="E87" s="181"/>
      <c r="F87" s="181"/>
      <c r="G87" s="181"/>
      <c r="H87" s="181"/>
      <c r="I87" s="181"/>
      <c r="J87" s="16"/>
      <c r="K87" s="16"/>
      <c r="L87" s="16"/>
      <c r="M87" s="16"/>
      <c r="N87" s="16"/>
      <c r="O87" s="16"/>
      <c r="P87" s="16"/>
      <c r="Q87" s="16"/>
      <c r="R87" s="16"/>
      <c r="S87" s="16"/>
      <c r="T87" s="16"/>
      <c r="U87" s="16"/>
      <c r="V87" s="16"/>
      <c r="W87" s="16"/>
      <c r="X87" s="16"/>
    </row>
    <row r="88" spans="1:24" ht="17" customHeight="1"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29"/>
    </row>
    <row r="89" spans="1:24" ht="14.5" customHeight="1" x14ac:dyDescent="0.35">
      <c r="A89" s="16"/>
      <c r="B89" s="16"/>
      <c r="C89" s="16"/>
      <c r="D89" s="16"/>
      <c r="E89" s="16"/>
      <c r="F89" s="16"/>
      <c r="G89" s="16"/>
      <c r="H89" s="16"/>
      <c r="I89" s="16"/>
      <c r="J89" s="16"/>
      <c r="K89" s="16"/>
      <c r="L89" s="16"/>
      <c r="M89" s="16"/>
      <c r="N89" s="16"/>
      <c r="O89" s="16"/>
      <c r="P89" s="16"/>
      <c r="Q89" s="16"/>
      <c r="R89" s="16"/>
      <c r="S89" s="29"/>
      <c r="T89" s="29"/>
      <c r="U89" s="29"/>
      <c r="V89" s="16"/>
      <c r="W89" s="16"/>
      <c r="X89" s="16"/>
    </row>
    <row r="90" spans="1:24" ht="14.5" customHeight="1" x14ac:dyDescent="0.35">
      <c r="A90" s="16"/>
      <c r="B90" s="16"/>
      <c r="C90" s="16"/>
      <c r="D90" s="16"/>
      <c r="E90" s="16"/>
      <c r="F90" s="16"/>
      <c r="G90" s="16"/>
      <c r="H90" s="16"/>
      <c r="I90" s="16"/>
      <c r="J90" s="16"/>
      <c r="K90" s="16"/>
      <c r="L90" s="16"/>
      <c r="M90" s="16"/>
      <c r="N90" s="16"/>
      <c r="O90" s="16"/>
      <c r="P90" s="16"/>
      <c r="Q90" s="16"/>
      <c r="R90" s="16"/>
      <c r="S90" s="29"/>
      <c r="T90" s="29"/>
      <c r="U90" s="29"/>
      <c r="V90" s="16"/>
      <c r="W90" s="16"/>
      <c r="X90" s="16"/>
    </row>
    <row r="91" spans="1:24" ht="14.5" customHeight="1" x14ac:dyDescent="0.35">
      <c r="A91" s="16"/>
      <c r="B91" s="16"/>
      <c r="C91" s="16"/>
      <c r="D91" s="16"/>
      <c r="E91" s="16"/>
      <c r="F91" s="16"/>
      <c r="G91" s="16"/>
      <c r="H91" s="16"/>
      <c r="I91" s="16"/>
      <c r="J91" s="16"/>
      <c r="K91" s="16"/>
      <c r="L91" s="16"/>
      <c r="M91" s="16"/>
      <c r="N91" s="16"/>
      <c r="O91" s="16"/>
      <c r="P91" s="16"/>
      <c r="Q91" s="16"/>
      <c r="R91" s="16"/>
      <c r="S91" s="29"/>
      <c r="T91" s="29"/>
      <c r="U91" s="29"/>
      <c r="V91" s="16"/>
      <c r="W91" s="16"/>
      <c r="X91" s="16"/>
    </row>
    <row r="92" spans="1:24" ht="14.5" customHeight="1" x14ac:dyDescent="0.35">
      <c r="A92" s="16"/>
      <c r="B92" s="16"/>
      <c r="C92" s="16"/>
      <c r="D92" s="16"/>
      <c r="E92" s="16"/>
      <c r="F92" s="16"/>
      <c r="G92" s="16"/>
      <c r="H92" s="16"/>
      <c r="I92" s="16"/>
      <c r="J92" s="16"/>
      <c r="K92" s="16"/>
      <c r="L92" s="16"/>
      <c r="M92" s="16"/>
      <c r="N92" s="16"/>
      <c r="O92" s="16"/>
      <c r="P92" s="16"/>
      <c r="Q92" s="16"/>
      <c r="R92" s="16"/>
      <c r="S92" s="29"/>
      <c r="T92" s="29"/>
      <c r="U92" s="29"/>
      <c r="V92" s="16"/>
      <c r="W92" s="16"/>
      <c r="X92" s="16"/>
    </row>
    <row r="93" spans="1:24" ht="14.5" customHeight="1" x14ac:dyDescent="0.35">
      <c r="A93" s="16"/>
      <c r="B93" s="16"/>
      <c r="C93" s="16"/>
      <c r="D93" s="16"/>
      <c r="E93" s="16"/>
      <c r="F93" s="16"/>
      <c r="G93" s="16"/>
      <c r="H93" s="16"/>
      <c r="I93" s="16"/>
      <c r="J93" s="16"/>
      <c r="K93" s="16"/>
      <c r="L93" s="16"/>
      <c r="M93" s="16"/>
      <c r="N93" s="16"/>
      <c r="O93" s="16"/>
      <c r="P93" s="16"/>
      <c r="Q93" s="16"/>
      <c r="R93" s="16"/>
      <c r="S93" s="29"/>
      <c r="T93" s="29"/>
      <c r="U93" s="29"/>
      <c r="V93" s="16"/>
      <c r="W93" s="16"/>
      <c r="X93" s="16"/>
    </row>
    <row r="94" spans="1:24" ht="14.5" customHeight="1" x14ac:dyDescent="0.35">
      <c r="A94" s="16"/>
      <c r="B94" s="16"/>
      <c r="C94" s="16"/>
      <c r="D94" s="16"/>
      <c r="E94" s="16"/>
      <c r="F94" s="16"/>
      <c r="G94" s="16"/>
      <c r="H94" s="16"/>
      <c r="I94" s="16"/>
      <c r="J94" s="16"/>
      <c r="K94" s="16"/>
      <c r="L94" s="16"/>
      <c r="M94" s="16"/>
      <c r="N94" s="16"/>
      <c r="O94" s="16"/>
      <c r="P94" s="16"/>
      <c r="Q94" s="16"/>
      <c r="R94" s="16"/>
      <c r="S94" s="29"/>
      <c r="T94" s="29"/>
      <c r="U94" s="29"/>
      <c r="V94" s="16"/>
      <c r="W94" s="16"/>
      <c r="X94" s="16"/>
    </row>
    <row r="95" spans="1:24" ht="14.5" customHeight="1" x14ac:dyDescent="0.35">
      <c r="A95" s="16"/>
      <c r="B95" s="16"/>
      <c r="C95" s="16"/>
      <c r="D95" s="16"/>
      <c r="E95" s="16"/>
      <c r="F95" s="16"/>
      <c r="G95" s="16"/>
      <c r="H95" s="16"/>
      <c r="I95" s="16"/>
      <c r="J95" s="16"/>
      <c r="K95" s="16"/>
      <c r="L95" s="16"/>
      <c r="M95" s="16"/>
      <c r="N95" s="16"/>
      <c r="O95" s="16"/>
      <c r="P95" s="16"/>
      <c r="Q95" s="29"/>
      <c r="R95" s="29"/>
      <c r="S95" s="29"/>
      <c r="T95" s="29"/>
      <c r="U95" s="29"/>
      <c r="V95" s="16"/>
      <c r="W95" s="16"/>
      <c r="X95" s="16"/>
    </row>
  </sheetData>
  <conditionalFormatting sqref="M26:M28">
    <cfRule type="cellIs" dxfId="0" priority="1" stopIfTrue="1" operator="lessThan">
      <formula>0</formula>
    </cfRule>
  </conditionalFormatting>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Directives</vt:lpstr>
      <vt:lpstr>Ennoncé</vt:lpstr>
      <vt:lpstr>Feuil3</vt:lpstr>
      <vt:lpstr>Feuil4</vt:lpstr>
      <vt:lpstr>Feuil5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Salha Hemed</dc:creator>
  <cp:lastModifiedBy>Salha Hemed</cp:lastModifiedBy>
  <dcterms:created xsi:type="dcterms:W3CDTF">2020-11-16T19:53:15Z</dcterms:created>
  <dcterms:modified xsi:type="dcterms:W3CDTF">2020-12-11T07:09:09Z</dcterms:modified>
</cp:coreProperties>
</file>