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mc:AlternateContent xmlns:mc="http://schemas.openxmlformats.org/markup-compatibility/2006">
    <mc:Choice Requires="x15">
      <x15ac:absPath xmlns:x15ac="http://schemas.microsoft.com/office/spreadsheetml/2010/11/ac" url="https://d.docs.live.net/2787b8cdc92dffbb/Automne 2020 (Session 5-2)/Économie/TP/TP4/"/>
    </mc:Choice>
  </mc:AlternateContent>
  <xr:revisionPtr revIDLastSave="356" documentId="8_{BA5D55BC-E356-4F51-BD16-9441C06CD953}" xr6:coauthVersionLast="45" xr6:coauthVersionMax="45" xr10:uidLastSave="{8E079C1F-BA9A-455A-8441-8F7EBF95D573}"/>
  <workbookProtection workbookAlgorithmName="SHA-512" workbookHashValue="S0FIP6LvKMqJQJHBaL2z+fWREc2AnCUwZjRWlXf9D+6ob9vOejj5ilb4cm17bvpJpo+cUg7LV7HRn5IixPKgpQ==" workbookSaltValue="UKoNGDLQOQFKuB8D52o4Fg==" workbookSpinCount="100000" lockStructure="1"/>
  <bookViews>
    <workbookView xWindow="-110" yWindow="-110" windowWidth="22780" windowHeight="14660" activeTab="1" xr2:uid="{00000000-000D-0000-FFFF-FFFF00000000}"/>
  </bookViews>
  <sheets>
    <sheet name="Directives" sheetId="5" r:id="rId1"/>
    <sheet name="Enoncé" sheetId="1" r:id="rId2"/>
    <sheet name="Enoncé (2)" sheetId="8" state="hidden" r:id="rId3"/>
    <sheet name="Feuil2" sheetId="3" state="hidden" r:id="rId4"/>
    <sheet name="Feuil3" sheetId="2" state="hidden" r:id="rId5"/>
    <sheet name="Feuil4" sheetId="6" state="hidden" r:id="rId6"/>
    <sheet name="Feuil5"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7" i="1" l="1"/>
  <c r="K80" i="1"/>
  <c r="K79" i="1"/>
  <c r="L75" i="1"/>
  <c r="K71" i="1"/>
  <c r="K66" i="1"/>
  <c r="K62" i="1"/>
  <c r="O45" i="1"/>
  <c r="O41" i="1"/>
  <c r="O39" i="1"/>
  <c r="O37" i="1"/>
  <c r="O38" i="1"/>
  <c r="K48" i="1"/>
  <c r="M11" i="1" l="1"/>
  <c r="Q50" i="1" l="1"/>
  <c r="O36" i="1"/>
  <c r="L25" i="1" l="1"/>
  <c r="M31" i="1" s="1"/>
  <c r="M91" i="1"/>
  <c r="L94" i="1"/>
  <c r="K86" i="1"/>
  <c r="K70" i="1"/>
  <c r="Q44" i="1"/>
  <c r="O44" i="1"/>
  <c r="K49" i="1"/>
  <c r="O40" i="1"/>
  <c r="O34" i="1"/>
  <c r="O35" i="1"/>
  <c r="M39" i="1"/>
  <c r="K37" i="1"/>
  <c r="K36" i="1"/>
  <c r="K34" i="1"/>
  <c r="K35" i="1"/>
  <c r="N23" i="1"/>
  <c r="K31" i="1" s="1"/>
  <c r="K21" i="1"/>
  <c r="K20" i="1"/>
  <c r="K19" i="1"/>
  <c r="K18" i="1"/>
  <c r="K78" i="1" l="1"/>
  <c r="M83" i="1" s="1"/>
  <c r="M48" i="1"/>
  <c r="L95" i="1" l="1"/>
  <c r="M99" i="1" s="1"/>
  <c r="C23" i="7" s="1"/>
  <c r="M52" i="1"/>
  <c r="O47" i="1" s="1"/>
  <c r="O55" i="1" s="1"/>
  <c r="C14" i="7" s="1"/>
  <c r="O51" i="1"/>
  <c r="C13" i="7" s="1"/>
  <c r="A43" i="8"/>
  <c r="F61" i="8"/>
  <c r="F60" i="8"/>
  <c r="F59" i="8"/>
  <c r="F58" i="8"/>
  <c r="F57" i="8"/>
  <c r="F55" i="8"/>
  <c r="F54" i="8"/>
  <c r="F53" i="8"/>
  <c r="F52" i="8"/>
  <c r="F51" i="8"/>
  <c r="F50" i="8"/>
  <c r="A37" i="8"/>
  <c r="B24" i="8"/>
  <c r="F37" i="3"/>
  <c r="E37" i="3"/>
  <c r="F56" i="8" s="1"/>
  <c r="K5" i="7"/>
  <c r="K6" i="7"/>
  <c r="K7" i="7"/>
  <c r="K8" i="7"/>
  <c r="K9" i="7"/>
  <c r="K10" i="7"/>
  <c r="K11" i="7"/>
  <c r="K12" i="7"/>
  <c r="K13" i="7"/>
  <c r="K14" i="7"/>
  <c r="K15" i="7"/>
  <c r="K18" i="7"/>
  <c r="K19" i="7"/>
  <c r="K20" i="7"/>
  <c r="K21" i="7"/>
  <c r="K22" i="7"/>
  <c r="K23" i="7"/>
  <c r="K4" i="7"/>
  <c r="K3" i="7"/>
  <c r="G43" i="2"/>
  <c r="G48" i="2"/>
  <c r="G53" i="2" s="1"/>
  <c r="B1" i="6"/>
  <c r="C22" i="7"/>
  <c r="C21" i="7"/>
  <c r="C20" i="7"/>
  <c r="F20" i="7" s="1"/>
  <c r="C19" i="7"/>
  <c r="C18" i="7"/>
  <c r="C15" i="7"/>
  <c r="C10" i="7"/>
  <c r="C9" i="7"/>
  <c r="C8" i="7"/>
  <c r="C7" i="7"/>
  <c r="C6" i="7"/>
  <c r="C5" i="7"/>
  <c r="C4" i="7"/>
  <c r="C3" i="7"/>
  <c r="C11" i="7" l="1"/>
  <c r="C12" i="7"/>
  <c r="D9" i="7"/>
  <c r="F9" i="7" s="1"/>
  <c r="K24" i="7"/>
  <c r="K25" i="7" s="1"/>
  <c r="D10" i="7"/>
  <c r="F10" i="7" s="1"/>
  <c r="E20" i="7"/>
  <c r="G20" i="7" s="1"/>
  <c r="H20" i="7" s="1"/>
  <c r="I20" i="7" s="1"/>
  <c r="D11" i="7"/>
  <c r="D23" i="7"/>
  <c r="D8" i="7"/>
  <c r="F8" i="7" s="1"/>
  <c r="F11" i="7" l="1"/>
  <c r="E11" i="7"/>
  <c r="G11" i="7" s="1"/>
  <c r="H11" i="7" s="1"/>
  <c r="I11" i="7" s="1"/>
  <c r="E10" i="7"/>
  <c r="G10" i="7" s="1"/>
  <c r="H10" i="7" s="1"/>
  <c r="I10" i="7" s="1"/>
  <c r="E23" i="7"/>
  <c r="F23" i="7"/>
  <c r="E8" i="7"/>
  <c r="G8" i="7" s="1"/>
  <c r="H8" i="7" s="1"/>
  <c r="I8" i="7" s="1"/>
  <c r="E9" i="7"/>
  <c r="G9" i="7" s="1"/>
  <c r="H9" i="7" s="1"/>
  <c r="I9" i="7" s="1"/>
  <c r="G23" i="7" l="1"/>
  <c r="H23" i="7" s="1"/>
  <c r="I23" i="7" s="1"/>
  <c r="C7" i="3"/>
  <c r="C8" i="3"/>
  <c r="C9" i="3"/>
  <c r="N4" i="3"/>
  <c r="C4" i="3" s="1"/>
  <c r="N5" i="3"/>
  <c r="C5" i="3" s="1"/>
  <c r="N6" i="3"/>
  <c r="C6" i="3" s="1"/>
  <c r="N7" i="3"/>
  <c r="N8" i="3"/>
  <c r="N9" i="3"/>
  <c r="N10" i="3"/>
  <c r="C10" i="3" s="1"/>
  <c r="N11" i="3"/>
  <c r="C11" i="3" s="1"/>
  <c r="N12" i="3"/>
  <c r="C12" i="3" s="1"/>
  <c r="N13" i="3"/>
  <c r="C13" i="3" s="1"/>
  <c r="N14" i="3"/>
  <c r="C14" i="3" s="1"/>
  <c r="N3" i="3"/>
  <c r="C3" i="3" s="1"/>
  <c r="L4" i="3"/>
  <c r="L5" i="3"/>
  <c r="L6" i="3"/>
  <c r="L7" i="3"/>
  <c r="L8" i="3"/>
  <c r="L9" i="3"/>
  <c r="L10" i="3"/>
  <c r="L11" i="3"/>
  <c r="L12" i="3"/>
  <c r="L13" i="3"/>
  <c r="L14" i="3"/>
  <c r="L3" i="3"/>
  <c r="D20" i="8" l="1"/>
  <c r="C20" i="8"/>
  <c r="D17" i="8"/>
  <c r="C17" i="8"/>
  <c r="C35" i="2"/>
  <c r="D10" i="8"/>
  <c r="C10" i="8"/>
  <c r="C34" i="2"/>
  <c r="F21" i="3"/>
  <c r="D3" i="3"/>
  <c r="D21" i="8"/>
  <c r="C21" i="8"/>
  <c r="C15" i="3"/>
  <c r="D12" i="8"/>
  <c r="C12" i="8"/>
  <c r="D18" i="8"/>
  <c r="C18" i="8"/>
  <c r="C13" i="8"/>
  <c r="D13" i="8"/>
  <c r="C19" i="8"/>
  <c r="D19" i="8"/>
  <c r="C11" i="8"/>
  <c r="D11" i="8"/>
  <c r="D16" i="8"/>
  <c r="C16" i="8"/>
  <c r="D15" i="8"/>
  <c r="C15" i="8"/>
  <c r="D14" i="8"/>
  <c r="C14" i="8"/>
  <c r="E45" i="3"/>
  <c r="C95" i="2"/>
  <c r="D79" i="2"/>
  <c r="D87" i="2" s="1"/>
  <c r="D70" i="2"/>
  <c r="G33" i="2"/>
  <c r="C43" i="2"/>
  <c r="C62" i="2"/>
  <c r="C61" i="2"/>
  <c r="H45" i="2"/>
  <c r="I43" i="2"/>
  <c r="G70" i="2" l="1"/>
  <c r="D12" i="7"/>
  <c r="D14" i="7"/>
  <c r="D13" i="7"/>
  <c r="C65" i="2"/>
  <c r="D18" i="7" s="1"/>
  <c r="E12" i="7" l="1"/>
  <c r="F12" i="7"/>
  <c r="E18" i="7"/>
  <c r="F18" i="7"/>
  <c r="G18" i="7" s="1"/>
  <c r="H18" i="7" s="1"/>
  <c r="I18" i="7" s="1"/>
  <c r="F14" i="7"/>
  <c r="E14" i="7"/>
  <c r="F13" i="7"/>
  <c r="E13" i="7"/>
  <c r="D44" i="2"/>
  <c r="H44" i="2" s="1"/>
  <c r="D43" i="2"/>
  <c r="B7" i="2"/>
  <c r="B6" i="2"/>
  <c r="G14" i="7" l="1"/>
  <c r="H14" i="7" s="1"/>
  <c r="I14" i="7" s="1"/>
  <c r="G12" i="7"/>
  <c r="H12" i="7" s="1"/>
  <c r="I12" i="7" s="1"/>
  <c r="G13" i="7"/>
  <c r="H13" i="7" s="1"/>
  <c r="I13" i="7" s="1"/>
  <c r="E43" i="2"/>
  <c r="G44" i="2"/>
  <c r="E43" i="3"/>
  <c r="D81" i="2" s="1"/>
  <c r="D71" i="2"/>
  <c r="D72" i="2" s="1"/>
  <c r="E46" i="3" l="1"/>
  <c r="D89" i="2"/>
  <c r="D21" i="7"/>
  <c r="D78" i="2"/>
  <c r="G71" i="2"/>
  <c r="G72" i="2" s="1"/>
  <c r="E21" i="7" l="1"/>
  <c r="F21" i="7"/>
  <c r="D86" i="2"/>
  <c r="D88" i="2" s="1"/>
  <c r="D80" i="2"/>
  <c r="G21" i="7" l="1"/>
  <c r="H21" i="7" s="1"/>
  <c r="I21" i="7" s="1"/>
  <c r="E3" i="3"/>
  <c r="E10" i="8" s="1"/>
  <c r="D19" i="3"/>
  <c r="F3" i="3"/>
  <c r="F10" i="8" s="1"/>
  <c r="E4" i="3"/>
  <c r="E11" i="8" s="1"/>
  <c r="E5" i="3"/>
  <c r="E12" i="8" s="1"/>
  <c r="E6" i="3"/>
  <c r="E13" i="8" s="1"/>
  <c r="E7" i="3"/>
  <c r="E14" i="8" s="1"/>
  <c r="E8" i="3"/>
  <c r="E15" i="8" s="1"/>
  <c r="E9" i="3"/>
  <c r="E16" i="8" s="1"/>
  <c r="E10" i="3"/>
  <c r="E17" i="8" s="1"/>
  <c r="E11" i="3"/>
  <c r="E18" i="8" s="1"/>
  <c r="E12" i="3"/>
  <c r="E19" i="8" s="1"/>
  <c r="E13" i="3"/>
  <c r="E20" i="8" s="1"/>
  <c r="E14" i="3"/>
  <c r="E21" i="8" s="1"/>
  <c r="G14" i="3"/>
  <c r="G4" i="3"/>
  <c r="G5" i="3"/>
  <c r="G6" i="3"/>
  <c r="G7" i="3"/>
  <c r="G8" i="3"/>
  <c r="G9" i="3"/>
  <c r="G10" i="3"/>
  <c r="G11" i="3"/>
  <c r="G12" i="3"/>
  <c r="G13" i="3"/>
  <c r="G3" i="3"/>
  <c r="D21" i="3"/>
  <c r="D4" i="3"/>
  <c r="D5" i="3"/>
  <c r="D6" i="3"/>
  <c r="D7" i="3"/>
  <c r="D8" i="3"/>
  <c r="D9" i="3"/>
  <c r="D10" i="3"/>
  <c r="D11" i="3"/>
  <c r="D12" i="3"/>
  <c r="D13" i="3"/>
  <c r="D14" i="3"/>
  <c r="C6" i="2"/>
  <c r="F4" i="3"/>
  <c r="F11" i="8" s="1"/>
  <c r="F5" i="3"/>
  <c r="F12" i="8" s="1"/>
  <c r="F6" i="3"/>
  <c r="F13" i="8" s="1"/>
  <c r="F7" i="3"/>
  <c r="F14" i="8" s="1"/>
  <c r="F8" i="3"/>
  <c r="F15" i="8" s="1"/>
  <c r="F9" i="3"/>
  <c r="F16" i="8" s="1"/>
  <c r="F10" i="3"/>
  <c r="F17" i="8" s="1"/>
  <c r="F11" i="3"/>
  <c r="F18" i="8" s="1"/>
  <c r="F12" i="3"/>
  <c r="F19" i="8" s="1"/>
  <c r="F13" i="3"/>
  <c r="F20" i="8" s="1"/>
  <c r="F14" i="3"/>
  <c r="F21" i="8" s="1"/>
  <c r="D35" i="2" l="1"/>
  <c r="D34" i="2"/>
  <c r="G15" i="3"/>
  <c r="E15" i="3"/>
  <c r="H14" i="3"/>
  <c r="I14" i="3" s="1"/>
  <c r="F15" i="3"/>
  <c r="D15" i="3"/>
  <c r="H3" i="3"/>
  <c r="H10" i="3"/>
  <c r="I10" i="3" s="1"/>
  <c r="H13" i="3"/>
  <c r="I13" i="3" s="1"/>
  <c r="H11" i="3"/>
  <c r="I11" i="3" s="1"/>
  <c r="H9" i="3"/>
  <c r="I9" i="3" s="1"/>
  <c r="H5" i="3"/>
  <c r="I5" i="3" s="1"/>
  <c r="H12" i="3"/>
  <c r="I12" i="3" s="1"/>
  <c r="H8" i="3"/>
  <c r="I8" i="3" s="1"/>
  <c r="H4" i="3"/>
  <c r="I4" i="3" s="1"/>
  <c r="H15" i="3" l="1"/>
  <c r="I15" i="3" s="1"/>
  <c r="C22" i="3" s="1"/>
  <c r="B23" i="8" s="1"/>
  <c r="I3" i="3"/>
  <c r="G36" i="2" l="1"/>
  <c r="E21" i="3"/>
  <c r="E22" i="3" s="1"/>
  <c r="D25" i="2" l="1"/>
  <c r="D24" i="2"/>
  <c r="D23" i="2"/>
  <c r="D22" i="2"/>
  <c r="D20" i="2"/>
  <c r="D16" i="2"/>
  <c r="D15" i="2"/>
  <c r="D14" i="2"/>
  <c r="C25" i="2"/>
  <c r="C24" i="2"/>
  <c r="C23" i="2"/>
  <c r="C22" i="2"/>
  <c r="F22" i="2" s="1"/>
  <c r="D21" i="2"/>
  <c r="C21" i="2"/>
  <c r="C20" i="2"/>
  <c r="C19" i="2"/>
  <c r="C18" i="2"/>
  <c r="C17" i="2"/>
  <c r="C16" i="2"/>
  <c r="C15" i="2"/>
  <c r="C14" i="2"/>
  <c r="C7" i="2"/>
  <c r="E10" i="2" s="1"/>
  <c r="D3" i="7" s="1"/>
  <c r="F3" i="7" l="1"/>
  <c r="E3" i="7"/>
  <c r="E38" i="2"/>
  <c r="D6" i="7" s="1"/>
  <c r="F14" i="2"/>
  <c r="F25" i="2"/>
  <c r="D19" i="2"/>
  <c r="F19" i="2" s="1"/>
  <c r="F21" i="2"/>
  <c r="F15" i="2"/>
  <c r="F20" i="2"/>
  <c r="F23" i="2"/>
  <c r="F16" i="2"/>
  <c r="F24" i="2"/>
  <c r="E14" i="2"/>
  <c r="E15" i="2"/>
  <c r="E16" i="2"/>
  <c r="E17" i="2"/>
  <c r="E18" i="2"/>
  <c r="E19" i="2"/>
  <c r="E20" i="2"/>
  <c r="E21" i="2"/>
  <c r="E22" i="2"/>
  <c r="E23" i="2"/>
  <c r="E24" i="2"/>
  <c r="E25" i="2"/>
  <c r="C26" i="2"/>
  <c r="D19" i="7" s="1"/>
  <c r="F19" i="7" l="1"/>
  <c r="E19" i="7"/>
  <c r="G3" i="7"/>
  <c r="H3" i="7" s="1"/>
  <c r="F6" i="7"/>
  <c r="E6" i="7"/>
  <c r="C78" i="2"/>
  <c r="G34" i="2"/>
  <c r="I46" i="2"/>
  <c r="D15" i="7" s="1"/>
  <c r="G38" i="2"/>
  <c r="E26" i="2"/>
  <c r="G19" i="7" l="1"/>
  <c r="H19" i="7" s="1"/>
  <c r="I19" i="7" s="1"/>
  <c r="F15" i="7"/>
  <c r="E15" i="7"/>
  <c r="I3" i="7"/>
  <c r="G6" i="7"/>
  <c r="H6" i="7" s="1"/>
  <c r="G35" i="2"/>
  <c r="C72" i="2" s="1"/>
  <c r="F72" i="2" s="1"/>
  <c r="C86" i="2"/>
  <c r="D22" i="7" s="1"/>
  <c r="H7" i="3"/>
  <c r="I7" i="3" s="1"/>
  <c r="D18" i="2"/>
  <c r="F18" i="2" s="1"/>
  <c r="H6" i="3"/>
  <c r="D17" i="2"/>
  <c r="F17" i="2" s="1"/>
  <c r="F26" i="2" s="1"/>
  <c r="G15" i="7" l="1"/>
  <c r="H15" i="7" s="1"/>
  <c r="I15" i="7" s="1"/>
  <c r="E22" i="7"/>
  <c r="F22" i="7"/>
  <c r="D7" i="7"/>
  <c r="I6" i="7"/>
  <c r="G21" i="3"/>
  <c r="D74" i="2"/>
  <c r="C94" i="2" s="1"/>
  <c r="D26" i="2"/>
  <c r="E30" i="2" s="1"/>
  <c r="D5" i="7" s="1"/>
  <c r="I6" i="3"/>
  <c r="G22" i="7" l="1"/>
  <c r="H22" i="7" s="1"/>
  <c r="I22" i="7" s="1"/>
  <c r="F7" i="7"/>
  <c r="E7" i="7"/>
  <c r="F5" i="7"/>
  <c r="E5" i="7"/>
  <c r="C30" i="2"/>
  <c r="G39" i="2"/>
  <c r="G5" i="7" l="1"/>
  <c r="H5" i="7" s="1"/>
  <c r="I5" i="7" s="1"/>
  <c r="G7" i="7"/>
  <c r="H7" i="7" s="1"/>
  <c r="I7" i="7" s="1"/>
  <c r="C44" i="2"/>
  <c r="C79" i="2" s="1"/>
  <c r="C80" i="2" s="1"/>
  <c r="E80" i="2" s="1"/>
  <c r="D4" i="7"/>
  <c r="G37" i="2"/>
  <c r="G40" i="2" s="1"/>
  <c r="E45" i="2" s="1"/>
  <c r="C87" i="2"/>
  <c r="C88" i="2" s="1"/>
  <c r="E88" i="2" s="1"/>
  <c r="E90" i="2" s="1"/>
  <c r="C97" i="2" s="1"/>
  <c r="C47" i="2" l="1"/>
  <c r="C48" i="2" s="1"/>
  <c r="E44" i="2"/>
  <c r="E47" i="2" s="1"/>
  <c r="E51" i="2" s="1"/>
  <c r="E4" i="7"/>
  <c r="F4" i="7"/>
  <c r="I45" i="2"/>
  <c r="C81" i="2"/>
  <c r="I44" i="2" l="1"/>
  <c r="G4" i="7"/>
  <c r="G49" i="2"/>
  <c r="G50" i="2" s="1"/>
  <c r="G52" i="2" s="1"/>
  <c r="G54" i="2" s="1"/>
  <c r="G45" i="2"/>
  <c r="G46" i="2" s="1"/>
  <c r="I49" i="2"/>
  <c r="C89" i="2"/>
  <c r="E89" i="2" s="1"/>
  <c r="E81" i="2"/>
  <c r="E82" i="2" s="1"/>
  <c r="C96" i="2" s="1"/>
  <c r="E98" i="2" s="1"/>
  <c r="H4" i="7" l="1"/>
  <c r="H24" i="7" s="1"/>
  <c r="I4" i="7" l="1"/>
  <c r="I24" i="7" s="1"/>
  <c r="C1" i="6" s="1"/>
</calcChain>
</file>

<file path=xl/sharedStrings.xml><?xml version="1.0" encoding="utf-8"?>
<sst xmlns="http://schemas.openxmlformats.org/spreadsheetml/2006/main" count="437" uniqueCount="221">
  <si>
    <t>Janvier</t>
  </si>
  <si>
    <t>Fevrier</t>
  </si>
  <si>
    <t>Partie 1</t>
  </si>
  <si>
    <t>Mars</t>
  </si>
  <si>
    <t>Total</t>
  </si>
  <si>
    <t>Avril</t>
  </si>
  <si>
    <t>Mai</t>
  </si>
  <si>
    <t>Juin</t>
  </si>
  <si>
    <t>Juillet</t>
  </si>
  <si>
    <t>Aout</t>
  </si>
  <si>
    <t>Unités</t>
  </si>
  <si>
    <t>Septembre</t>
  </si>
  <si>
    <t>Coût total</t>
  </si>
  <si>
    <t>Q2</t>
  </si>
  <si>
    <t>Q*CT</t>
  </si>
  <si>
    <t>Octobre</t>
  </si>
  <si>
    <t>Novembre</t>
  </si>
  <si>
    <t>Unités vendues</t>
  </si>
  <si>
    <t>Decembre</t>
  </si>
  <si>
    <t>Coût MO</t>
  </si>
  <si>
    <t>Coût MP</t>
  </si>
  <si>
    <t>Partie 2</t>
  </si>
  <si>
    <t>Février</t>
  </si>
  <si>
    <t>MO variable</t>
  </si>
  <si>
    <t>MP variable</t>
  </si>
  <si>
    <t>Août</t>
  </si>
  <si>
    <t>MO fixe</t>
  </si>
  <si>
    <t>MP Variable</t>
  </si>
  <si>
    <t>Partie 1:</t>
  </si>
  <si>
    <t>Partie 2:</t>
  </si>
  <si>
    <t>MO var</t>
  </si>
  <si>
    <t>MP var</t>
  </si>
  <si>
    <t>Frais de gestion total</t>
  </si>
  <si>
    <t>Point mort</t>
  </si>
  <si>
    <t>MS$</t>
  </si>
  <si>
    <t>MS%</t>
  </si>
  <si>
    <t>Amortissement</t>
  </si>
  <si>
    <t xml:space="preserve">Nom : </t>
  </si>
  <si>
    <t xml:space="preserve">Prénom : </t>
  </si>
  <si>
    <t xml:space="preserve">Matricule : </t>
  </si>
  <si>
    <t xml:space="preserve">Groupe : </t>
  </si>
  <si>
    <t>CM%</t>
  </si>
  <si>
    <t>Revenus</t>
  </si>
  <si>
    <t>Tableau des revenus et des coûts pour l'année 2019</t>
  </si>
  <si>
    <t>Prix de vente unitaire</t>
  </si>
  <si>
    <t>MO fixe par mois</t>
  </si>
  <si>
    <t>Coût fixes</t>
  </si>
  <si>
    <t>Bénéfices</t>
  </si>
  <si>
    <t>Autres frais fixes par mois</t>
  </si>
  <si>
    <t>Bénéfices moyen</t>
  </si>
  <si>
    <t>Bénéfices moyens</t>
  </si>
  <si>
    <t>Capacité maximum mensuelle</t>
  </si>
  <si>
    <t>Bénéfice net annuel possible</t>
  </si>
  <si>
    <t>Autres coûts fixes de production</t>
  </si>
  <si>
    <t>Frais de vente unitaires</t>
  </si>
  <si>
    <t>Prévision des ventes en unités</t>
  </si>
  <si>
    <t>Coût d'achat l'équipemement</t>
  </si>
  <si>
    <t>Frais d'installation</t>
  </si>
  <si>
    <t>Date d'achat</t>
  </si>
  <si>
    <t>Vie utile (nombre d'années)</t>
  </si>
  <si>
    <t>Valeur résiduelle en fin de vie</t>
  </si>
  <si>
    <t>MO directe unitaire</t>
  </si>
  <si>
    <t>MO indirecte</t>
  </si>
  <si>
    <t>MP unitaire</t>
  </si>
  <si>
    <t>Revenus unitaire</t>
  </si>
  <si>
    <t>Évaluation des coûts et des revenus annuels du nouveau produit pour 2021</t>
  </si>
  <si>
    <t>Placement - coût opportunité</t>
  </si>
  <si>
    <t>DIRECTIVES IMPORTANTES</t>
  </si>
  <si>
    <t>1- Télécharger sur votre ordinateur le fichier Excel</t>
  </si>
  <si>
    <t>2- Renomer le fichier avec votre numéro de matricule - TP3 - Gr.lab</t>
  </si>
  <si>
    <t>Étapes du TP</t>
  </si>
  <si>
    <t>3- Effectuer et compléter le TP</t>
  </si>
  <si>
    <t>Amusez vous bien !!!!</t>
  </si>
  <si>
    <t>2.5) Quels sont les coûts supplémentaires (en valeur absolue) ?</t>
  </si>
  <si>
    <t>En regroupant les différents coûts en coûts fixes et en coûts variables :</t>
  </si>
  <si>
    <t>En considérant que la production de 2021 est identique à celle de 2019, répondre aux questions suivantes.</t>
  </si>
  <si>
    <t>L’entreprise Covida inc. est en affaires depuis plusieurs années. Elle entrevoit la possibilité de modifier sa production. Dans un premier temps, on vous demande de faire l’analyse de la situation actuelle et dans un deuxième temps, on vous demande d’effectuer une analyse comparative considérant la modification de la production.</t>
  </si>
  <si>
    <t xml:space="preserve">Le tableau suivant détaille les différentes données financières relatives à la nouvelle production. À mentionner que pour effectuer la nouvelle production, elle devra faire l’acquisition d’un nouvel équipement et disposer de son ancien à sa valeur comptable. </t>
  </si>
  <si>
    <t>Coût d'achat de l'équipement</t>
  </si>
  <si>
    <t>2.2) Quels sont les revenus supplémentaires (en valeur absolue) ?</t>
  </si>
  <si>
    <t>2.3) Quels sont les revenus perdus (en valeur absolue) ?</t>
  </si>
  <si>
    <t>Frais variables totaux</t>
  </si>
  <si>
    <t>1.1) Quel est le prix de vente unitaire ?</t>
  </si>
  <si>
    <t>2.4) Quels sont les coûts évités (en valeur absolue) ?</t>
  </si>
  <si>
    <t>1.2) Utiliser la méthode des moindres carrée pour calculer les coûts fixes annuels et variables unitaires de main-d'œuvre .</t>
  </si>
  <si>
    <t>1.3) Utiliser la méthode des points extrêmes pour calculer les coûts variables unitaires de matière première.</t>
  </si>
  <si>
    <t>1.4) Calculer les autres frais fixes annuels comprenant les frais de gestion, de vente, amortissement, etc.</t>
  </si>
  <si>
    <t>1.5) Établir la contribution marginale en % et unitaire en $.</t>
  </si>
  <si>
    <t>1.6) Établir le seuil de rentabilité en unités et en dollars.</t>
  </si>
  <si>
    <t>1.7) En fonction de la capacité maximum de production, établir la marge de sécurité en $, en % et en nombre d’unités.</t>
  </si>
  <si>
    <t>1.1 Prix de vente unitaire</t>
  </si>
  <si>
    <t xml:space="preserve"> 1.2 Moindre carrée MO</t>
  </si>
  <si>
    <t>1.3 Point extreme MP</t>
  </si>
  <si>
    <t>1.4 Autres frais fixes annuels</t>
  </si>
  <si>
    <t>Min</t>
  </si>
  <si>
    <t>Max</t>
  </si>
  <si>
    <t>MO Variable</t>
  </si>
  <si>
    <t>MO Fixe</t>
  </si>
  <si>
    <t>Frais fixes totaux</t>
  </si>
  <si>
    <t>Seuil de rentabilité unitaires</t>
  </si>
  <si>
    <t>Seuil de rentabilité en $</t>
  </si>
  <si>
    <t>Revenus totaux</t>
  </si>
  <si>
    <t>Revenus maximum</t>
  </si>
  <si>
    <t>Production maximum</t>
  </si>
  <si>
    <t>Marge de securité unitaire</t>
  </si>
  <si>
    <t>1.6 seuil de rentabilité</t>
  </si>
  <si>
    <t>1.7 Marge de securité</t>
  </si>
  <si>
    <t>1.8 Nouveau prix de vente</t>
  </si>
  <si>
    <t>Bénéfice voulu</t>
  </si>
  <si>
    <t>Quantité produite</t>
  </si>
  <si>
    <t>Nouveau prix de vente</t>
  </si>
  <si>
    <t>1.5 Contribution marginale</t>
  </si>
  <si>
    <t>Pour la partie 2, ne pas considérer le nouveau prix de vente calculer à la question 1.8.</t>
  </si>
  <si>
    <t>2.1 Coût d'opportunité</t>
  </si>
  <si>
    <t>Coût de l'équipement</t>
  </si>
  <si>
    <t>Taux d'intérêt</t>
  </si>
  <si>
    <t>Coût d'opportunité annuel</t>
  </si>
  <si>
    <t>2.1) Quel est le coût d'opportunité annuel ?</t>
  </si>
  <si>
    <t>Unités produites</t>
  </si>
  <si>
    <t>Actuel</t>
  </si>
  <si>
    <t>Option</t>
  </si>
  <si>
    <t>Quantité vendu</t>
  </si>
  <si>
    <t>Revenu totaux</t>
  </si>
  <si>
    <t>En considérant le remplacement de la solution actuelle, répondre aux questions suivantes.</t>
  </si>
  <si>
    <t>Frais variables unitaire totaux</t>
  </si>
  <si>
    <t>Coûts évités</t>
  </si>
  <si>
    <t>Coûts supplémentaires</t>
  </si>
  <si>
    <t>2.2 Revenus supplémentaires</t>
  </si>
  <si>
    <t>2.3 Revenus perdus</t>
  </si>
  <si>
    <t xml:space="preserve">2.5 Coûts supplémentaires </t>
  </si>
  <si>
    <t>2.6) Quel est le résultat net différentiel ?</t>
  </si>
  <si>
    <t>2.4 Coûts évités</t>
  </si>
  <si>
    <t>Revenus supplémentaires</t>
  </si>
  <si>
    <t>2.6 Résultat net différentiel</t>
  </si>
  <si>
    <t>Revenus perdus</t>
  </si>
  <si>
    <t xml:space="preserve">Coûts supplémentaires </t>
  </si>
  <si>
    <t>Bénéfice moyen</t>
  </si>
  <si>
    <t>CMu</t>
  </si>
  <si>
    <t>MSu</t>
  </si>
  <si>
    <t>Résultat net différentiel</t>
  </si>
  <si>
    <t>Étudiant</t>
  </si>
  <si>
    <t>Réponse simulée</t>
  </si>
  <si>
    <t>Fixes et/ou variables</t>
  </si>
  <si>
    <t>points</t>
  </si>
  <si>
    <t>Pointage</t>
  </si>
  <si>
    <t>Note finale</t>
  </si>
  <si>
    <t>3 points sur 20 sont donnés pour suivre la démarche parfaitement</t>
  </si>
  <si>
    <t>SSH-3201 - Économique de l’ingénieur (TP 4)</t>
  </si>
  <si>
    <t>Point Max</t>
  </si>
  <si>
    <t>A 2020</t>
  </si>
  <si>
    <t>1827096 - TP3 - Gr.5-A2020.xlsx</t>
  </si>
  <si>
    <t xml:space="preserve"> Effectuer vos calculs à l'aide d'Excel seulement, pas de calculatrice. Excel garde toutes les décimales même si elles ne sont pas montrées.</t>
  </si>
  <si>
    <t>Décembre</t>
  </si>
  <si>
    <t>L'usine peut produire au maximum 5 800 unités par mois.</t>
  </si>
  <si>
    <t>1.8) À quel prix devrait-elle vendre son produit pour avoir un profit net de 750 000 $ par année ?</t>
  </si>
  <si>
    <t>Notes personnelles non notées</t>
  </si>
  <si>
    <t xml:space="preserve"> Ne pas faire de copier/coller ou de couper/coller.</t>
  </si>
  <si>
    <t xml:space="preserve"> Ne pas changer le format de la réponse.</t>
  </si>
  <si>
    <t xml:space="preserve"> NE PAS MODIFIER LE FICHIER (ajouter des lignes ou des colonnes, fusionner, etc.).</t>
  </si>
  <si>
    <t xml:space="preserve"> Vous pouvez utiliser la section « Notes personnelles non notées » pour mettre ce que vous voulez. Cette section ne sera pas corrigée.</t>
  </si>
  <si>
    <t>En moyenne, chaque unité vendue a rapporté un bénéfice de 2,21 $.</t>
  </si>
  <si>
    <t>Pour effectuer l’achat de ce nouvel équipement, la compagnie devra utiliser des placements lui rapportant du 9%  d'intérêts annuellement.</t>
  </si>
  <si>
    <t xml:space="preserve">Exemple: </t>
  </si>
  <si>
    <t>Si vous avez le numéro de matricule 1827096 et vous êtes inscrit dans votre dossier étudiant sous le groupe lab 5</t>
  </si>
  <si>
    <t>Dans le doute, copier/coller l'exemple et modifier le nom du fichier.</t>
  </si>
  <si>
    <t xml:space="preserve">Ne pas vous tromper dans votre matricule, espaces, caractères, numéro de groupe, etc.													
														</t>
  </si>
  <si>
    <t>4- Déposer le fichier Excel dans la BONNE boite de dépôt.</t>
  </si>
  <si>
    <t xml:space="preserve"> Mettre les réponses dans les cases en jaunes seulement</t>
  </si>
  <si>
    <t>Il est possible que pour certaines questions il n'y ait pas de réponse. Dans ce cas, mettre 0 dans la cellule en jaune.</t>
  </si>
  <si>
    <t>2.1) Quel est le coût d'opportunité annuel lié à l'achat de l'équipement?</t>
  </si>
  <si>
    <t xml:space="preserve">Prix de vente = Revenus / Unités vendues </t>
  </si>
  <si>
    <t>Hemed</t>
  </si>
  <si>
    <t>Salha</t>
  </si>
  <si>
    <t>y: Coût MO</t>
  </si>
  <si>
    <t>x: Unités vendues</t>
  </si>
  <si>
    <t>N: Nombre de mois =</t>
  </si>
  <si>
    <t>somme(x)</t>
  </si>
  <si>
    <t>somme(y)</t>
  </si>
  <si>
    <t>somme(xy)</t>
  </si>
  <si>
    <t>somme(x^2)</t>
  </si>
  <si>
    <t xml:space="preserve">b: Coût fixe totaux = somme(y)/N - a*somme(x)/N = </t>
  </si>
  <si>
    <t>a: Coût vairable unitaire = (N*somme(xy)-somme(x)*somme(y))/(N*somme(x^2)-somme(x)^2) =</t>
  </si>
  <si>
    <t>/mois</t>
  </si>
  <si>
    <t>Coût maximum:</t>
  </si>
  <si>
    <t>Coût minimum:</t>
  </si>
  <si>
    <t>Niveau maximum:</t>
  </si>
  <si>
    <t>Niveau minimum:</t>
  </si>
  <si>
    <t xml:space="preserve">MP variable unitaire = (Coût max - Coût min)/ (Niveau max - Niveau min) </t>
  </si>
  <si>
    <t>Q: Unités totales/an</t>
  </si>
  <si>
    <t>Rev: Revenus totaux/an</t>
  </si>
  <si>
    <t>Profit annuel</t>
  </si>
  <si>
    <t>CVu: Coût variable unitaire</t>
  </si>
  <si>
    <t>Profit par unité</t>
  </si>
  <si>
    <t>CV</t>
  </si>
  <si>
    <t>CF = Rev - Profit - CV</t>
  </si>
  <si>
    <t>/an</t>
  </si>
  <si>
    <t>$/u</t>
  </si>
  <si>
    <t>$</t>
  </si>
  <si>
    <t>CMu = PVu - Cvu</t>
  </si>
  <si>
    <t>CM(%) = CMu/Pvu</t>
  </si>
  <si>
    <t>SR(Q)=CF/CMu</t>
  </si>
  <si>
    <t>SR($)=SR(Q)*Pvu</t>
  </si>
  <si>
    <t>MS(Q)=Unités prévues-SR(Q)</t>
  </si>
  <si>
    <t>MS($)=Revenus prévus-SR($)</t>
  </si>
  <si>
    <t>Unités prévues/an</t>
  </si>
  <si>
    <t>Revenus totaux prévus</t>
  </si>
  <si>
    <t>MS(%)=MS($)/Revenus totaux prévus</t>
  </si>
  <si>
    <t>Profit net</t>
  </si>
  <si>
    <t>Coût d'acquisition</t>
  </si>
  <si>
    <t>Revenu ancienne solution</t>
  </si>
  <si>
    <t>Revenu nouvelle solution</t>
  </si>
  <si>
    <t>CF ancienne solution</t>
  </si>
  <si>
    <t>CF nouvelle solution</t>
  </si>
  <si>
    <t>CV ancienne solution</t>
  </si>
  <si>
    <t>CV nouvelle solution</t>
  </si>
  <si>
    <t>Revenu net différentiel = Rev supp - Rev perdus</t>
  </si>
  <si>
    <t>Coûts net différentiel = Coûts supp - Coûts évités</t>
  </si>
  <si>
    <t>Résultat net différentiel = Rev net diff - Coûts net diff</t>
  </si>
  <si>
    <t>Pvu = (CV+CF+profit)/Q</t>
  </si>
  <si>
    <t>Il n'y a pas de revenus perdu, car la nouvelle solution rapporte</t>
  </si>
  <si>
    <t>plus de revenus que l'ancienne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</si>
</sst>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 * #,##0.00_)\ &quot;$&quot;_ ;_ * \(#,##0.00\)\ &quot;$&quot;_ ;_ * &quot;-&quot;??_)\ &quot;$&quot;_ ;_ @_ "/>
    <numFmt numFmtId="164" formatCode="_ * #,##0.00_)\ _$_ ;_ * \(#,##0.00\)\ _$_ ;_ * &quot;-&quot;??_)\ _$_ ;_ @_ "/>
    <numFmt numFmtId="165" formatCode="_-&quot;$&quot;* #,##0.00_-;\-&quot;$&quot;* #,##0.00_-;_-&quot;$&quot;* &quot;-&quot;??_-;_-@_-"/>
    <numFmt numFmtId="166" formatCode="_-&quot;$&quot;* #,##0.00_-;\-&quot;$&quot;* #,##0.00_-;_-&quot;$&quot;* &quot;-&quot;??_-;_-@"/>
    <numFmt numFmtId="167" formatCode="_ * #,##0_)\ &quot;$&quot;_ ;_ * \(#,##0\)\ &quot;$&quot;_ ;_ * &quot;-&quot;??_)\ &quot;$&quot;_ ;_ @_ "/>
    <numFmt numFmtId="168" formatCode="#,##0&quot; unités&quot;"/>
    <numFmt numFmtId="169" formatCode="#,##0&quot; u.&quot;"/>
    <numFmt numFmtId="170" formatCode="_ * #,##0.000000_)\ &quot;$&quot;_ ;_ * \(#,##0.000000\)\ &quot;$&quot;_ ;_ * &quot;-&quot;??_)\ &quot;$&quot;_ ;_ @_ "/>
    <numFmt numFmtId="171" formatCode="_-* #,##0.00\ &quot;$&quot;_-;_-* #,##0.00\ &quot;$&quot;\-;_-* &quot;-&quot;??\ &quot;$&quot;_-;_-@_-"/>
    <numFmt numFmtId="172" formatCode="#,##0&quot; $/u&quot;"/>
    <numFmt numFmtId="173" formatCode="_-* #,##0\ &quot;$&quot;_-;_-* #,##0\ &quot;$&quot;\-;_-* &quot;-&quot;??\ &quot;$&quot;_-;_-@_-"/>
    <numFmt numFmtId="174" formatCode="0&quot; années&quot;"/>
    <numFmt numFmtId="175" formatCode="#,##0.00&quot; $/u&quot;"/>
    <numFmt numFmtId="176" formatCode="#,##0.00&quot; $/u.&quot;"/>
  </numFmts>
  <fonts count="23">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0"/>
      <name val="Arial"/>
      <family val="2"/>
    </font>
    <font>
      <b/>
      <sz val="12"/>
      <color rgb="FF000000"/>
      <name val="Calibri"/>
      <family val="2"/>
      <scheme val="minor"/>
    </font>
    <font>
      <sz val="11"/>
      <color theme="1"/>
      <name val="Arial"/>
      <family val="2"/>
    </font>
    <font>
      <b/>
      <sz val="11"/>
      <color theme="1"/>
      <name val="Calibri"/>
      <family val="2"/>
      <scheme val="minor"/>
    </font>
    <font>
      <sz val="12"/>
      <color theme="1"/>
      <name val="Calibri"/>
      <family val="2"/>
    </font>
    <font>
      <sz val="11"/>
      <color theme="1"/>
      <name val="Calibri (Corps)_x0000_"/>
    </font>
    <font>
      <b/>
      <sz val="11"/>
      <name val="Arial"/>
      <family val="2"/>
    </font>
    <font>
      <sz val="11"/>
      <name val="Arial"/>
      <family val="2"/>
    </font>
    <font>
      <b/>
      <sz val="22"/>
      <color theme="1"/>
      <name val="Arial"/>
      <family val="2"/>
    </font>
    <font>
      <b/>
      <sz val="11"/>
      <color rgb="FF000000"/>
      <name val="Calibri"/>
      <family val="2"/>
    </font>
    <font>
      <b/>
      <sz val="24"/>
      <color theme="1"/>
      <name val="Arial"/>
      <family val="2"/>
    </font>
    <font>
      <sz val="11"/>
      <color theme="1"/>
      <name val="Arial"/>
      <family val="2"/>
    </font>
    <font>
      <sz val="15"/>
      <color theme="1"/>
      <name val="Calibri"/>
      <family val="2"/>
      <scheme val="minor"/>
    </font>
    <font>
      <sz val="12"/>
      <color theme="1"/>
      <name val="Arial"/>
      <family val="2"/>
    </font>
    <font>
      <b/>
      <u/>
      <sz val="12"/>
      <color theme="1"/>
      <name val="Arial"/>
      <family val="2"/>
    </font>
    <font>
      <b/>
      <sz val="12"/>
      <color theme="1"/>
      <name val="Arial"/>
      <family val="2"/>
    </font>
  </fonts>
  <fills count="7">
    <fill>
      <patternFill patternType="none"/>
    </fill>
    <fill>
      <patternFill patternType="gray125"/>
    </fill>
    <fill>
      <patternFill patternType="solid">
        <fgColor rgb="FFD0CECE"/>
        <bgColor rgb="FFD0CECE"/>
      </patternFill>
    </fill>
    <fill>
      <patternFill patternType="solid">
        <fgColor rgb="FFFFFF00"/>
        <bgColor rgb="FFFFFF00"/>
      </patternFill>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s>
  <borders count="29">
    <border>
      <left/>
      <right/>
      <top/>
      <bottom/>
      <diagonal/>
    </border>
    <border>
      <left style="thin">
        <color rgb="FF000000"/>
      </left>
      <right style="thin">
        <color rgb="FF000000"/>
      </right>
      <top/>
      <bottom/>
      <diagonal/>
    </border>
    <border>
      <left/>
      <right/>
      <top/>
      <bottom/>
      <diagonal/>
    </border>
    <border>
      <left style="medium">
        <color indexed="64"/>
      </left>
      <right/>
      <top/>
      <bottom/>
      <diagonal/>
    </border>
    <border>
      <left style="medium">
        <color indexed="64"/>
      </left>
      <right/>
      <top style="medium">
        <color indexed="64"/>
      </top>
      <bottom style="thin">
        <color rgb="FF000000"/>
      </bottom>
      <diagonal/>
    </border>
    <border>
      <left style="thin">
        <color rgb="FF000000"/>
      </left>
      <right/>
      <top style="medium">
        <color indexed="64"/>
      </top>
      <bottom style="thin">
        <color rgb="FF000000"/>
      </bottom>
      <diagonal/>
    </border>
    <border>
      <left style="thin">
        <color indexed="64"/>
      </left>
      <right style="thin">
        <color indexed="64"/>
      </right>
      <top style="medium">
        <color indexed="64"/>
      </top>
      <bottom style="thin">
        <color indexed="64"/>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style="thin">
        <color auto="1"/>
      </left>
      <right style="medium">
        <color auto="1"/>
      </right>
      <top style="thin">
        <color auto="1"/>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indexed="64"/>
      </right>
      <top style="medium">
        <color indexed="64"/>
      </top>
      <bottom/>
      <diagonal/>
    </border>
  </borders>
  <cellStyleXfs count="5">
    <xf numFmtId="0" fontId="0" fillId="0" borderId="0"/>
    <xf numFmtId="0" fontId="7" fillId="0" borderId="2"/>
    <xf numFmtId="44" fontId="9" fillId="0" borderId="0" applyFont="0" applyFill="0" applyBorder="0" applyAlignment="0" applyProtection="0"/>
    <xf numFmtId="9" fontId="9" fillId="0" borderId="0" applyFont="0" applyFill="0" applyBorder="0" applyAlignment="0" applyProtection="0"/>
    <xf numFmtId="164" fontId="18" fillId="0" borderId="0" applyFont="0" applyFill="0" applyBorder="0" applyAlignment="0" applyProtection="0"/>
  </cellStyleXfs>
  <cellXfs count="313">
    <xf numFmtId="0" fontId="0" fillId="0" borderId="0" xfId="0" applyFont="1" applyAlignment="1"/>
    <xf numFmtId="49" fontId="8" fillId="0" borderId="0" xfId="0" applyNumberFormat="1" applyFont="1" applyAlignment="1">
      <alignment horizontal="right"/>
    </xf>
    <xf numFmtId="49" fontId="8" fillId="0" borderId="0" xfId="0" applyNumberFormat="1" applyFont="1" applyAlignment="1" applyProtection="1">
      <alignment horizontal="right"/>
      <protection locked="0"/>
    </xf>
    <xf numFmtId="49" fontId="6" fillId="0" borderId="2" xfId="0" applyNumberFormat="1" applyFont="1" applyBorder="1" applyAlignment="1"/>
    <xf numFmtId="49" fontId="8" fillId="0" borderId="0" xfId="0" applyNumberFormat="1" applyFont="1" applyAlignment="1"/>
    <xf numFmtId="0" fontId="5" fillId="0" borderId="3" xfId="0" applyFont="1" applyBorder="1"/>
    <xf numFmtId="0" fontId="6" fillId="0" borderId="0" xfId="0" applyFont="1" applyAlignment="1">
      <alignment horizontal="right" vertical="center"/>
    </xf>
    <xf numFmtId="0" fontId="5" fillId="0" borderId="0" xfId="0" applyFont="1" applyAlignment="1"/>
    <xf numFmtId="0" fontId="6" fillId="0" borderId="0" xfId="0" applyFont="1" applyAlignment="1">
      <alignment horizontal="center" vertical="center"/>
    </xf>
    <xf numFmtId="0" fontId="6" fillId="0" borderId="0" xfId="0" applyFont="1" applyAlignment="1">
      <alignment vertical="center"/>
    </xf>
    <xf numFmtId="0" fontId="5" fillId="0" borderId="2" xfId="0" applyFont="1" applyBorder="1"/>
    <xf numFmtId="166" fontId="5" fillId="0" borderId="2" xfId="0" applyNumberFormat="1" applyFont="1" applyBorder="1"/>
    <xf numFmtId="0" fontId="5" fillId="0" borderId="0" xfId="0" applyFont="1" applyAlignment="1">
      <alignment horizontal="left" wrapText="1"/>
    </xf>
    <xf numFmtId="0" fontId="5" fillId="0" borderId="0" xfId="0" applyFont="1" applyAlignment="1">
      <alignment horizontal="center"/>
    </xf>
    <xf numFmtId="169" fontId="5" fillId="0" borderId="2" xfId="0" applyNumberFormat="1" applyFont="1" applyBorder="1"/>
    <xf numFmtId="44" fontId="5" fillId="0" borderId="2" xfId="2" applyFont="1" applyBorder="1"/>
    <xf numFmtId="44" fontId="5" fillId="0" borderId="0" xfId="2" applyFont="1" applyAlignment="1"/>
    <xf numFmtId="44" fontId="5" fillId="0" borderId="0" xfId="0" applyNumberFormat="1" applyFont="1" applyAlignment="1"/>
    <xf numFmtId="0" fontId="5" fillId="0" borderId="0" xfId="0" applyFont="1"/>
    <xf numFmtId="44" fontId="5" fillId="0" borderId="2" xfId="0" applyNumberFormat="1" applyFont="1" applyBorder="1" applyAlignment="1"/>
    <xf numFmtId="167" fontId="5" fillId="0" borderId="0" xfId="2" applyNumberFormat="1" applyFont="1" applyAlignment="1"/>
    <xf numFmtId="167" fontId="5" fillId="0" borderId="2" xfId="2" applyNumberFormat="1" applyFont="1" applyBorder="1"/>
    <xf numFmtId="169" fontId="5" fillId="0" borderId="1" xfId="0" applyNumberFormat="1" applyFont="1" applyBorder="1"/>
    <xf numFmtId="170" fontId="5" fillId="0" borderId="2" xfId="0" applyNumberFormat="1" applyFont="1" applyBorder="1" applyAlignment="1"/>
    <xf numFmtId="0" fontId="5" fillId="0" borderId="4" xfId="0" applyFont="1" applyBorder="1"/>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xf numFmtId="0" fontId="5" fillId="0" borderId="11" xfId="0" applyFont="1" applyBorder="1"/>
    <xf numFmtId="169" fontId="5" fillId="0" borderId="12" xfId="0" applyNumberFormat="1" applyFont="1" applyBorder="1"/>
    <xf numFmtId="0" fontId="12" fillId="0" borderId="0" xfId="0" applyFont="1" applyAlignment="1"/>
    <xf numFmtId="44" fontId="5" fillId="0" borderId="1" xfId="0" applyNumberFormat="1" applyFont="1" applyBorder="1"/>
    <xf numFmtId="44" fontId="5" fillId="0" borderId="10" xfId="0" applyNumberFormat="1" applyFont="1" applyBorder="1"/>
    <xf numFmtId="44" fontId="5" fillId="0" borderId="13" xfId="0" applyNumberFormat="1" applyFont="1" applyBorder="1" applyAlignment="1"/>
    <xf numFmtId="44" fontId="5" fillId="0" borderId="12" xfId="0" applyNumberFormat="1" applyFont="1" applyBorder="1"/>
    <xf numFmtId="44" fontId="5" fillId="0" borderId="14" xfId="0" applyNumberFormat="1" applyFont="1" applyBorder="1"/>
    <xf numFmtId="0" fontId="5" fillId="0" borderId="0" xfId="0" applyFont="1" applyAlignment="1">
      <alignment wrapText="1"/>
    </xf>
    <xf numFmtId="0" fontId="14" fillId="0" borderId="18" xfId="0" applyFont="1" applyBorder="1"/>
    <xf numFmtId="0" fontId="14" fillId="0" borderId="19" xfId="0" applyFont="1" applyBorder="1"/>
    <xf numFmtId="172" fontId="14" fillId="0" borderId="20" xfId="2" applyNumberFormat="1" applyFont="1" applyBorder="1" applyAlignment="1"/>
    <xf numFmtId="0" fontId="14" fillId="0" borderId="3" xfId="0" applyFont="1" applyBorder="1"/>
    <xf numFmtId="0" fontId="14" fillId="0" borderId="2" xfId="0" applyFont="1" applyBorder="1"/>
    <xf numFmtId="173" fontId="14" fillId="0" borderId="20" xfId="2" applyNumberFormat="1" applyFont="1" applyBorder="1" applyAlignment="1"/>
    <xf numFmtId="168" fontId="14" fillId="0" borderId="21" xfId="0" applyNumberFormat="1" applyFont="1" applyBorder="1" applyAlignment="1">
      <alignment horizontal="right" vertical="center"/>
    </xf>
    <xf numFmtId="0" fontId="14" fillId="0" borderId="22" xfId="0" applyFont="1" applyBorder="1"/>
    <xf numFmtId="0" fontId="14" fillId="0" borderId="23" xfId="0" applyFont="1" applyBorder="1"/>
    <xf numFmtId="173" fontId="14" fillId="0" borderId="24" xfId="2" applyNumberFormat="1" applyFont="1" applyBorder="1" applyAlignment="1"/>
    <xf numFmtId="1" fontId="14" fillId="0" borderId="20" xfId="0" applyNumberFormat="1" applyFont="1" applyBorder="1" applyAlignment="1"/>
    <xf numFmtId="174" fontId="14" fillId="0" borderId="20" xfId="0" applyNumberFormat="1" applyFont="1" applyBorder="1" applyAlignment="1"/>
    <xf numFmtId="0" fontId="14" fillId="0" borderId="11" xfId="0" applyFont="1" applyFill="1" applyBorder="1"/>
    <xf numFmtId="0" fontId="0" fillId="0" borderId="13" xfId="0" applyBorder="1"/>
    <xf numFmtId="173" fontId="14" fillId="0" borderId="21" xfId="2" applyNumberFormat="1" applyFont="1" applyBorder="1" applyAlignment="1"/>
    <xf numFmtId="175" fontId="14" fillId="0" borderId="20" xfId="2" applyNumberFormat="1" applyFont="1" applyBorder="1" applyAlignment="1"/>
    <xf numFmtId="171" fontId="14" fillId="0" borderId="20" xfId="2" applyNumberFormat="1" applyFont="1" applyBorder="1" applyAlignment="1"/>
    <xf numFmtId="0" fontId="11" fillId="0" borderId="0" xfId="0" applyFont="1" applyAlignment="1">
      <alignment vertical="center"/>
    </xf>
    <xf numFmtId="9" fontId="5" fillId="0" borderId="0" xfId="0" applyNumberFormat="1" applyFont="1" applyAlignment="1"/>
    <xf numFmtId="44" fontId="5" fillId="0" borderId="2" xfId="0" applyNumberFormat="1" applyFont="1" applyBorder="1"/>
    <xf numFmtId="0" fontId="5" fillId="0" borderId="10" xfId="0" applyFont="1" applyBorder="1"/>
    <xf numFmtId="172" fontId="5" fillId="0" borderId="2" xfId="0" applyNumberFormat="1" applyFont="1" applyBorder="1"/>
    <xf numFmtId="0" fontId="5" fillId="0" borderId="2" xfId="0" applyFont="1" applyFill="1" applyBorder="1"/>
    <xf numFmtId="0" fontId="5" fillId="0" borderId="13" xfId="0" applyFont="1" applyBorder="1"/>
    <xf numFmtId="3" fontId="5" fillId="0" borderId="2" xfId="0" applyNumberFormat="1" applyFont="1" applyBorder="1"/>
    <xf numFmtId="0" fontId="5" fillId="0" borderId="3" xfId="0" applyFont="1" applyBorder="1" applyAlignment="1"/>
    <xf numFmtId="0" fontId="5" fillId="0" borderId="2" xfId="0" applyFont="1" applyBorder="1" applyAlignment="1"/>
    <xf numFmtId="0" fontId="5" fillId="0" borderId="3" xfId="0" applyFont="1" applyFill="1" applyBorder="1"/>
    <xf numFmtId="44" fontId="5" fillId="0" borderId="2" xfId="2" applyFont="1" applyFill="1" applyBorder="1"/>
    <xf numFmtId="0" fontId="5" fillId="0" borderId="10" xfId="0" applyFont="1" applyFill="1" applyBorder="1"/>
    <xf numFmtId="0" fontId="5" fillId="0" borderId="11" xfId="0" applyFont="1" applyBorder="1" applyAlignment="1">
      <alignment horizontal="right"/>
    </xf>
    <xf numFmtId="44" fontId="5" fillId="3" borderId="13" xfId="2" applyFont="1" applyFill="1" applyBorder="1"/>
    <xf numFmtId="0" fontId="5" fillId="0" borderId="13" xfId="0" applyFont="1" applyBorder="1" applyAlignment="1">
      <alignment horizontal="right"/>
    </xf>
    <xf numFmtId="0" fontId="5" fillId="0" borderId="13" xfId="0" applyFont="1" applyFill="1" applyBorder="1"/>
    <xf numFmtId="0" fontId="5" fillId="0" borderId="14" xfId="0" applyFont="1" applyFill="1" applyBorder="1"/>
    <xf numFmtId="0" fontId="5" fillId="0" borderId="2" xfId="0" applyFont="1" applyBorder="1" applyAlignment="1">
      <alignment horizontal="right"/>
    </xf>
    <xf numFmtId="0" fontId="5" fillId="0" borderId="14" xfId="0" applyFont="1" applyBorder="1"/>
    <xf numFmtId="167" fontId="5" fillId="0" borderId="10" xfId="0" applyNumberFormat="1" applyFont="1" applyBorder="1"/>
    <xf numFmtId="168" fontId="5" fillId="3" borderId="10" xfId="0" applyNumberFormat="1" applyFont="1" applyFill="1" applyBorder="1"/>
    <xf numFmtId="44" fontId="5" fillId="3" borderId="14" xfId="2" applyFont="1" applyFill="1" applyBorder="1"/>
    <xf numFmtId="167" fontId="5" fillId="0" borderId="2" xfId="0" applyNumberFormat="1" applyFont="1" applyBorder="1"/>
    <xf numFmtId="168" fontId="5" fillId="0" borderId="2" xfId="2" applyNumberFormat="1" applyFont="1" applyBorder="1"/>
    <xf numFmtId="167" fontId="5" fillId="0" borderId="2" xfId="2" applyNumberFormat="1" applyFont="1" applyBorder="1" applyAlignment="1"/>
    <xf numFmtId="0" fontId="5" fillId="0" borderId="10" xfId="0" applyFont="1" applyBorder="1" applyAlignment="1"/>
    <xf numFmtId="0" fontId="5" fillId="0" borderId="3" xfId="0" applyFont="1" applyBorder="1" applyAlignment="1">
      <alignment horizontal="right"/>
    </xf>
    <xf numFmtId="0" fontId="5" fillId="0" borderId="3" xfId="0" applyFont="1" applyBorder="1" applyAlignment="1">
      <alignment horizontal="left"/>
    </xf>
    <xf numFmtId="0" fontId="5" fillId="0" borderId="2" xfId="0" applyFont="1" applyFill="1" applyBorder="1" applyAlignment="1"/>
    <xf numFmtId="44" fontId="5" fillId="0" borderId="10" xfId="0" applyNumberFormat="1" applyFont="1" applyBorder="1" applyAlignment="1"/>
    <xf numFmtId="44" fontId="5" fillId="4" borderId="10" xfId="0" applyNumberFormat="1" applyFont="1" applyFill="1" applyBorder="1"/>
    <xf numFmtId="10" fontId="5" fillId="4" borderId="10" xfId="3" applyNumberFormat="1" applyFont="1" applyFill="1" applyBorder="1"/>
    <xf numFmtId="168" fontId="5" fillId="0" borderId="10" xfId="2" applyNumberFormat="1" applyFont="1" applyBorder="1"/>
    <xf numFmtId="167" fontId="5" fillId="0" borderId="10" xfId="2" applyNumberFormat="1" applyFont="1" applyBorder="1" applyAlignment="1"/>
    <xf numFmtId="167" fontId="5" fillId="0" borderId="10" xfId="2" applyNumberFormat="1" applyFont="1" applyBorder="1"/>
    <xf numFmtId="167" fontId="5" fillId="3" borderId="10" xfId="2" applyNumberFormat="1" applyFont="1" applyFill="1" applyBorder="1"/>
    <xf numFmtId="10" fontId="5" fillId="3" borderId="10" xfId="0" applyNumberFormat="1" applyFont="1" applyFill="1" applyBorder="1"/>
    <xf numFmtId="168" fontId="5" fillId="0" borderId="10" xfId="0" applyNumberFormat="1" applyFont="1" applyFill="1" applyBorder="1"/>
    <xf numFmtId="167" fontId="5" fillId="0" borderId="0" xfId="0" applyNumberFormat="1" applyFont="1" applyAlignment="1"/>
    <xf numFmtId="44" fontId="5" fillId="0" borderId="10" xfId="2" applyNumberFormat="1" applyFont="1" applyBorder="1" applyAlignment="1"/>
    <xf numFmtId="168" fontId="5" fillId="0" borderId="2" xfId="2" applyNumberFormat="1" applyFont="1" applyFill="1" applyBorder="1"/>
    <xf numFmtId="0" fontId="5" fillId="0" borderId="2" xfId="0" applyFont="1" applyFill="1" applyBorder="1" applyAlignment="1">
      <alignment horizontal="right"/>
    </xf>
    <xf numFmtId="168" fontId="5" fillId="0" borderId="2" xfId="0" applyNumberFormat="1" applyFont="1" applyFill="1" applyBorder="1"/>
    <xf numFmtId="167" fontId="5" fillId="0" borderId="10" xfId="0" applyNumberFormat="1" applyFont="1" applyBorder="1" applyAlignment="1"/>
    <xf numFmtId="169" fontId="5" fillId="0" borderId="10" xfId="0" applyNumberFormat="1" applyFont="1" applyBorder="1" applyAlignment="1"/>
    <xf numFmtId="44" fontId="5" fillId="3" borderId="14" xfId="2" applyNumberFormat="1" applyFont="1" applyFill="1" applyBorder="1"/>
    <xf numFmtId="44" fontId="5" fillId="0" borderId="10" xfId="2" applyFont="1" applyBorder="1"/>
    <xf numFmtId="9" fontId="5" fillId="0" borderId="10" xfId="3" applyFont="1" applyBorder="1" applyAlignment="1"/>
    <xf numFmtId="0" fontId="5" fillId="0" borderId="3" xfId="0" applyNumberFormat="1" applyFont="1" applyBorder="1"/>
    <xf numFmtId="0" fontId="5" fillId="0" borderId="2" xfId="0" applyNumberFormat="1" applyFont="1" applyBorder="1"/>
    <xf numFmtId="0" fontId="5" fillId="0" borderId="2" xfId="0" applyNumberFormat="1" applyFont="1" applyBorder="1" applyAlignment="1">
      <alignment horizontal="right"/>
    </xf>
    <xf numFmtId="0" fontId="5" fillId="0" borderId="11" xfId="0" applyNumberFormat="1" applyFont="1" applyBorder="1"/>
    <xf numFmtId="0" fontId="5" fillId="0" borderId="13" xfId="0" applyNumberFormat="1" applyFont="1" applyBorder="1"/>
    <xf numFmtId="0" fontId="5" fillId="0" borderId="10" xfId="0" applyNumberFormat="1" applyFont="1" applyBorder="1"/>
    <xf numFmtId="44" fontId="5" fillId="0" borderId="10" xfId="2" applyFont="1" applyFill="1" applyBorder="1"/>
    <xf numFmtId="44" fontId="5" fillId="4" borderId="14" xfId="0" applyNumberFormat="1" applyFont="1" applyFill="1" applyBorder="1"/>
    <xf numFmtId="169" fontId="5" fillId="0" borderId="2" xfId="0" applyNumberFormat="1" applyFont="1" applyBorder="1" applyAlignment="1"/>
    <xf numFmtId="0" fontId="5" fillId="0" borderId="13" xfId="0" applyNumberFormat="1" applyFont="1" applyFill="1" applyBorder="1"/>
    <xf numFmtId="0" fontId="5" fillId="0" borderId="11" xfId="0" applyNumberFormat="1" applyFont="1" applyFill="1" applyBorder="1"/>
    <xf numFmtId="0" fontId="5" fillId="0" borderId="2" xfId="0" applyNumberFormat="1" applyFont="1" applyFill="1" applyBorder="1"/>
    <xf numFmtId="44" fontId="5" fillId="0" borderId="2" xfId="0" applyNumberFormat="1" applyFont="1" applyFill="1" applyBorder="1"/>
    <xf numFmtId="167" fontId="5" fillId="0" borderId="2" xfId="2" applyNumberFormat="1" applyFont="1" applyFill="1" applyBorder="1"/>
    <xf numFmtId="44" fontId="5" fillId="0" borderId="13" xfId="0" applyNumberFormat="1" applyFont="1" applyFill="1" applyBorder="1"/>
    <xf numFmtId="0" fontId="10" fillId="0" borderId="2" xfId="0" applyFont="1" applyFill="1" applyBorder="1"/>
    <xf numFmtId="165" fontId="5" fillId="0" borderId="2" xfId="0" applyNumberFormat="1" applyFont="1" applyFill="1" applyBorder="1"/>
    <xf numFmtId="44" fontId="5" fillId="0" borderId="2" xfId="2" applyFont="1" applyBorder="1" applyAlignment="1"/>
    <xf numFmtId="44" fontId="5" fillId="0" borderId="2" xfId="2" applyNumberFormat="1" applyFont="1" applyFill="1" applyBorder="1"/>
    <xf numFmtId="0" fontId="5" fillId="0" borderId="18" xfId="0" applyFont="1" applyBorder="1"/>
    <xf numFmtId="44" fontId="5" fillId="0" borderId="19" xfId="2" applyFont="1" applyBorder="1"/>
    <xf numFmtId="0" fontId="5" fillId="0" borderId="19" xfId="0" applyFont="1" applyBorder="1"/>
    <xf numFmtId="0" fontId="5" fillId="0" borderId="28" xfId="0" applyFont="1" applyBorder="1"/>
    <xf numFmtId="0" fontId="5" fillId="0" borderId="2" xfId="0" applyNumberFormat="1" applyFont="1" applyBorder="1" applyAlignment="1"/>
    <xf numFmtId="167" fontId="5" fillId="3" borderId="14" xfId="2" applyNumberFormat="1" applyFont="1" applyFill="1" applyBorder="1"/>
    <xf numFmtId="0" fontId="5" fillId="0" borderId="0" xfId="0" applyNumberFormat="1" applyFont="1" applyAlignment="1"/>
    <xf numFmtId="0" fontId="5" fillId="0" borderId="0" xfId="0" applyNumberFormat="1" applyFont="1" applyAlignment="1">
      <alignment wrapText="1"/>
    </xf>
    <xf numFmtId="0" fontId="5" fillId="0" borderId="2" xfId="2" applyNumberFormat="1" applyFont="1" applyBorder="1"/>
    <xf numFmtId="0" fontId="5" fillId="0" borderId="2" xfId="2" applyNumberFormat="1" applyFont="1" applyFill="1" applyBorder="1"/>
    <xf numFmtId="0" fontId="5" fillId="0" borderId="2" xfId="0" applyNumberFormat="1" applyFont="1" applyFill="1" applyBorder="1" applyAlignment="1">
      <alignment horizontal="right"/>
    </xf>
    <xf numFmtId="0" fontId="5" fillId="0" borderId="0" xfId="0" applyNumberFormat="1" applyFont="1"/>
    <xf numFmtId="0" fontId="5" fillId="0" borderId="2" xfId="0" applyNumberFormat="1" applyFont="1" applyFill="1" applyBorder="1" applyAlignment="1"/>
    <xf numFmtId="0" fontId="10" fillId="0" borderId="2" xfId="0" applyNumberFormat="1" applyFont="1" applyFill="1" applyBorder="1"/>
    <xf numFmtId="0" fontId="10" fillId="0" borderId="2" xfId="0" applyFont="1" applyBorder="1" applyAlignment="1"/>
    <xf numFmtId="10" fontId="5" fillId="0" borderId="2" xfId="3" applyNumberFormat="1" applyFont="1" applyBorder="1" applyAlignment="1"/>
    <xf numFmtId="168" fontId="5" fillId="0" borderId="2" xfId="0" applyNumberFormat="1" applyFont="1" applyBorder="1" applyAlignment="1"/>
    <xf numFmtId="10" fontId="5" fillId="0" borderId="0" xfId="3" applyNumberFormat="1" applyFont="1" applyAlignment="1"/>
    <xf numFmtId="44" fontId="5" fillId="0" borderId="2" xfId="2" applyFont="1" applyBorder="1" applyAlignment="1">
      <alignment horizontal="right"/>
    </xf>
    <xf numFmtId="0" fontId="10" fillId="0" borderId="0" xfId="0" applyFont="1" applyAlignment="1"/>
    <xf numFmtId="0" fontId="6" fillId="0" borderId="0" xfId="0" applyFont="1" applyAlignment="1">
      <alignment horizontal="center" vertical="center"/>
    </xf>
    <xf numFmtId="0" fontId="5" fillId="0" borderId="0" xfId="0" applyFont="1" applyAlignment="1"/>
    <xf numFmtId="0" fontId="10" fillId="0" borderId="0" xfId="0" applyFont="1" applyAlignment="1">
      <alignment horizontal="center"/>
    </xf>
    <xf numFmtId="0" fontId="12" fillId="0" borderId="0" xfId="0" applyFont="1" applyAlignment="1"/>
    <xf numFmtId="0" fontId="12" fillId="0" borderId="0" xfId="0" applyFont="1" applyAlignment="1">
      <alignment horizontal="left"/>
    </xf>
    <xf numFmtId="0" fontId="5" fillId="0" borderId="0" xfId="0" applyFont="1" applyAlignment="1"/>
    <xf numFmtId="169" fontId="5" fillId="0" borderId="0" xfId="0" applyNumberFormat="1" applyFont="1" applyAlignment="1"/>
    <xf numFmtId="49" fontId="5" fillId="0" borderId="0" xfId="0" applyNumberFormat="1" applyFont="1" applyAlignment="1"/>
    <xf numFmtId="164" fontId="5" fillId="0" borderId="0" xfId="4" applyFont="1" applyAlignment="1"/>
    <xf numFmtId="0" fontId="0" fillId="4" borderId="0" xfId="0" applyFill="1" applyProtection="1">
      <protection locked="0"/>
    </xf>
    <xf numFmtId="0" fontId="5" fillId="0" borderId="3" xfId="0" applyNumberFormat="1" applyFont="1" applyBorder="1" applyProtection="1">
      <protection locked="0"/>
    </xf>
    <xf numFmtId="0" fontId="5" fillId="0" borderId="2" xfId="0" applyNumberFormat="1" applyFont="1" applyBorder="1" applyProtection="1">
      <protection locked="0"/>
    </xf>
    <xf numFmtId="0" fontId="5" fillId="0" borderId="10" xfId="0" applyNumberFormat="1" applyFont="1" applyBorder="1" applyProtection="1">
      <protection locked="0"/>
    </xf>
    <xf numFmtId="0" fontId="5" fillId="0" borderId="11" xfId="0" applyNumberFormat="1" applyFont="1" applyBorder="1" applyProtection="1">
      <protection locked="0"/>
    </xf>
    <xf numFmtId="176" fontId="5" fillId="3" borderId="14" xfId="2" applyNumberFormat="1" applyFont="1" applyFill="1" applyBorder="1" applyProtection="1">
      <protection locked="0"/>
    </xf>
    <xf numFmtId="0" fontId="5" fillId="0" borderId="2" xfId="2" applyNumberFormat="1" applyFont="1" applyBorder="1" applyProtection="1">
      <protection locked="0"/>
    </xf>
    <xf numFmtId="0" fontId="5" fillId="0" borderId="3" xfId="0" applyNumberFormat="1" applyFont="1" applyBorder="1" applyAlignment="1" applyProtection="1">
      <protection locked="0"/>
    </xf>
    <xf numFmtId="0" fontId="5" fillId="0" borderId="2" xfId="0" applyNumberFormat="1" applyFont="1" applyBorder="1" applyAlignment="1" applyProtection="1">
      <protection locked="0"/>
    </xf>
    <xf numFmtId="0" fontId="5" fillId="0" borderId="3" xfId="0" applyNumberFormat="1" applyFont="1" applyFill="1" applyBorder="1" applyProtection="1">
      <protection locked="0"/>
    </xf>
    <xf numFmtId="0" fontId="5" fillId="0" borderId="2" xfId="2" applyNumberFormat="1" applyFont="1" applyFill="1" applyBorder="1" applyProtection="1">
      <protection locked="0"/>
    </xf>
    <xf numFmtId="0" fontId="5" fillId="0" borderId="2" xfId="0" applyNumberFormat="1" applyFont="1" applyFill="1" applyBorder="1" applyProtection="1">
      <protection locked="0"/>
    </xf>
    <xf numFmtId="0" fontId="5" fillId="0" borderId="10" xfId="0" applyNumberFormat="1" applyFont="1" applyFill="1" applyBorder="1" applyProtection="1">
      <protection locked="0"/>
    </xf>
    <xf numFmtId="0" fontId="5" fillId="0" borderId="11" xfId="0" applyNumberFormat="1" applyFont="1" applyBorder="1" applyAlignment="1" applyProtection="1">
      <alignment horizontal="right"/>
      <protection locked="0"/>
    </xf>
    <xf numFmtId="176" fontId="5" fillId="3" borderId="13" xfId="2" applyNumberFormat="1" applyFont="1" applyFill="1" applyBorder="1" applyProtection="1">
      <protection locked="0"/>
    </xf>
    <xf numFmtId="0" fontId="5" fillId="0" borderId="13" xfId="0" applyNumberFormat="1" applyFont="1" applyBorder="1" applyAlignment="1" applyProtection="1">
      <alignment horizontal="right"/>
      <protection locked="0"/>
    </xf>
    <xf numFmtId="167" fontId="5" fillId="3" borderId="13" xfId="2" applyNumberFormat="1" applyFont="1" applyFill="1" applyBorder="1" applyProtection="1">
      <protection locked="0"/>
    </xf>
    <xf numFmtId="0" fontId="5" fillId="0" borderId="13" xfId="0" applyNumberFormat="1" applyFont="1" applyFill="1" applyBorder="1" applyProtection="1">
      <protection locked="0"/>
    </xf>
    <xf numFmtId="0" fontId="5" fillId="0" borderId="14" xfId="0" applyNumberFormat="1" applyFont="1" applyFill="1" applyBorder="1" applyProtection="1">
      <protection locked="0"/>
    </xf>
    <xf numFmtId="0" fontId="5" fillId="0" borderId="10" xfId="0" applyNumberFormat="1" applyFont="1" applyBorder="1" applyAlignment="1" applyProtection="1">
      <protection locked="0"/>
    </xf>
    <xf numFmtId="0" fontId="5" fillId="0" borderId="13" xfId="0" applyNumberFormat="1" applyFont="1" applyBorder="1" applyProtection="1">
      <protection locked="0"/>
    </xf>
    <xf numFmtId="0" fontId="5" fillId="0" borderId="18" xfId="0" applyNumberFormat="1" applyFont="1" applyBorder="1" applyProtection="1">
      <protection locked="0"/>
    </xf>
    <xf numFmtId="0" fontId="5" fillId="0" borderId="19" xfId="2" applyNumberFormat="1" applyFont="1" applyBorder="1" applyProtection="1">
      <protection locked="0"/>
    </xf>
    <xf numFmtId="0" fontId="5" fillId="0" borderId="19" xfId="0" applyNumberFormat="1" applyFont="1" applyBorder="1" applyProtection="1">
      <protection locked="0"/>
    </xf>
    <xf numFmtId="0" fontId="5" fillId="0" borderId="28" xfId="0" applyNumberFormat="1" applyFont="1" applyBorder="1" applyProtection="1">
      <protection locked="0"/>
    </xf>
    <xf numFmtId="0" fontId="5" fillId="0" borderId="2" xfId="2" applyNumberFormat="1" applyFont="1" applyBorder="1" applyAlignment="1" applyProtection="1">
      <protection locked="0"/>
    </xf>
    <xf numFmtId="0" fontId="5" fillId="0" borderId="14" xfId="0" applyNumberFormat="1" applyFont="1" applyBorder="1" applyProtection="1">
      <protection locked="0"/>
    </xf>
    <xf numFmtId="0" fontId="5" fillId="0" borderId="3" xfId="0" applyNumberFormat="1" applyFont="1" applyFill="1" applyBorder="1" applyAlignment="1" applyProtection="1">
      <alignment horizontal="right"/>
      <protection locked="0"/>
    </xf>
    <xf numFmtId="176" fontId="5" fillId="3" borderId="10" xfId="2" applyNumberFormat="1" applyFont="1" applyFill="1" applyBorder="1" applyProtection="1">
      <protection locked="0"/>
    </xf>
    <xf numFmtId="10" fontId="5" fillId="4" borderId="10" xfId="3" applyNumberFormat="1" applyFont="1" applyFill="1" applyBorder="1" applyProtection="1">
      <protection locked="0"/>
    </xf>
    <xf numFmtId="168" fontId="5" fillId="3" borderId="10" xfId="0" applyNumberFormat="1" applyFont="1" applyFill="1" applyBorder="1" applyProtection="1">
      <protection locked="0"/>
    </xf>
    <xf numFmtId="167" fontId="5" fillId="3" borderId="14" xfId="2" applyNumberFormat="1" applyFont="1" applyFill="1" applyBorder="1" applyProtection="1">
      <protection locked="0"/>
    </xf>
    <xf numFmtId="0" fontId="5" fillId="0" borderId="10" xfId="2" applyNumberFormat="1" applyFont="1" applyBorder="1" applyProtection="1">
      <protection locked="0"/>
    </xf>
    <xf numFmtId="0" fontId="5" fillId="0" borderId="10" xfId="2" applyNumberFormat="1" applyFont="1" applyBorder="1" applyAlignment="1" applyProtection="1">
      <protection locked="0"/>
    </xf>
    <xf numFmtId="0" fontId="5" fillId="0" borderId="3" xfId="0" applyNumberFormat="1" applyFont="1" applyBorder="1" applyAlignment="1" applyProtection="1">
      <alignment horizontal="right"/>
      <protection locked="0"/>
    </xf>
    <xf numFmtId="167" fontId="5" fillId="3" borderId="10" xfId="2" applyNumberFormat="1" applyFont="1" applyFill="1" applyBorder="1" applyProtection="1">
      <protection locked="0"/>
    </xf>
    <xf numFmtId="0" fontId="5" fillId="0" borderId="3" xfId="0" applyNumberFormat="1" applyFont="1" applyBorder="1" applyAlignment="1" applyProtection="1">
      <alignment horizontal="left"/>
      <protection locked="0"/>
    </xf>
    <xf numFmtId="10" fontId="5" fillId="3" borderId="10" xfId="3" applyNumberFormat="1" applyFont="1" applyFill="1" applyBorder="1" applyProtection="1">
      <protection locked="0"/>
    </xf>
    <xf numFmtId="0" fontId="5" fillId="0" borderId="10" xfId="3" applyNumberFormat="1" applyFont="1" applyBorder="1" applyAlignment="1" applyProtection="1">
      <protection locked="0"/>
    </xf>
    <xf numFmtId="0" fontId="5" fillId="0" borderId="10" xfId="2" applyNumberFormat="1" applyFont="1" applyFill="1" applyBorder="1" applyProtection="1">
      <protection locked="0"/>
    </xf>
    <xf numFmtId="167" fontId="5" fillId="4" borderId="14" xfId="2" applyNumberFormat="1" applyFont="1" applyFill="1" applyBorder="1" applyProtection="1">
      <protection locked="0"/>
    </xf>
    <xf numFmtId="0" fontId="5" fillId="0" borderId="11" xfId="0" applyNumberFormat="1" applyFont="1" applyFill="1" applyBorder="1" applyProtection="1">
      <protection locked="0"/>
    </xf>
    <xf numFmtId="0" fontId="5" fillId="0" borderId="13" xfId="0" applyNumberFormat="1" applyFont="1" applyFill="1" applyBorder="1" applyAlignment="1" applyProtection="1">
      <alignment horizontal="right"/>
      <protection locked="0"/>
    </xf>
    <xf numFmtId="44" fontId="5" fillId="0" borderId="3" xfId="0" applyNumberFormat="1" applyFont="1" applyBorder="1" applyProtection="1">
      <protection locked="0"/>
    </xf>
    <xf numFmtId="0" fontId="5" fillId="0" borderId="3" xfId="0" applyFont="1" applyBorder="1" applyAlignment="1" applyProtection="1">
      <protection locked="0"/>
    </xf>
    <xf numFmtId="0" fontId="5" fillId="0" borderId="2" xfId="0" applyFont="1" applyBorder="1" applyAlignment="1" applyProtection="1">
      <protection locked="0"/>
    </xf>
    <xf numFmtId="0" fontId="5" fillId="0" borderId="10" xfId="0" applyFont="1" applyBorder="1" applyAlignment="1" applyProtection="1">
      <protection locked="0"/>
    </xf>
    <xf numFmtId="0" fontId="5" fillId="0" borderId="11" xfId="0" applyFont="1" applyBorder="1" applyAlignment="1" applyProtection="1">
      <protection locked="0"/>
    </xf>
    <xf numFmtId="0" fontId="5" fillId="0" borderId="13" xfId="0" applyFont="1" applyBorder="1" applyAlignment="1" applyProtection="1">
      <protection locked="0"/>
    </xf>
    <xf numFmtId="0" fontId="5" fillId="0" borderId="14" xfId="0" applyFont="1" applyBorder="1" applyAlignment="1" applyProtection="1">
      <protection locked="0"/>
    </xf>
    <xf numFmtId="0" fontId="5" fillId="0" borderId="0" xfId="3" applyNumberFormat="1" applyFont="1" applyAlignment="1"/>
    <xf numFmtId="167" fontId="5" fillId="4" borderId="14" xfId="0" applyNumberFormat="1" applyFont="1" applyFill="1" applyBorder="1" applyProtection="1">
      <protection locked="0"/>
    </xf>
    <xf numFmtId="0" fontId="9" fillId="4" borderId="0" xfId="0" applyFont="1" applyFill="1" applyProtection="1">
      <protection locked="0"/>
    </xf>
    <xf numFmtId="0" fontId="20" fillId="0" borderId="0" xfId="0" applyFont="1" applyAlignment="1"/>
    <xf numFmtId="0" fontId="20" fillId="4" borderId="0" xfId="0" applyFont="1" applyFill="1" applyAlignment="1"/>
    <xf numFmtId="0" fontId="3" fillId="0" borderId="3" xfId="0" applyNumberFormat="1" applyFont="1" applyBorder="1" applyProtection="1">
      <protection locked="0"/>
    </xf>
    <xf numFmtId="169" fontId="5" fillId="0" borderId="2" xfId="0" applyNumberFormat="1" applyFont="1" applyBorder="1" applyProtection="1">
      <protection locked="0"/>
    </xf>
    <xf numFmtId="44" fontId="5" fillId="0" borderId="2" xfId="0" applyNumberFormat="1" applyFont="1" applyBorder="1" applyProtection="1">
      <protection locked="0"/>
    </xf>
    <xf numFmtId="44" fontId="5" fillId="0" borderId="2" xfId="2" applyNumberFormat="1" applyFont="1" applyBorder="1" applyProtection="1">
      <protection locked="0"/>
    </xf>
    <xf numFmtId="0" fontId="3" fillId="0" borderId="2" xfId="0" applyNumberFormat="1" applyFont="1" applyBorder="1" applyProtection="1">
      <protection locked="0"/>
    </xf>
    <xf numFmtId="0" fontId="3" fillId="0" borderId="2" xfId="0" applyFont="1" applyBorder="1" applyAlignment="1" applyProtection="1">
      <protection locked="0"/>
    </xf>
    <xf numFmtId="169" fontId="3" fillId="0" borderId="2" xfId="0" applyNumberFormat="1" applyFont="1" applyBorder="1" applyProtection="1">
      <protection locked="0"/>
    </xf>
    <xf numFmtId="0" fontId="3" fillId="0" borderId="18" xfId="0" applyNumberFormat="1" applyFont="1" applyBorder="1" applyProtection="1">
      <protection locked="0"/>
    </xf>
    <xf numFmtId="169" fontId="5" fillId="0" borderId="2" xfId="0" applyNumberFormat="1" applyFont="1" applyBorder="1" applyAlignment="1" applyProtection="1">
      <protection locked="0"/>
    </xf>
    <xf numFmtId="0" fontId="3" fillId="0" borderId="3" xfId="0" applyNumberFormat="1" applyFont="1" applyBorder="1" applyAlignment="1" applyProtection="1">
      <protection locked="0"/>
    </xf>
    <xf numFmtId="4" fontId="5" fillId="0" borderId="2" xfId="2" applyNumberFormat="1" applyFont="1" applyBorder="1" applyAlignment="1" applyProtection="1">
      <protection locked="0"/>
    </xf>
    <xf numFmtId="0" fontId="3" fillId="0" borderId="19" xfId="0" applyNumberFormat="1" applyFont="1" applyBorder="1" applyProtection="1">
      <protection locked="0"/>
    </xf>
    <xf numFmtId="0" fontId="3" fillId="0" borderId="13" xfId="0" applyNumberFormat="1" applyFont="1" applyFill="1" applyBorder="1" applyProtection="1">
      <protection locked="0"/>
    </xf>
    <xf numFmtId="4" fontId="5" fillId="0" borderId="10" xfId="0" applyNumberFormat="1" applyFont="1" applyBorder="1" applyProtection="1">
      <protection locked="0"/>
    </xf>
    <xf numFmtId="44" fontId="5" fillId="0" borderId="10" xfId="0" applyNumberFormat="1" applyFont="1" applyBorder="1" applyProtection="1">
      <protection locked="0"/>
    </xf>
    <xf numFmtId="3" fontId="5" fillId="0" borderId="10" xfId="2" applyNumberFormat="1" applyFont="1" applyBorder="1" applyProtection="1">
      <protection locked="0"/>
    </xf>
    <xf numFmtId="173" fontId="5" fillId="0" borderId="10" xfId="2" applyNumberFormat="1" applyFont="1" applyBorder="1" applyProtection="1">
      <protection locked="0"/>
    </xf>
    <xf numFmtId="44" fontId="5" fillId="0" borderId="2" xfId="0" applyNumberFormat="1" applyFont="1" applyBorder="1" applyAlignment="1" applyProtection="1">
      <protection locked="0"/>
    </xf>
    <xf numFmtId="173" fontId="3" fillId="0" borderId="2" xfId="0" applyNumberFormat="1" applyFont="1" applyBorder="1" applyAlignment="1" applyProtection="1">
      <protection locked="0"/>
    </xf>
    <xf numFmtId="173" fontId="5" fillId="0" borderId="2" xfId="0" applyNumberFormat="1" applyFont="1" applyBorder="1" applyAlignment="1" applyProtection="1">
      <protection locked="0"/>
    </xf>
    <xf numFmtId="167" fontId="5" fillId="0" borderId="2" xfId="0" applyNumberFormat="1" applyFont="1" applyBorder="1" applyProtection="1">
      <protection locked="0"/>
    </xf>
    <xf numFmtId="167" fontId="5" fillId="0" borderId="2" xfId="0" applyNumberFormat="1" applyFont="1" applyBorder="1" applyAlignment="1" applyProtection="1">
      <protection locked="0"/>
    </xf>
    <xf numFmtId="0" fontId="2" fillId="0" borderId="3" xfId="0" applyNumberFormat="1" applyFont="1" applyBorder="1" applyProtection="1">
      <protection locked="0"/>
    </xf>
    <xf numFmtId="44" fontId="5" fillId="0" borderId="3" xfId="0" applyNumberFormat="1" applyFont="1" applyBorder="1" applyAlignment="1" applyProtection="1">
      <protection locked="0"/>
    </xf>
    <xf numFmtId="0" fontId="2" fillId="0" borderId="2" xfId="0" applyFont="1" applyBorder="1" applyAlignment="1" applyProtection="1">
      <protection locked="0"/>
    </xf>
    <xf numFmtId="0" fontId="1" fillId="0" borderId="3" xfId="0" applyNumberFormat="1" applyFont="1" applyBorder="1" applyProtection="1">
      <protection locked="0"/>
    </xf>
    <xf numFmtId="0" fontId="21" fillId="6" borderId="0" xfId="0" applyFont="1" applyFill="1" applyAlignment="1">
      <alignment horizontal="center"/>
    </xf>
    <xf numFmtId="0" fontId="15" fillId="4" borderId="2" xfId="0" applyFont="1" applyFill="1" applyBorder="1" applyAlignment="1">
      <alignment horizontal="center"/>
    </xf>
    <xf numFmtId="0" fontId="15" fillId="4" borderId="13" xfId="0" applyFont="1" applyFill="1" applyBorder="1" applyAlignment="1">
      <alignment horizontal="center"/>
    </xf>
    <xf numFmtId="0" fontId="20" fillId="0" borderId="18" xfId="0" applyFont="1" applyBorder="1" applyAlignment="1">
      <alignment horizontal="center" vertical="center"/>
    </xf>
    <xf numFmtId="0" fontId="9" fillId="0" borderId="3" xfId="0" applyFont="1" applyBorder="1" applyAlignment="1">
      <alignment horizontal="center" vertical="center"/>
    </xf>
    <xf numFmtId="0" fontId="9" fillId="0" borderId="11" xfId="0" applyFont="1" applyBorder="1" applyAlignment="1">
      <alignment horizontal="center" vertical="center"/>
    </xf>
    <xf numFmtId="0" fontId="20" fillId="0" borderId="0" xfId="0" applyFont="1" applyAlignment="1">
      <alignment horizontal="left"/>
    </xf>
    <xf numFmtId="0" fontId="20" fillId="0" borderId="0" xfId="0" applyFont="1" applyAlignment="1">
      <alignment horizontal="center"/>
    </xf>
    <xf numFmtId="0" fontId="22" fillId="0" borderId="0" xfId="0" applyFont="1" applyAlignment="1">
      <alignment horizontal="left"/>
    </xf>
    <xf numFmtId="0" fontId="17" fillId="0" borderId="0" xfId="0" applyFont="1" applyAlignment="1">
      <alignment horizontal="center" vertical="center"/>
    </xf>
    <xf numFmtId="0" fontId="20" fillId="0" borderId="19" xfId="0" applyFont="1" applyBorder="1" applyAlignment="1">
      <alignment horizontal="left"/>
    </xf>
    <xf numFmtId="0" fontId="20" fillId="0" borderId="28" xfId="0" applyFont="1" applyBorder="1" applyAlignment="1">
      <alignment horizontal="left"/>
    </xf>
    <xf numFmtId="0" fontId="15" fillId="0" borderId="0" xfId="0" applyFont="1" applyAlignment="1">
      <alignment horizontal="center" wrapText="1"/>
    </xf>
    <xf numFmtId="0" fontId="20" fillId="0" borderId="2" xfId="0" applyFont="1" applyBorder="1" applyAlignment="1">
      <alignment horizontal="center" vertical="center"/>
    </xf>
    <xf numFmtId="0" fontId="20" fillId="0" borderId="10" xfId="0" applyFont="1" applyBorder="1" applyAlignment="1">
      <alignment horizontal="center" vertical="center"/>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11" fillId="0" borderId="0" xfId="0" applyFont="1" applyAlignment="1">
      <alignment horizontal="left" vertical="center"/>
    </xf>
    <xf numFmtId="0" fontId="19" fillId="5" borderId="18" xfId="0" applyFont="1" applyFill="1" applyBorder="1" applyAlignment="1">
      <alignment horizontal="center" vertical="center"/>
    </xf>
    <xf numFmtId="0" fontId="19" fillId="5" borderId="19" xfId="0" applyFont="1" applyFill="1" applyBorder="1" applyAlignment="1">
      <alignment horizontal="center" vertical="center"/>
    </xf>
    <xf numFmtId="0" fontId="19" fillId="5" borderId="28" xfId="0" applyFont="1" applyFill="1" applyBorder="1" applyAlignment="1">
      <alignment horizontal="center" vertical="center"/>
    </xf>
    <xf numFmtId="0" fontId="19" fillId="5" borderId="11" xfId="0" applyFont="1" applyFill="1" applyBorder="1" applyAlignment="1">
      <alignment horizontal="center" vertical="center"/>
    </xf>
    <xf numFmtId="0" fontId="19" fillId="5" borderId="13" xfId="0" applyFont="1" applyFill="1" applyBorder="1" applyAlignment="1">
      <alignment horizontal="center" vertical="center"/>
    </xf>
    <xf numFmtId="0" fontId="19" fillId="5" borderId="14" xfId="0" applyFont="1" applyFill="1" applyBorder="1" applyAlignment="1">
      <alignment horizontal="center" vertical="center"/>
    </xf>
    <xf numFmtId="0" fontId="6" fillId="0" borderId="0" xfId="0" applyFont="1" applyAlignment="1">
      <alignment horizontal="center" vertical="center"/>
    </xf>
    <xf numFmtId="0" fontId="5" fillId="0" borderId="0" xfId="0" applyFont="1" applyAlignment="1"/>
    <xf numFmtId="0" fontId="10" fillId="0" borderId="0" xfId="0" applyFont="1" applyAlignment="1">
      <alignment horizontal="center"/>
    </xf>
    <xf numFmtId="0" fontId="12" fillId="0" borderId="0" xfId="0" applyFont="1" applyAlignment="1">
      <alignment horizontal="left" wrapText="1"/>
    </xf>
    <xf numFmtId="0" fontId="12" fillId="0" borderId="0" xfId="0" applyFont="1" applyAlignment="1"/>
    <xf numFmtId="0" fontId="5" fillId="0" borderId="2" xfId="0" applyFont="1" applyBorder="1" applyAlignment="1">
      <alignment horizontal="center"/>
    </xf>
    <xf numFmtId="0" fontId="5" fillId="0" borderId="0" xfId="0" applyFont="1" applyAlignment="1">
      <alignment horizontal="left"/>
    </xf>
    <xf numFmtId="0" fontId="12" fillId="0" borderId="0" xfId="0" applyFont="1" applyAlignment="1">
      <alignment horizontal="left"/>
    </xf>
    <xf numFmtId="0" fontId="5" fillId="2" borderId="25" xfId="0" applyNumberFormat="1" applyFont="1" applyFill="1" applyBorder="1" applyAlignment="1">
      <alignment horizontal="center"/>
    </xf>
    <xf numFmtId="0" fontId="5" fillId="2" borderId="27" xfId="0" applyNumberFormat="1" applyFont="1" applyFill="1" applyBorder="1" applyAlignment="1">
      <alignment horizontal="center"/>
    </xf>
    <xf numFmtId="0" fontId="5" fillId="2" borderId="15" xfId="0" applyNumberFormat="1" applyFont="1" applyFill="1" applyBorder="1" applyAlignment="1">
      <alignment horizontal="center"/>
    </xf>
    <xf numFmtId="0" fontId="5" fillId="2" borderId="16" xfId="0" applyNumberFormat="1" applyFont="1" applyFill="1" applyBorder="1" applyAlignment="1">
      <alignment horizontal="center"/>
    </xf>
    <xf numFmtId="0" fontId="5" fillId="2" borderId="17" xfId="0" applyNumberFormat="1" applyFont="1" applyFill="1" applyBorder="1" applyAlignment="1">
      <alignment horizontal="center"/>
    </xf>
    <xf numFmtId="0" fontId="5" fillId="2" borderId="26" xfId="0" applyNumberFormat="1" applyFont="1" applyFill="1" applyBorder="1" applyAlignment="1">
      <alignment horizontal="center"/>
    </xf>
    <xf numFmtId="0" fontId="5" fillId="2" borderId="15" xfId="0" applyNumberFormat="1" applyFont="1" applyFill="1" applyBorder="1" applyAlignment="1" applyProtection="1">
      <alignment horizontal="center"/>
      <protection locked="0"/>
    </xf>
    <xf numFmtId="0" fontId="5" fillId="2" borderId="16" xfId="0" applyNumberFormat="1" applyFont="1" applyFill="1" applyBorder="1" applyAlignment="1" applyProtection="1">
      <alignment horizontal="center"/>
      <protection locked="0"/>
    </xf>
    <xf numFmtId="0" fontId="5" fillId="2" borderId="17" xfId="0" applyNumberFormat="1" applyFont="1" applyFill="1" applyBorder="1" applyAlignment="1" applyProtection="1">
      <alignment horizontal="center"/>
      <protection locked="0"/>
    </xf>
    <xf numFmtId="0" fontId="16" fillId="5" borderId="0" xfId="0" applyFont="1" applyFill="1" applyAlignment="1">
      <alignment horizontal="center"/>
    </xf>
    <xf numFmtId="0" fontId="5" fillId="2" borderId="25" xfId="0" applyNumberFormat="1" applyFont="1" applyFill="1" applyBorder="1" applyAlignment="1"/>
    <xf numFmtId="0" fontId="5" fillId="2" borderId="26" xfId="0" applyNumberFormat="1" applyFont="1" applyFill="1" applyBorder="1" applyAlignment="1"/>
    <xf numFmtId="0" fontId="5" fillId="2" borderId="27" xfId="0" applyNumberFormat="1" applyFont="1" applyFill="1" applyBorder="1" applyAlignment="1"/>
    <xf numFmtId="0" fontId="5" fillId="0" borderId="13" xfId="0" applyNumberFormat="1" applyFont="1" applyBorder="1" applyAlignment="1" applyProtection="1">
      <alignment horizontal="right"/>
      <protection locked="0"/>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4" fillId="0" borderId="0" xfId="0" applyFont="1" applyAlignment="1">
      <alignment horizontal="left" vertical="center" wrapText="1"/>
    </xf>
    <xf numFmtId="0" fontId="11" fillId="0" borderId="0" xfId="0" applyFont="1" applyAlignment="1">
      <alignment horizontal="left" vertical="center" wrapText="1"/>
    </xf>
    <xf numFmtId="0" fontId="5" fillId="0" borderId="0" xfId="0" applyFont="1" applyAlignment="1">
      <alignment horizontal="left" vertical="center"/>
    </xf>
    <xf numFmtId="0" fontId="5" fillId="0" borderId="11" xfId="0" applyNumberFormat="1" applyFont="1" applyBorder="1" applyAlignment="1" applyProtection="1">
      <alignment horizontal="right"/>
      <protection locked="0"/>
    </xf>
    <xf numFmtId="0" fontId="10" fillId="5" borderId="2" xfId="0" applyFont="1" applyFill="1" applyBorder="1" applyAlignment="1">
      <alignment horizontal="center"/>
    </xf>
    <xf numFmtId="49" fontId="8" fillId="4" borderId="0" xfId="0" applyNumberFormat="1" applyFont="1" applyFill="1" applyAlignment="1" applyProtection="1">
      <alignment horizontal="center"/>
      <protection locked="0"/>
    </xf>
    <xf numFmtId="0" fontId="5" fillId="2" borderId="18" xfId="0" applyNumberFormat="1" applyFont="1" applyFill="1" applyBorder="1" applyAlignment="1">
      <alignment horizontal="center"/>
    </xf>
    <xf numFmtId="0" fontId="5" fillId="2" borderId="19" xfId="0" applyNumberFormat="1" applyFont="1" applyFill="1" applyBorder="1" applyAlignment="1">
      <alignment horizontal="center"/>
    </xf>
    <xf numFmtId="0" fontId="5" fillId="2" borderId="28" xfId="0" applyNumberFormat="1" applyFont="1" applyFill="1" applyBorder="1" applyAlignment="1">
      <alignment horizontal="center"/>
    </xf>
    <xf numFmtId="0" fontId="16" fillId="0" borderId="0" xfId="0" applyFont="1" applyAlignment="1">
      <alignment horizontal="center"/>
    </xf>
    <xf numFmtId="0" fontId="5" fillId="2" borderId="25" xfId="0" applyFont="1" applyFill="1" applyBorder="1" applyAlignment="1">
      <alignment horizontal="center"/>
    </xf>
    <xf numFmtId="0" fontId="5" fillId="2" borderId="27" xfId="0" applyFont="1" applyFill="1" applyBorder="1" applyAlignment="1">
      <alignment horizontal="center"/>
    </xf>
    <xf numFmtId="0" fontId="5" fillId="2" borderId="18" xfId="0" applyFont="1" applyFill="1" applyBorder="1" applyAlignment="1">
      <alignment horizontal="center"/>
    </xf>
    <xf numFmtId="0" fontId="5" fillId="2" borderId="19" xfId="0" applyFont="1" applyFill="1" applyBorder="1" applyAlignment="1">
      <alignment horizontal="center"/>
    </xf>
    <xf numFmtId="0" fontId="5" fillId="2" borderId="28" xfId="0" applyFont="1" applyFill="1" applyBorder="1" applyAlignment="1">
      <alignment horizontal="center"/>
    </xf>
    <xf numFmtId="0" fontId="5" fillId="2" borderId="26" xfId="0" applyFont="1" applyFill="1" applyBorder="1" applyAlignment="1">
      <alignment horizontal="center"/>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25" xfId="0" applyFont="1" applyFill="1" applyBorder="1" applyAlignment="1"/>
    <xf numFmtId="0" fontId="5" fillId="2" borderId="26" xfId="0" applyFont="1" applyFill="1" applyBorder="1" applyAlignment="1"/>
    <xf numFmtId="0" fontId="5" fillId="2" borderId="27" xfId="0" applyFont="1" applyFill="1" applyBorder="1" applyAlignment="1"/>
    <xf numFmtId="0" fontId="10" fillId="0" borderId="2" xfId="0" applyFont="1" applyBorder="1" applyAlignment="1">
      <alignment horizontal="center"/>
    </xf>
    <xf numFmtId="0" fontId="5" fillId="0" borderId="13" xfId="0" applyFont="1" applyBorder="1" applyAlignment="1">
      <alignment horizontal="right"/>
    </xf>
  </cellXfs>
  <cellStyles count="5">
    <cellStyle name="Milliers" xfId="4" builtinId="3"/>
    <cellStyle name="Monétaire" xfId="2" builtinId="4"/>
    <cellStyle name="Normal" xfId="0" builtinId="0"/>
    <cellStyle name="Normal 2" xfId="1" xr:uid="{59F004E8-D32D-3342-B795-0700449F4FE1}"/>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D6A0-4517-B04B-B07A-1E9215923ED6}">
  <sheetPr codeName="Feuil1"/>
  <dimension ref="A1:P27"/>
  <sheetViews>
    <sheetView workbookViewId="0">
      <selection activeCell="F25" sqref="F25"/>
    </sheetView>
  </sheetViews>
  <sheetFormatPr baseColWidth="10" defaultRowHeight="14"/>
  <sheetData>
    <row r="1" spans="1:16" ht="30" customHeight="1">
      <c r="A1" s="243" t="s">
        <v>67</v>
      </c>
      <c r="B1" s="243"/>
      <c r="C1" s="243"/>
      <c r="D1" s="243"/>
      <c r="E1" s="243"/>
      <c r="F1" s="243"/>
      <c r="G1" s="243"/>
      <c r="H1" s="243"/>
      <c r="I1" s="243"/>
      <c r="J1" s="243"/>
      <c r="K1" s="243"/>
      <c r="L1" s="243"/>
      <c r="M1" s="243"/>
      <c r="N1" s="243"/>
      <c r="O1" s="243"/>
    </row>
    <row r="2" spans="1:16" ht="30" customHeight="1">
      <c r="A2" s="243"/>
      <c r="B2" s="243"/>
      <c r="C2" s="243"/>
      <c r="D2" s="243"/>
      <c r="E2" s="243"/>
      <c r="F2" s="243"/>
      <c r="G2" s="243"/>
      <c r="H2" s="243"/>
      <c r="I2" s="243"/>
      <c r="J2" s="243"/>
      <c r="K2" s="243"/>
      <c r="L2" s="243"/>
      <c r="M2" s="243"/>
      <c r="N2" s="243"/>
      <c r="O2" s="243"/>
    </row>
    <row r="4" spans="1:16" ht="15.5">
      <c r="A4" s="206" t="s">
        <v>70</v>
      </c>
      <c r="B4" s="206"/>
      <c r="C4" s="206"/>
      <c r="D4" s="206"/>
      <c r="E4" s="206"/>
      <c r="F4" s="206"/>
      <c r="G4" s="206"/>
      <c r="H4" s="206"/>
      <c r="I4" s="206"/>
      <c r="J4" s="206"/>
    </row>
    <row r="5" spans="1:16" ht="15.5">
      <c r="A5" s="206" t="s">
        <v>68</v>
      </c>
      <c r="B5" s="206"/>
      <c r="C5" s="206"/>
      <c r="D5" s="206"/>
      <c r="E5" s="206"/>
      <c r="F5" s="206"/>
      <c r="G5" s="206"/>
      <c r="H5" s="206"/>
      <c r="I5" s="206"/>
      <c r="J5" s="206"/>
    </row>
    <row r="6" spans="1:16" ht="16" thickBot="1">
      <c r="A6" s="206" t="s">
        <v>69</v>
      </c>
      <c r="B6" s="206"/>
      <c r="C6" s="206"/>
      <c r="D6" s="206"/>
      <c r="E6" s="206"/>
      <c r="F6" s="206"/>
      <c r="G6" s="206"/>
      <c r="H6" s="206"/>
      <c r="I6" s="206"/>
      <c r="J6" s="206"/>
    </row>
    <row r="7" spans="1:16" ht="15.5">
      <c r="A7" s="237" t="s">
        <v>162</v>
      </c>
      <c r="B7" s="244" t="s">
        <v>163</v>
      </c>
      <c r="C7" s="244"/>
      <c r="D7" s="244"/>
      <c r="E7" s="244"/>
      <c r="F7" s="244"/>
      <c r="G7" s="244"/>
      <c r="H7" s="244"/>
      <c r="I7" s="244"/>
      <c r="J7" s="244"/>
      <c r="K7" s="244"/>
      <c r="L7" s="244"/>
      <c r="M7" s="245"/>
    </row>
    <row r="8" spans="1:16" ht="14" customHeight="1">
      <c r="A8" s="238"/>
      <c r="B8" s="235" t="s">
        <v>150</v>
      </c>
      <c r="C8" s="235"/>
      <c r="D8" s="235"/>
      <c r="E8" s="235"/>
      <c r="F8" s="235"/>
      <c r="G8" s="235"/>
      <c r="H8" s="247" t="s">
        <v>164</v>
      </c>
      <c r="I8" s="247"/>
      <c r="J8" s="247"/>
      <c r="K8" s="247"/>
      <c r="L8" s="247"/>
      <c r="M8" s="248"/>
    </row>
    <row r="9" spans="1:16" ht="14" customHeight="1" thickBot="1">
      <c r="A9" s="239"/>
      <c r="B9" s="236"/>
      <c r="C9" s="236"/>
      <c r="D9" s="236"/>
      <c r="E9" s="236"/>
      <c r="F9" s="236"/>
      <c r="G9" s="236"/>
      <c r="H9" s="249"/>
      <c r="I9" s="249"/>
      <c r="J9" s="249"/>
      <c r="K9" s="249"/>
      <c r="L9" s="249"/>
      <c r="M9" s="250"/>
    </row>
    <row r="10" spans="1:16" ht="14" customHeight="1">
      <c r="A10" s="246" t="s">
        <v>165</v>
      </c>
      <c r="B10" s="246"/>
      <c r="C10" s="246"/>
      <c r="D10" s="246"/>
      <c r="E10" s="246"/>
      <c r="F10" s="246"/>
      <c r="G10" s="246"/>
      <c r="H10" s="246"/>
      <c r="I10" s="246"/>
      <c r="J10" s="246"/>
      <c r="K10" s="246"/>
      <c r="L10" s="246"/>
      <c r="M10" s="246"/>
      <c r="N10" s="246"/>
      <c r="O10" s="246"/>
      <c r="P10" s="246"/>
    </row>
    <row r="11" spans="1:16" ht="14" customHeight="1">
      <c r="A11" s="246"/>
      <c r="B11" s="246"/>
      <c r="C11" s="246"/>
      <c r="D11" s="246"/>
      <c r="E11" s="246"/>
      <c r="F11" s="246"/>
      <c r="G11" s="246"/>
      <c r="H11" s="246"/>
      <c r="I11" s="246"/>
      <c r="J11" s="246"/>
      <c r="K11" s="246"/>
      <c r="L11" s="246"/>
      <c r="M11" s="246"/>
      <c r="N11" s="246"/>
      <c r="O11" s="246"/>
      <c r="P11" s="246"/>
    </row>
    <row r="13" spans="1:16" ht="15.5">
      <c r="A13" s="242" t="s">
        <v>71</v>
      </c>
      <c r="B13" s="242"/>
      <c r="C13" s="242"/>
      <c r="D13" s="206"/>
      <c r="E13" s="206"/>
      <c r="F13" s="206"/>
      <c r="G13" s="206"/>
      <c r="H13" s="206"/>
      <c r="I13" s="206"/>
      <c r="J13" s="206"/>
      <c r="K13" s="206"/>
    </row>
    <row r="14" spans="1:16" ht="15.5">
      <c r="A14" s="240" t="s">
        <v>151</v>
      </c>
      <c r="B14" s="240"/>
      <c r="C14" s="240"/>
      <c r="D14" s="240"/>
      <c r="E14" s="240"/>
      <c r="F14" s="240"/>
      <c r="G14" s="240"/>
      <c r="H14" s="240"/>
      <c r="I14" s="240"/>
      <c r="J14" s="240"/>
      <c r="K14" s="240"/>
      <c r="L14" s="240"/>
      <c r="M14" s="240"/>
    </row>
    <row r="15" spans="1:16" ht="15.5">
      <c r="A15" s="240" t="s">
        <v>167</v>
      </c>
      <c r="B15" s="240"/>
      <c r="C15" s="240"/>
      <c r="D15" s="240"/>
      <c r="E15" s="240"/>
      <c r="F15" s="207"/>
      <c r="G15" s="206"/>
      <c r="H15" s="206"/>
      <c r="I15" s="206"/>
      <c r="J15" s="206"/>
      <c r="K15" s="206"/>
    </row>
    <row r="16" spans="1:16" ht="15.5">
      <c r="A16" s="240" t="s">
        <v>168</v>
      </c>
      <c r="B16" s="240"/>
      <c r="C16" s="240"/>
      <c r="D16" s="240"/>
      <c r="E16" s="240"/>
      <c r="F16" s="240"/>
      <c r="G16" s="240"/>
      <c r="H16" s="240"/>
      <c r="I16" s="240"/>
      <c r="J16" s="240"/>
      <c r="K16" s="240"/>
      <c r="L16" s="240"/>
      <c r="M16" s="240"/>
    </row>
    <row r="17" spans="1:13" ht="15.5">
      <c r="A17" s="240" t="s">
        <v>158</v>
      </c>
      <c r="B17" s="240"/>
      <c r="C17" s="240"/>
      <c r="D17" s="240"/>
      <c r="E17" s="240"/>
      <c r="F17" s="240"/>
      <c r="G17" s="240"/>
      <c r="H17" s="240"/>
      <c r="I17" s="240"/>
      <c r="J17" s="240"/>
      <c r="K17" s="240"/>
      <c r="L17" s="240"/>
      <c r="M17" s="240"/>
    </row>
    <row r="18" spans="1:13" ht="15.5">
      <c r="A18" s="240" t="s">
        <v>157</v>
      </c>
      <c r="B18" s="240"/>
      <c r="C18" s="240"/>
      <c r="D18" s="240"/>
      <c r="E18" s="240"/>
      <c r="F18" s="240"/>
      <c r="G18" s="240"/>
      <c r="H18" s="240"/>
      <c r="I18" s="240"/>
      <c r="J18" s="240"/>
      <c r="K18" s="240"/>
      <c r="L18" s="240"/>
      <c r="M18" s="240"/>
    </row>
    <row r="19" spans="1:13" ht="15.5">
      <c r="A19" s="240" t="s">
        <v>156</v>
      </c>
      <c r="B19" s="240"/>
      <c r="C19" s="240"/>
      <c r="D19" s="240"/>
      <c r="E19" s="240"/>
      <c r="F19" s="240"/>
      <c r="G19" s="240"/>
      <c r="H19" s="240"/>
      <c r="I19" s="240"/>
      <c r="J19" s="240"/>
      <c r="K19" s="240"/>
      <c r="L19" s="240"/>
      <c r="M19" s="240"/>
    </row>
    <row r="20" spans="1:13" ht="15.5">
      <c r="A20" s="240" t="s">
        <v>159</v>
      </c>
      <c r="B20" s="240"/>
      <c r="C20" s="240"/>
      <c r="D20" s="240"/>
      <c r="E20" s="240"/>
      <c r="F20" s="240"/>
      <c r="G20" s="240"/>
      <c r="H20" s="240"/>
      <c r="I20" s="240"/>
      <c r="J20" s="240"/>
      <c r="K20" s="240"/>
      <c r="L20" s="240"/>
      <c r="M20" s="240"/>
    </row>
    <row r="21" spans="1:13" ht="15.5">
      <c r="A21" s="240"/>
      <c r="B21" s="240"/>
      <c r="C21" s="240"/>
      <c r="D21" s="240"/>
      <c r="E21" s="240"/>
      <c r="F21" s="240"/>
      <c r="G21" s="240"/>
      <c r="H21" s="240"/>
      <c r="I21" s="240"/>
      <c r="J21" s="240"/>
      <c r="K21" s="240"/>
      <c r="L21" s="240"/>
      <c r="M21" s="240"/>
    </row>
    <row r="22" spans="1:13" ht="15.5">
      <c r="A22" s="242" t="s">
        <v>166</v>
      </c>
      <c r="B22" s="242"/>
      <c r="C22" s="242"/>
      <c r="D22" s="242"/>
      <c r="E22" s="242"/>
      <c r="F22" s="242"/>
      <c r="G22" s="242"/>
      <c r="H22" s="242"/>
      <c r="I22" s="242"/>
      <c r="J22" s="242"/>
      <c r="K22" s="242"/>
      <c r="L22" s="242"/>
      <c r="M22" s="242"/>
    </row>
    <row r="23" spans="1:13" ht="15.5">
      <c r="A23" s="206"/>
      <c r="B23" s="206"/>
      <c r="C23" s="206"/>
      <c r="D23" s="206"/>
      <c r="E23" s="206"/>
      <c r="F23" s="206"/>
      <c r="G23" s="206"/>
      <c r="H23" s="206"/>
      <c r="I23" s="206"/>
      <c r="J23" s="206"/>
      <c r="K23" s="206"/>
    </row>
    <row r="24" spans="1:13" ht="15.5">
      <c r="A24" s="234" t="s">
        <v>146</v>
      </c>
      <c r="B24" s="234"/>
      <c r="C24" s="234"/>
      <c r="D24" s="234"/>
      <c r="E24" s="234"/>
      <c r="F24" s="234"/>
      <c r="G24" s="206"/>
      <c r="H24" s="206"/>
      <c r="I24" s="206"/>
      <c r="J24" s="206"/>
      <c r="K24" s="206"/>
    </row>
    <row r="25" spans="1:13" ht="15.5">
      <c r="A25" s="206"/>
      <c r="B25" s="206"/>
      <c r="C25" s="206"/>
      <c r="D25" s="206"/>
      <c r="E25" s="206"/>
      <c r="F25" s="206"/>
      <c r="G25" s="206"/>
      <c r="H25" s="206"/>
      <c r="I25" s="206"/>
      <c r="J25" s="206"/>
      <c r="K25" s="206"/>
    </row>
    <row r="26" spans="1:13" ht="15.5">
      <c r="A26" s="241" t="s">
        <v>72</v>
      </c>
      <c r="B26" s="241"/>
      <c r="C26" s="241"/>
      <c r="D26" s="206"/>
      <c r="E26" s="206"/>
      <c r="F26" s="206"/>
      <c r="G26" s="206"/>
      <c r="H26" s="206"/>
      <c r="I26" s="206"/>
      <c r="J26" s="206"/>
      <c r="K26" s="206"/>
    </row>
    <row r="27" spans="1:13" ht="15.5">
      <c r="A27" s="206"/>
      <c r="B27" s="206"/>
      <c r="C27" s="206"/>
      <c r="D27" s="206"/>
      <c r="E27" s="206"/>
      <c r="F27" s="206"/>
      <c r="G27" s="206"/>
      <c r="H27" s="206"/>
      <c r="I27" s="206"/>
      <c r="J27" s="206"/>
      <c r="K27" s="206"/>
    </row>
  </sheetData>
  <mergeCells count="18">
    <mergeCell ref="A1:O2"/>
    <mergeCell ref="B7:M7"/>
    <mergeCell ref="A10:P11"/>
    <mergeCell ref="H8:M9"/>
    <mergeCell ref="A14:M14"/>
    <mergeCell ref="A13:C13"/>
    <mergeCell ref="A24:F24"/>
    <mergeCell ref="B8:G9"/>
    <mergeCell ref="A7:A9"/>
    <mergeCell ref="A15:E15"/>
    <mergeCell ref="A26:C26"/>
    <mergeCell ref="A16:M16"/>
    <mergeCell ref="A17:M17"/>
    <mergeCell ref="A18:M18"/>
    <mergeCell ref="A19:M19"/>
    <mergeCell ref="A20:M20"/>
    <mergeCell ref="A21:M21"/>
    <mergeCell ref="A22:M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AH1023"/>
  <sheetViews>
    <sheetView tabSelected="1" topLeftCell="C66" zoomScale="90" zoomScaleNormal="145" workbookViewId="0">
      <selection activeCell="K88" sqref="K88"/>
    </sheetView>
  </sheetViews>
  <sheetFormatPr baseColWidth="10" defaultColWidth="12.6640625" defaultRowHeight="15" customHeight="1"/>
  <cols>
    <col min="1" max="2" width="10" style="7" customWidth="1"/>
    <col min="3" max="3" width="12" style="7" customWidth="1"/>
    <col min="4" max="4" width="12.5" style="7" bestFit="1" customWidth="1"/>
    <col min="5" max="6" width="13.1640625" style="7" bestFit="1" customWidth="1"/>
    <col min="7" max="7" width="7.83203125" style="7" customWidth="1"/>
    <col min="8" max="8" width="15.1640625" style="7" customWidth="1"/>
    <col min="9" max="9" width="10" style="7" customWidth="1"/>
    <col min="10" max="10" width="22.83203125" style="7" customWidth="1"/>
    <col min="11" max="11" width="17" style="7" customWidth="1"/>
    <col min="12" max="12" width="22.5" style="7" bestFit="1" customWidth="1"/>
    <col min="13" max="13" width="14.33203125" style="7" customWidth="1"/>
    <col min="14" max="14" width="22.5" style="7" bestFit="1" customWidth="1"/>
    <col min="15" max="15" width="13.83203125" style="7" bestFit="1" customWidth="1"/>
    <col min="16" max="16" width="18" style="7" bestFit="1" customWidth="1"/>
    <col min="17" max="26" width="10" style="7" customWidth="1"/>
    <col min="27" max="16384" width="12.6640625" style="7"/>
  </cols>
  <sheetData>
    <row r="1" spans="1:34" ht="14.25" customHeight="1" thickBot="1">
      <c r="A1" s="258" t="s">
        <v>147</v>
      </c>
      <c r="B1" s="259"/>
      <c r="C1" s="259"/>
      <c r="D1" s="259"/>
      <c r="E1" s="259"/>
      <c r="F1" s="259"/>
      <c r="G1" s="259"/>
      <c r="H1" s="6" t="s">
        <v>149</v>
      </c>
      <c r="J1" s="1" t="s">
        <v>37</v>
      </c>
      <c r="K1" s="294" t="s">
        <v>171</v>
      </c>
      <c r="L1" s="294"/>
      <c r="M1" s="2" t="s">
        <v>38</v>
      </c>
      <c r="N1" s="294" t="s">
        <v>172</v>
      </c>
      <c r="O1" s="294"/>
      <c r="P1" s="3" t="s">
        <v>39</v>
      </c>
      <c r="Q1" s="294"/>
      <c r="R1" s="294"/>
      <c r="S1" s="4" t="s">
        <v>40</v>
      </c>
      <c r="T1" s="205">
        <v>3</v>
      </c>
    </row>
    <row r="2" spans="1:34" ht="14.25" customHeight="1">
      <c r="A2" s="8"/>
      <c r="B2" s="8"/>
      <c r="C2" s="8"/>
      <c r="D2" s="8"/>
      <c r="E2" s="8"/>
      <c r="F2" s="8"/>
      <c r="G2" s="9"/>
      <c r="X2" s="252" t="s">
        <v>155</v>
      </c>
      <c r="Y2" s="253"/>
      <c r="Z2" s="253"/>
      <c r="AA2" s="253"/>
      <c r="AB2" s="253"/>
      <c r="AC2" s="253"/>
      <c r="AD2" s="253"/>
      <c r="AE2" s="253"/>
      <c r="AF2" s="253"/>
      <c r="AG2" s="253"/>
      <c r="AH2" s="254"/>
    </row>
    <row r="3" spans="1:34" ht="14.25" customHeight="1" thickBot="1">
      <c r="A3" s="289" t="s">
        <v>76</v>
      </c>
      <c r="B3" s="289"/>
      <c r="C3" s="289"/>
      <c r="D3" s="289"/>
      <c r="E3" s="289"/>
      <c r="F3" s="289"/>
      <c r="G3" s="289"/>
      <c r="H3" s="289"/>
      <c r="X3" s="255"/>
      <c r="Y3" s="256"/>
      <c r="Z3" s="256"/>
      <c r="AA3" s="256"/>
      <c r="AB3" s="256"/>
      <c r="AC3" s="256"/>
      <c r="AD3" s="256"/>
      <c r="AE3" s="256"/>
      <c r="AF3" s="256"/>
      <c r="AG3" s="256"/>
      <c r="AH3" s="257"/>
    </row>
    <row r="4" spans="1:34" ht="16" customHeight="1">
      <c r="A4" s="289"/>
      <c r="B4" s="289"/>
      <c r="C4" s="289"/>
      <c r="D4" s="289"/>
      <c r="E4" s="289"/>
      <c r="F4" s="289"/>
      <c r="G4" s="289"/>
      <c r="H4" s="289"/>
      <c r="J4" s="275" t="s">
        <v>28</v>
      </c>
      <c r="K4" s="275"/>
      <c r="L4" s="275"/>
      <c r="M4" s="275"/>
      <c r="N4" s="275"/>
      <c r="O4" s="275"/>
      <c r="P4" s="275"/>
      <c r="Q4" s="275"/>
      <c r="X4" s="197"/>
      <c r="Y4" s="198"/>
      <c r="Z4" s="198"/>
      <c r="AA4" s="198"/>
      <c r="AB4" s="198"/>
      <c r="AC4" s="198"/>
      <c r="AD4" s="198"/>
      <c r="AE4" s="198"/>
      <c r="AF4" s="198"/>
      <c r="AG4" s="198"/>
      <c r="AH4" s="199"/>
    </row>
    <row r="5" spans="1:34" ht="16" customHeight="1" thickBot="1">
      <c r="A5" s="289"/>
      <c r="B5" s="289"/>
      <c r="C5" s="289"/>
      <c r="D5" s="289"/>
      <c r="E5" s="289"/>
      <c r="F5" s="289"/>
      <c r="G5" s="289"/>
      <c r="H5" s="289"/>
      <c r="X5" s="197"/>
      <c r="Y5" s="213"/>
      <c r="Z5" s="198"/>
      <c r="AA5" s="198"/>
      <c r="AB5" s="198"/>
      <c r="AC5" s="198"/>
      <c r="AD5" s="198"/>
      <c r="AE5" s="198"/>
      <c r="AF5" s="198"/>
      <c r="AG5" s="198"/>
      <c r="AH5" s="199"/>
    </row>
    <row r="6" spans="1:34" ht="16" customHeight="1" thickBot="1">
      <c r="A6" s="289"/>
      <c r="B6" s="289"/>
      <c r="C6" s="289"/>
      <c r="D6" s="289"/>
      <c r="E6" s="289"/>
      <c r="F6" s="289"/>
      <c r="G6" s="289"/>
      <c r="H6" s="289"/>
      <c r="J6" s="276" t="s">
        <v>90</v>
      </c>
      <c r="K6" s="277"/>
      <c r="L6" s="277"/>
      <c r="M6" s="278"/>
      <c r="N6" s="130"/>
      <c r="O6" s="130"/>
      <c r="P6" s="130"/>
      <c r="Q6" s="130"/>
      <c r="R6" s="130"/>
      <c r="X6" s="197"/>
      <c r="Y6" s="213"/>
      <c r="Z6" s="198"/>
      <c r="AA6" s="198"/>
      <c r="AB6" s="198"/>
      <c r="AC6" s="198"/>
      <c r="AD6" s="198"/>
      <c r="AE6" s="198"/>
      <c r="AF6" s="198"/>
      <c r="AG6" s="198"/>
      <c r="AH6" s="199"/>
    </row>
    <row r="7" spans="1:34" ht="14.5">
      <c r="A7" s="38"/>
      <c r="B7" s="145"/>
      <c r="C7" s="145"/>
      <c r="D7" s="145"/>
      <c r="E7" s="145"/>
      <c r="F7" s="145"/>
      <c r="G7" s="145"/>
      <c r="H7" s="145"/>
      <c r="J7" s="208" t="s">
        <v>170</v>
      </c>
      <c r="K7" s="155"/>
      <c r="L7" s="155"/>
      <c r="M7" s="156"/>
      <c r="N7" s="130"/>
      <c r="O7" s="130"/>
      <c r="P7" s="130"/>
      <c r="Q7" s="130"/>
      <c r="R7" s="130"/>
      <c r="X7" s="197"/>
      <c r="Y7" s="232"/>
      <c r="Z7" s="198"/>
      <c r="AA7" s="198"/>
      <c r="AB7" s="198"/>
      <c r="AC7" s="198"/>
      <c r="AD7" s="198"/>
      <c r="AE7" s="198"/>
      <c r="AF7" s="198"/>
      <c r="AG7" s="198"/>
      <c r="AH7" s="199"/>
    </row>
    <row r="8" spans="1:34" ht="14.25" customHeight="1" thickBot="1">
      <c r="A8" s="145"/>
      <c r="B8" s="263" t="s">
        <v>43</v>
      </c>
      <c r="C8" s="263"/>
      <c r="D8" s="263"/>
      <c r="E8" s="263"/>
      <c r="F8" s="263"/>
      <c r="G8" s="145"/>
      <c r="H8" s="145"/>
      <c r="J8" s="154"/>
      <c r="K8" s="155"/>
      <c r="L8" s="155"/>
      <c r="M8" s="156"/>
      <c r="N8" s="130"/>
      <c r="O8" s="130"/>
      <c r="P8" s="130"/>
      <c r="Q8" s="130"/>
      <c r="R8" s="130"/>
      <c r="X8" s="197"/>
      <c r="Y8" s="198"/>
      <c r="Z8" s="198"/>
      <c r="AA8" s="198"/>
      <c r="AB8" s="198"/>
      <c r="AC8" s="198"/>
      <c r="AD8" s="198"/>
      <c r="AE8" s="198"/>
      <c r="AF8" s="198"/>
      <c r="AG8" s="198"/>
      <c r="AH8" s="199"/>
    </row>
    <row r="9" spans="1:34" ht="14.25" customHeight="1">
      <c r="A9" s="145"/>
      <c r="B9" s="24"/>
      <c r="C9" s="25" t="s">
        <v>17</v>
      </c>
      <c r="D9" s="26" t="s">
        <v>42</v>
      </c>
      <c r="E9" s="27" t="s">
        <v>19</v>
      </c>
      <c r="F9" s="28" t="s">
        <v>20</v>
      </c>
      <c r="G9" s="145"/>
      <c r="H9" s="145"/>
      <c r="J9" s="154"/>
      <c r="K9" s="155"/>
      <c r="L9" s="155"/>
      <c r="M9" s="156"/>
      <c r="N9" s="130"/>
      <c r="O9" s="130"/>
      <c r="P9" s="130"/>
      <c r="Q9" s="130"/>
      <c r="R9" s="131"/>
      <c r="X9" s="197"/>
      <c r="Y9" s="198"/>
      <c r="Z9" s="198"/>
      <c r="AA9" s="198"/>
      <c r="AB9" s="198"/>
      <c r="AC9" s="198"/>
      <c r="AD9" s="198"/>
      <c r="AE9" s="198"/>
      <c r="AF9" s="198"/>
      <c r="AG9" s="198"/>
      <c r="AH9" s="199"/>
    </row>
    <row r="10" spans="1:34" ht="14.25" customHeight="1">
      <c r="A10" s="145"/>
      <c r="B10" s="29" t="s">
        <v>0</v>
      </c>
      <c r="C10" s="22">
        <v>5530</v>
      </c>
      <c r="D10" s="19">
        <v>85715</v>
      </c>
      <c r="E10" s="33">
        <v>37448.5</v>
      </c>
      <c r="F10" s="34">
        <v>24055.499999999996</v>
      </c>
      <c r="G10" s="145"/>
      <c r="H10" s="145"/>
      <c r="J10" s="154"/>
      <c r="K10" s="155"/>
      <c r="L10" s="155"/>
      <c r="M10" s="156"/>
      <c r="N10" s="130"/>
      <c r="O10" s="130"/>
      <c r="P10" s="130"/>
      <c r="Q10" s="130"/>
      <c r="R10" s="131"/>
      <c r="X10" s="197"/>
      <c r="Y10" s="198"/>
      <c r="Z10" s="198"/>
      <c r="AA10" s="198"/>
      <c r="AB10" s="198"/>
      <c r="AC10" s="198"/>
      <c r="AD10" s="198"/>
      <c r="AE10" s="198"/>
      <c r="AF10" s="198"/>
      <c r="AG10" s="198"/>
      <c r="AH10" s="199"/>
    </row>
    <row r="11" spans="1:34" ht="14.25" customHeight="1" thickBot="1">
      <c r="A11" s="145"/>
      <c r="B11" s="5" t="s">
        <v>22</v>
      </c>
      <c r="C11" s="22">
        <v>3120</v>
      </c>
      <c r="D11" s="19">
        <v>48360</v>
      </c>
      <c r="E11" s="33">
        <v>23591</v>
      </c>
      <c r="F11" s="34">
        <v>13571.999999999998</v>
      </c>
      <c r="G11" s="145"/>
      <c r="H11" s="145"/>
      <c r="J11" s="157"/>
      <c r="K11" s="279" t="s">
        <v>44</v>
      </c>
      <c r="L11" s="279"/>
      <c r="M11" s="158">
        <f>SUM(D10:D21)/SUM(C10:C21)</f>
        <v>15.5</v>
      </c>
      <c r="N11" s="130"/>
      <c r="O11" s="130"/>
      <c r="P11" s="130"/>
      <c r="Q11" s="130"/>
      <c r="R11" s="131"/>
      <c r="X11" s="197"/>
      <c r="Y11" s="198"/>
      <c r="Z11" s="198"/>
      <c r="AA11" s="198"/>
      <c r="AB11" s="198"/>
      <c r="AC11" s="198"/>
      <c r="AD11" s="198"/>
      <c r="AE11" s="198"/>
      <c r="AF11" s="198"/>
      <c r="AG11" s="198"/>
      <c r="AH11" s="199"/>
    </row>
    <row r="12" spans="1:34" ht="14.25" customHeight="1" thickBot="1">
      <c r="A12" s="145"/>
      <c r="B12" s="5" t="s">
        <v>3</v>
      </c>
      <c r="C12" s="22">
        <v>5390</v>
      </c>
      <c r="D12" s="19">
        <v>83545</v>
      </c>
      <c r="E12" s="33">
        <v>36643.5</v>
      </c>
      <c r="F12" s="34">
        <v>23446.499999999996</v>
      </c>
      <c r="G12" s="145"/>
      <c r="H12" s="145"/>
      <c r="J12" s="130"/>
      <c r="K12" s="130"/>
      <c r="L12" s="130"/>
      <c r="M12" s="130"/>
      <c r="N12" s="130"/>
      <c r="O12" s="130"/>
      <c r="P12" s="130"/>
      <c r="Q12" s="130"/>
      <c r="R12" s="130"/>
      <c r="X12" s="197"/>
      <c r="Y12" s="198"/>
      <c r="Z12" s="198"/>
      <c r="AA12" s="198"/>
      <c r="AB12" s="198"/>
      <c r="AC12" s="198"/>
      <c r="AD12" s="198"/>
      <c r="AE12" s="198"/>
      <c r="AF12" s="198"/>
      <c r="AG12" s="198"/>
      <c r="AH12" s="199"/>
    </row>
    <row r="13" spans="1:34" ht="14.25" customHeight="1" thickBot="1">
      <c r="A13" s="145"/>
      <c r="B13" s="5" t="s">
        <v>5</v>
      </c>
      <c r="C13" s="22">
        <v>4460</v>
      </c>
      <c r="D13" s="19">
        <v>69130</v>
      </c>
      <c r="E13" s="33">
        <v>31296</v>
      </c>
      <c r="F13" s="34">
        <v>19401</v>
      </c>
      <c r="G13" s="145"/>
      <c r="H13" s="145"/>
      <c r="J13" s="266" t="s">
        <v>91</v>
      </c>
      <c r="K13" s="271"/>
      <c r="L13" s="271"/>
      <c r="M13" s="271"/>
      <c r="N13" s="271"/>
      <c r="O13" s="271"/>
      <c r="P13" s="271"/>
      <c r="Q13" s="267"/>
      <c r="R13" s="130"/>
      <c r="X13" s="197"/>
      <c r="Y13" s="198"/>
      <c r="Z13" s="198"/>
      <c r="AA13" s="198"/>
      <c r="AB13" s="198"/>
      <c r="AC13" s="198"/>
      <c r="AD13" s="198"/>
      <c r="AE13" s="198"/>
      <c r="AF13" s="198"/>
      <c r="AG13" s="198"/>
      <c r="AH13" s="199"/>
    </row>
    <row r="14" spans="1:34" ht="14.25" customHeight="1">
      <c r="A14" s="145"/>
      <c r="B14" s="5" t="s">
        <v>6</v>
      </c>
      <c r="C14" s="22">
        <v>3450</v>
      </c>
      <c r="D14" s="19">
        <v>53475</v>
      </c>
      <c r="E14" s="33">
        <v>25488.5</v>
      </c>
      <c r="F14" s="34">
        <v>15007.499999999998</v>
      </c>
      <c r="G14" s="145"/>
      <c r="H14" s="145"/>
      <c r="J14" s="208" t="s">
        <v>173</v>
      </c>
      <c r="K14" s="155"/>
      <c r="L14" s="155"/>
      <c r="M14" s="155"/>
      <c r="N14" s="155"/>
      <c r="O14" s="155"/>
      <c r="P14" s="155"/>
      <c r="Q14" s="156"/>
      <c r="R14" s="130"/>
      <c r="X14" s="197"/>
      <c r="Y14" s="198"/>
      <c r="Z14" s="198"/>
      <c r="AA14" s="198"/>
      <c r="AB14" s="198"/>
      <c r="AC14" s="198"/>
      <c r="AD14" s="198"/>
      <c r="AE14" s="198"/>
      <c r="AF14" s="198"/>
      <c r="AG14" s="198"/>
      <c r="AH14" s="199"/>
    </row>
    <row r="15" spans="1:34" ht="14.25" customHeight="1">
      <c r="A15" s="145"/>
      <c r="B15" s="5" t="s">
        <v>7</v>
      </c>
      <c r="C15" s="22">
        <v>4120</v>
      </c>
      <c r="D15" s="19">
        <v>63860</v>
      </c>
      <c r="E15" s="33">
        <v>29341</v>
      </c>
      <c r="F15" s="34">
        <v>17922</v>
      </c>
      <c r="G15" s="145"/>
      <c r="H15" s="145"/>
      <c r="J15" s="208" t="s">
        <v>174</v>
      </c>
      <c r="K15" s="155"/>
      <c r="L15" s="159"/>
      <c r="M15" s="155"/>
      <c r="N15" s="155"/>
      <c r="O15" s="155"/>
      <c r="P15" s="155"/>
      <c r="Q15" s="156"/>
      <c r="R15" s="130"/>
      <c r="X15" s="197"/>
      <c r="Y15" s="198"/>
      <c r="Z15" s="198"/>
      <c r="AA15" s="198"/>
      <c r="AB15" s="198"/>
      <c r="AC15" s="198"/>
      <c r="AD15" s="198"/>
      <c r="AE15" s="198"/>
      <c r="AF15" s="198"/>
      <c r="AG15" s="198"/>
      <c r="AH15" s="199"/>
    </row>
    <row r="16" spans="1:34" ht="14.25" customHeight="1">
      <c r="A16" s="145"/>
      <c r="B16" s="5" t="s">
        <v>8</v>
      </c>
      <c r="C16" s="22">
        <v>4060</v>
      </c>
      <c r="D16" s="19">
        <v>62930</v>
      </c>
      <c r="E16" s="33">
        <v>28996</v>
      </c>
      <c r="F16" s="34">
        <v>17661</v>
      </c>
      <c r="G16" s="145"/>
      <c r="H16" s="145"/>
      <c r="J16" s="208" t="s">
        <v>175</v>
      </c>
      <c r="K16" s="155">
        <v>12</v>
      </c>
      <c r="L16" s="159"/>
      <c r="M16" s="155"/>
      <c r="N16" s="155"/>
      <c r="O16" s="155"/>
      <c r="P16" s="155"/>
      <c r="Q16" s="156"/>
      <c r="R16" s="130"/>
      <c r="X16" s="197"/>
      <c r="Y16" s="198"/>
      <c r="Z16" s="198"/>
      <c r="AA16" s="198"/>
      <c r="AB16" s="198"/>
      <c r="AC16" s="198"/>
      <c r="AD16" s="198"/>
      <c r="AE16" s="198"/>
      <c r="AF16" s="198"/>
      <c r="AG16" s="198"/>
      <c r="AH16" s="199"/>
    </row>
    <row r="17" spans="1:34" ht="14.25" customHeight="1">
      <c r="A17" s="145"/>
      <c r="B17" s="5" t="s">
        <v>25</v>
      </c>
      <c r="C17" s="22">
        <v>3210</v>
      </c>
      <c r="D17" s="19">
        <v>49755</v>
      </c>
      <c r="E17" s="33">
        <v>24108.5</v>
      </c>
      <c r="F17" s="34">
        <v>13963.499999999998</v>
      </c>
      <c r="G17" s="145"/>
      <c r="H17" s="145"/>
      <c r="J17" s="154"/>
      <c r="K17" s="155"/>
      <c r="L17" s="159"/>
      <c r="M17" s="155"/>
      <c r="N17" s="155"/>
      <c r="O17" s="155"/>
      <c r="P17" s="155"/>
      <c r="Q17" s="156"/>
      <c r="R17" s="130"/>
      <c r="X17" s="197"/>
      <c r="Y17" s="198"/>
      <c r="Z17" s="198"/>
      <c r="AA17" s="198"/>
      <c r="AB17" s="198"/>
      <c r="AC17" s="198"/>
      <c r="AD17" s="198"/>
      <c r="AE17" s="198"/>
      <c r="AF17" s="198"/>
      <c r="AG17" s="198"/>
      <c r="AH17" s="199"/>
    </row>
    <row r="18" spans="1:34" ht="14.25" customHeight="1">
      <c r="A18" s="145"/>
      <c r="B18" s="5" t="s">
        <v>11</v>
      </c>
      <c r="C18" s="22">
        <v>3850</v>
      </c>
      <c r="D18" s="19">
        <v>59675</v>
      </c>
      <c r="E18" s="33">
        <v>27788.5</v>
      </c>
      <c r="F18" s="34">
        <v>16747.5</v>
      </c>
      <c r="G18" s="145"/>
      <c r="H18" s="145"/>
      <c r="J18" s="208" t="s">
        <v>176</v>
      </c>
      <c r="K18" s="209">
        <f>SUM(C10:C21)</f>
        <v>49470</v>
      </c>
      <c r="L18" s="159"/>
      <c r="M18" s="155"/>
      <c r="N18" s="155"/>
      <c r="O18" s="155"/>
      <c r="P18" s="155"/>
      <c r="Q18" s="156"/>
      <c r="R18" s="130"/>
      <c r="X18" s="197"/>
      <c r="Y18" s="198"/>
      <c r="Z18" s="198"/>
      <c r="AA18" s="198"/>
      <c r="AB18" s="198"/>
      <c r="AC18" s="198"/>
      <c r="AD18" s="198"/>
      <c r="AE18" s="198"/>
      <c r="AF18" s="198"/>
      <c r="AG18" s="198"/>
      <c r="AH18" s="199"/>
    </row>
    <row r="19" spans="1:34" ht="14.25" customHeight="1">
      <c r="A19" s="145"/>
      <c r="B19" s="5" t="s">
        <v>15</v>
      </c>
      <c r="C19" s="22">
        <v>4520</v>
      </c>
      <c r="D19" s="19">
        <v>70060</v>
      </c>
      <c r="E19" s="33">
        <v>31641</v>
      </c>
      <c r="F19" s="34">
        <v>19662</v>
      </c>
      <c r="G19" s="145"/>
      <c r="H19" s="145"/>
      <c r="J19" s="208" t="s">
        <v>177</v>
      </c>
      <c r="K19" s="210">
        <f>SUM(E10:E21)</f>
        <v>352264.5</v>
      </c>
      <c r="L19" s="159"/>
      <c r="M19" s="155"/>
      <c r="N19" s="155"/>
      <c r="O19" s="155"/>
      <c r="P19" s="155"/>
      <c r="Q19" s="156"/>
      <c r="R19" s="130"/>
      <c r="X19" s="197"/>
      <c r="Y19" s="198"/>
      <c r="Z19" s="198"/>
      <c r="AA19" s="198"/>
      <c r="AB19" s="198"/>
      <c r="AC19" s="198"/>
      <c r="AD19" s="198"/>
      <c r="AE19" s="198"/>
      <c r="AF19" s="198"/>
      <c r="AG19" s="198"/>
      <c r="AH19" s="199"/>
    </row>
    <row r="20" spans="1:34" ht="14.25" customHeight="1">
      <c r="A20" s="145"/>
      <c r="B20" s="5" t="s">
        <v>16</v>
      </c>
      <c r="C20" s="22">
        <v>4490</v>
      </c>
      <c r="D20" s="19">
        <v>69595</v>
      </c>
      <c r="E20" s="33">
        <v>31468.5</v>
      </c>
      <c r="F20" s="34">
        <v>19531.5</v>
      </c>
      <c r="G20" s="145"/>
      <c r="H20" s="145"/>
      <c r="J20" s="208" t="s">
        <v>178</v>
      </c>
      <c r="K20" s="155">
        <f>SUMPRODUCT(C10:C21,E10:E21)</f>
        <v>1492974595</v>
      </c>
      <c r="L20" s="159"/>
      <c r="M20" s="155"/>
      <c r="N20" s="155"/>
      <c r="O20" s="155"/>
      <c r="P20" s="155"/>
      <c r="Q20" s="156"/>
      <c r="R20" s="130"/>
      <c r="X20" s="197"/>
      <c r="Y20" s="198"/>
      <c r="Z20" s="198"/>
      <c r="AA20" s="198"/>
      <c r="AB20" s="198"/>
      <c r="AC20" s="198"/>
      <c r="AD20" s="198"/>
      <c r="AE20" s="198"/>
      <c r="AF20" s="198"/>
      <c r="AG20" s="198"/>
      <c r="AH20" s="199"/>
    </row>
    <row r="21" spans="1:34" ht="14.25" customHeight="1" thickBot="1">
      <c r="A21" s="145"/>
      <c r="B21" s="30" t="s">
        <v>152</v>
      </c>
      <c r="C21" s="31">
        <v>3270</v>
      </c>
      <c r="D21" s="35">
        <v>50685</v>
      </c>
      <c r="E21" s="36">
        <v>24453.5</v>
      </c>
      <c r="F21" s="37">
        <v>14224.499999999998</v>
      </c>
      <c r="G21" s="145"/>
      <c r="H21" s="145"/>
      <c r="J21" s="208" t="s">
        <v>179</v>
      </c>
      <c r="K21" s="155">
        <f>SUMSQ(C10:C21)</f>
        <v>211029500</v>
      </c>
      <c r="L21" s="159"/>
      <c r="M21" s="155"/>
      <c r="N21" s="155"/>
      <c r="O21" s="155"/>
      <c r="P21" s="155"/>
      <c r="Q21" s="156"/>
      <c r="R21" s="130"/>
      <c r="X21" s="197"/>
      <c r="Y21" s="198"/>
      <c r="Z21" s="198"/>
      <c r="AA21" s="198"/>
      <c r="AB21" s="198"/>
      <c r="AC21" s="198"/>
      <c r="AD21" s="198"/>
      <c r="AE21" s="198"/>
      <c r="AF21" s="198"/>
      <c r="AG21" s="198"/>
      <c r="AH21" s="199"/>
    </row>
    <row r="22" spans="1:34" ht="14.25" customHeight="1">
      <c r="A22" s="145"/>
      <c r="B22" s="10"/>
      <c r="C22" s="10"/>
      <c r="D22" s="11"/>
      <c r="E22" s="11"/>
      <c r="F22" s="145"/>
      <c r="G22" s="145"/>
      <c r="H22" s="145"/>
      <c r="J22" s="196"/>
      <c r="K22" s="155"/>
      <c r="L22" s="159"/>
      <c r="M22" s="155"/>
      <c r="N22" s="155"/>
      <c r="O22" s="155"/>
      <c r="P22" s="155"/>
      <c r="Q22" s="156"/>
      <c r="R22" s="130"/>
      <c r="X22" s="197"/>
      <c r="Y22" s="198"/>
      <c r="Z22" s="198"/>
      <c r="AA22" s="198"/>
      <c r="AB22" s="198"/>
      <c r="AC22" s="198"/>
      <c r="AD22" s="198"/>
      <c r="AE22" s="198"/>
      <c r="AF22" s="198"/>
      <c r="AG22" s="198"/>
      <c r="AH22" s="199"/>
    </row>
    <row r="23" spans="1:34" ht="14.25" customHeight="1">
      <c r="A23" s="145"/>
      <c r="B23" s="264" t="s">
        <v>160</v>
      </c>
      <c r="C23" s="264"/>
      <c r="D23" s="264"/>
      <c r="E23" s="264"/>
      <c r="F23" s="264"/>
      <c r="G23" s="145"/>
      <c r="H23" s="145"/>
      <c r="J23" s="208" t="s">
        <v>181</v>
      </c>
      <c r="K23" s="155"/>
      <c r="L23" s="159"/>
      <c r="M23" s="210"/>
      <c r="N23" s="210">
        <f xml:space="preserve"> (K16*K20-K18*K19)/(K16*K21-K18^2)</f>
        <v>5.75</v>
      </c>
      <c r="O23" s="155"/>
      <c r="P23" s="155"/>
      <c r="Q23" s="156"/>
      <c r="R23" s="130"/>
      <c r="X23" s="197"/>
      <c r="Y23" s="198"/>
      <c r="Z23" s="198"/>
      <c r="AA23" s="198"/>
      <c r="AB23" s="198"/>
      <c r="AC23" s="198"/>
      <c r="AD23" s="198"/>
      <c r="AE23" s="198"/>
      <c r="AF23" s="198"/>
      <c r="AG23" s="198"/>
      <c r="AH23" s="199"/>
    </row>
    <row r="24" spans="1:34" ht="14.25" customHeight="1">
      <c r="A24" s="145"/>
      <c r="B24" s="264" t="s">
        <v>153</v>
      </c>
      <c r="C24" s="264"/>
      <c r="D24" s="264"/>
      <c r="E24" s="264"/>
      <c r="F24" s="264"/>
      <c r="G24" s="145"/>
      <c r="H24" s="145"/>
      <c r="J24" s="196"/>
      <c r="K24" s="155"/>
      <c r="L24" s="159"/>
      <c r="M24" s="155"/>
      <c r="N24" s="155"/>
      <c r="O24" s="155"/>
      <c r="P24" s="155"/>
      <c r="Q24" s="156"/>
      <c r="R24" s="130"/>
      <c r="X24" s="197"/>
      <c r="Y24" s="198"/>
      <c r="Z24" s="198"/>
      <c r="AA24" s="198"/>
      <c r="AB24" s="198"/>
      <c r="AC24" s="198"/>
      <c r="AD24" s="198"/>
      <c r="AE24" s="198"/>
      <c r="AF24" s="198"/>
      <c r="AG24" s="198"/>
      <c r="AH24" s="199"/>
    </row>
    <row r="25" spans="1:34" ht="14.25" customHeight="1">
      <c r="A25" s="145"/>
      <c r="B25" s="145"/>
      <c r="C25" s="145"/>
      <c r="D25" s="145"/>
      <c r="E25" s="145"/>
      <c r="F25" s="145"/>
      <c r="G25" s="145"/>
      <c r="H25" s="145"/>
      <c r="J25" s="208" t="s">
        <v>180</v>
      </c>
      <c r="K25" s="155"/>
      <c r="L25" s="211">
        <f xml:space="preserve"> K19/K16 - N23*K18/K16</f>
        <v>5651</v>
      </c>
      <c r="M25" s="212" t="s">
        <v>182</v>
      </c>
      <c r="N25" s="155"/>
      <c r="O25" s="155"/>
      <c r="P25" s="155"/>
      <c r="Q25" s="156"/>
      <c r="R25" s="130"/>
      <c r="X25" s="197"/>
      <c r="Y25" s="198"/>
      <c r="Z25" s="198"/>
      <c r="AA25" s="198"/>
      <c r="AB25" s="198"/>
      <c r="AC25" s="198"/>
      <c r="AD25" s="198"/>
      <c r="AE25" s="198"/>
      <c r="AF25" s="198"/>
      <c r="AG25" s="198"/>
      <c r="AH25" s="199"/>
    </row>
    <row r="26" spans="1:34" ht="14.25" customHeight="1">
      <c r="A26" s="260" t="s">
        <v>28</v>
      </c>
      <c r="B26" s="259"/>
      <c r="C26" s="259"/>
      <c r="D26" s="259"/>
      <c r="E26" s="259"/>
      <c r="F26" s="259"/>
      <c r="G26" s="259"/>
      <c r="H26" s="259"/>
      <c r="J26" s="154"/>
      <c r="K26" s="155"/>
      <c r="L26" s="159"/>
      <c r="M26" s="155"/>
      <c r="N26" s="155"/>
      <c r="O26" s="155"/>
      <c r="P26" s="155"/>
      <c r="Q26" s="156"/>
      <c r="R26" s="130"/>
      <c r="X26" s="197"/>
      <c r="Y26" s="198"/>
      <c r="Z26" s="198"/>
      <c r="AA26" s="198"/>
      <c r="AB26" s="198"/>
      <c r="AC26" s="198"/>
      <c r="AD26" s="198"/>
      <c r="AE26" s="198"/>
      <c r="AF26" s="198"/>
      <c r="AG26" s="198"/>
      <c r="AH26" s="199"/>
    </row>
    <row r="27" spans="1:34" ht="14.25" customHeight="1">
      <c r="A27" s="146"/>
      <c r="B27" s="145"/>
      <c r="C27" s="145"/>
      <c r="D27" s="145"/>
      <c r="E27" s="145"/>
      <c r="F27" s="145"/>
      <c r="G27" s="145"/>
      <c r="H27" s="145"/>
      <c r="J27" s="154"/>
      <c r="K27" s="155"/>
      <c r="L27" s="159"/>
      <c r="M27" s="155"/>
      <c r="N27" s="155"/>
      <c r="O27" s="155"/>
      <c r="P27" s="155"/>
      <c r="Q27" s="156"/>
      <c r="R27" s="130"/>
      <c r="X27" s="197"/>
      <c r="Y27" s="198"/>
      <c r="Z27" s="198"/>
      <c r="AA27" s="198"/>
      <c r="AB27" s="198"/>
      <c r="AC27" s="198"/>
      <c r="AD27" s="198"/>
      <c r="AE27" s="198"/>
      <c r="AF27" s="198"/>
      <c r="AG27" s="198"/>
      <c r="AH27" s="199"/>
    </row>
    <row r="28" spans="1:34" ht="14.25" customHeight="1">
      <c r="A28" s="264" t="s">
        <v>82</v>
      </c>
      <c r="B28" s="264"/>
      <c r="C28" s="264"/>
      <c r="D28" s="264"/>
      <c r="E28" s="264"/>
      <c r="F28" s="264"/>
      <c r="G28" s="264"/>
      <c r="H28" s="264"/>
      <c r="J28" s="160"/>
      <c r="K28" s="161"/>
      <c r="L28" s="161"/>
      <c r="M28" s="161"/>
      <c r="N28" s="155"/>
      <c r="O28" s="155"/>
      <c r="P28" s="155"/>
      <c r="Q28" s="156"/>
      <c r="R28" s="130"/>
      <c r="X28" s="197"/>
      <c r="Y28" s="198"/>
      <c r="Z28" s="198"/>
      <c r="AA28" s="198"/>
      <c r="AB28" s="198"/>
      <c r="AC28" s="198"/>
      <c r="AD28" s="198"/>
      <c r="AE28" s="198"/>
      <c r="AF28" s="198"/>
      <c r="AG28" s="198"/>
      <c r="AH28" s="199"/>
    </row>
    <row r="29" spans="1:34" ht="15" customHeight="1">
      <c r="A29" s="261" t="s">
        <v>84</v>
      </c>
      <c r="B29" s="262"/>
      <c r="C29" s="262"/>
      <c r="D29" s="262"/>
      <c r="E29" s="262"/>
      <c r="F29" s="262"/>
      <c r="G29" s="262"/>
      <c r="H29" s="262"/>
      <c r="J29" s="162"/>
      <c r="K29" s="163"/>
      <c r="L29" s="164"/>
      <c r="M29" s="163"/>
      <c r="N29" s="164"/>
      <c r="O29" s="164"/>
      <c r="P29" s="164"/>
      <c r="Q29" s="165"/>
      <c r="R29" s="130"/>
      <c r="X29" s="197"/>
      <c r="Y29" s="198"/>
      <c r="Z29" s="198"/>
      <c r="AA29" s="198"/>
      <c r="AB29" s="198"/>
      <c r="AC29" s="198"/>
      <c r="AD29" s="198"/>
      <c r="AE29" s="198"/>
      <c r="AF29" s="198"/>
      <c r="AG29" s="198"/>
      <c r="AH29" s="199"/>
    </row>
    <row r="30" spans="1:34" ht="15" customHeight="1">
      <c r="A30" s="261" t="s">
        <v>85</v>
      </c>
      <c r="B30" s="262"/>
      <c r="C30" s="262"/>
      <c r="D30" s="262"/>
      <c r="E30" s="262"/>
      <c r="F30" s="262"/>
      <c r="G30" s="262"/>
      <c r="H30" s="262"/>
      <c r="J30" s="162"/>
      <c r="K30" s="163"/>
      <c r="L30" s="164"/>
      <c r="M30" s="163"/>
      <c r="N30" s="164"/>
      <c r="O30" s="164"/>
      <c r="P30" s="164"/>
      <c r="Q30" s="165"/>
      <c r="R30" s="130"/>
      <c r="X30" s="197"/>
      <c r="Y30" s="198"/>
      <c r="Z30" s="198"/>
      <c r="AA30" s="198"/>
      <c r="AB30" s="198"/>
      <c r="AC30" s="198"/>
      <c r="AD30" s="198"/>
      <c r="AE30" s="198"/>
      <c r="AF30" s="198"/>
      <c r="AG30" s="198"/>
      <c r="AH30" s="199"/>
    </row>
    <row r="31" spans="1:34" thickBot="1">
      <c r="A31" s="265" t="s">
        <v>86</v>
      </c>
      <c r="B31" s="265"/>
      <c r="C31" s="265"/>
      <c r="D31" s="265"/>
      <c r="E31" s="265"/>
      <c r="F31" s="265"/>
      <c r="G31" s="265"/>
      <c r="H31" s="265"/>
      <c r="J31" s="166" t="s">
        <v>96</v>
      </c>
      <c r="K31" s="167">
        <f>N23</f>
        <v>5.75</v>
      </c>
      <c r="L31" s="168" t="s">
        <v>97</v>
      </c>
      <c r="M31" s="169">
        <f>L25*12</f>
        <v>67812</v>
      </c>
      <c r="N31" s="220" t="s">
        <v>195</v>
      </c>
      <c r="O31" s="170"/>
      <c r="P31" s="170"/>
      <c r="Q31" s="171"/>
      <c r="R31" s="130"/>
      <c r="X31" s="197"/>
      <c r="Y31" s="198"/>
      <c r="Z31" s="198"/>
      <c r="AA31" s="198"/>
      <c r="AB31" s="198"/>
      <c r="AC31" s="198"/>
      <c r="AD31" s="198"/>
      <c r="AE31" s="198"/>
      <c r="AF31" s="198"/>
      <c r="AG31" s="198"/>
      <c r="AH31" s="199"/>
    </row>
    <row r="32" spans="1:34" thickBot="1">
      <c r="A32" s="148"/>
      <c r="B32" s="148"/>
      <c r="C32" s="148"/>
      <c r="D32" s="148"/>
      <c r="E32" s="148"/>
      <c r="F32" s="148"/>
      <c r="G32" s="148"/>
      <c r="H32" s="148"/>
      <c r="J32" s="130"/>
      <c r="K32" s="130"/>
      <c r="L32" s="130"/>
      <c r="M32" s="130"/>
      <c r="N32" s="130"/>
      <c r="O32" s="130"/>
      <c r="P32" s="130"/>
      <c r="Q32" s="130"/>
      <c r="R32" s="130"/>
      <c r="X32" s="197"/>
      <c r="Y32" s="198"/>
      <c r="Z32" s="198"/>
      <c r="AA32" s="198"/>
      <c r="AB32" s="198"/>
      <c r="AC32" s="198"/>
      <c r="AD32" s="198"/>
      <c r="AE32" s="198"/>
      <c r="AF32" s="198"/>
      <c r="AG32" s="198"/>
      <c r="AH32" s="199"/>
    </row>
    <row r="33" spans="1:34" thickBot="1">
      <c r="A33" s="265" t="s">
        <v>75</v>
      </c>
      <c r="B33" s="265"/>
      <c r="C33" s="265"/>
      <c r="D33" s="265"/>
      <c r="E33" s="265"/>
      <c r="F33" s="265"/>
      <c r="G33" s="265"/>
      <c r="H33" s="265"/>
      <c r="J33" s="266" t="s">
        <v>92</v>
      </c>
      <c r="K33" s="271"/>
      <c r="L33" s="271"/>
      <c r="M33" s="267"/>
      <c r="N33" s="295" t="s">
        <v>93</v>
      </c>
      <c r="O33" s="296"/>
      <c r="P33" s="296"/>
      <c r="Q33" s="297"/>
      <c r="R33" s="130"/>
      <c r="X33" s="197"/>
      <c r="Y33" s="198"/>
      <c r="Z33" s="198"/>
      <c r="AA33" s="198"/>
      <c r="AB33" s="198"/>
      <c r="AC33" s="198"/>
      <c r="AD33" s="198"/>
      <c r="AE33" s="198"/>
      <c r="AF33" s="198"/>
      <c r="AG33" s="198"/>
      <c r="AH33" s="199"/>
    </row>
    <row r="34" spans="1:34" ht="14.5">
      <c r="A34" s="265" t="s">
        <v>87</v>
      </c>
      <c r="B34" s="265"/>
      <c r="C34" s="265"/>
      <c r="D34" s="265"/>
      <c r="E34" s="265"/>
      <c r="F34" s="265"/>
      <c r="G34" s="265"/>
      <c r="H34" s="265"/>
      <c r="J34" s="208" t="s">
        <v>183</v>
      </c>
      <c r="K34" s="210">
        <f>MAX(F10:F21)</f>
        <v>24055.499999999996</v>
      </c>
      <c r="L34" s="155"/>
      <c r="M34" s="156"/>
      <c r="N34" s="215" t="s">
        <v>192</v>
      </c>
      <c r="O34" s="175">
        <f>2.21</f>
        <v>2.21</v>
      </c>
      <c r="P34" s="219" t="s">
        <v>196</v>
      </c>
      <c r="Q34" s="177"/>
      <c r="R34" s="130"/>
      <c r="X34" s="197"/>
      <c r="Y34" s="198"/>
      <c r="Z34" s="198"/>
      <c r="AA34" s="198"/>
      <c r="AB34" s="198"/>
      <c r="AC34" s="198"/>
      <c r="AD34" s="198"/>
      <c r="AE34" s="198"/>
      <c r="AF34" s="198"/>
      <c r="AG34" s="198"/>
      <c r="AH34" s="199"/>
    </row>
    <row r="35" spans="1:34" ht="14.5">
      <c r="A35" s="265" t="s">
        <v>88</v>
      </c>
      <c r="B35" s="265"/>
      <c r="C35" s="265"/>
      <c r="D35" s="265"/>
      <c r="E35" s="265"/>
      <c r="F35" s="265"/>
      <c r="G35" s="265"/>
      <c r="H35" s="265"/>
      <c r="J35" s="208" t="s">
        <v>184</v>
      </c>
      <c r="K35" s="210">
        <f>MIN(F10:F21)</f>
        <v>13571.999999999998</v>
      </c>
      <c r="L35" s="155"/>
      <c r="M35" s="156"/>
      <c r="N35" s="208" t="s">
        <v>188</v>
      </c>
      <c r="O35" s="216">
        <f>SUM(C10:C21)</f>
        <v>49470</v>
      </c>
      <c r="P35" s="155"/>
      <c r="Q35" s="156"/>
      <c r="R35" s="130"/>
      <c r="X35" s="197"/>
      <c r="Y35" s="198"/>
      <c r="Z35" s="198"/>
      <c r="AA35" s="198"/>
      <c r="AB35" s="198"/>
      <c r="AC35" s="198"/>
      <c r="AD35" s="198"/>
      <c r="AE35" s="198"/>
      <c r="AF35" s="198"/>
      <c r="AG35" s="198"/>
      <c r="AH35" s="199"/>
    </row>
    <row r="36" spans="1:34" ht="14.5">
      <c r="A36" s="265" t="s">
        <v>89</v>
      </c>
      <c r="B36" s="265"/>
      <c r="C36" s="265"/>
      <c r="D36" s="265"/>
      <c r="E36" s="265"/>
      <c r="F36" s="265"/>
      <c r="G36" s="265"/>
      <c r="H36" s="265"/>
      <c r="J36" s="208" t="s">
        <v>185</v>
      </c>
      <c r="K36" s="209">
        <f>MAX(C10:C21)</f>
        <v>5530</v>
      </c>
      <c r="L36" s="214"/>
      <c r="M36" s="156"/>
      <c r="N36" s="208" t="s">
        <v>189</v>
      </c>
      <c r="O36" s="211">
        <f>SUM(D10:D21)</f>
        <v>766785</v>
      </c>
      <c r="P36" s="155"/>
      <c r="Q36" s="156"/>
      <c r="R36" s="130"/>
      <c r="X36" s="197"/>
      <c r="Y36" s="198"/>
      <c r="Z36" s="198"/>
      <c r="AA36" s="198"/>
      <c r="AB36" s="198"/>
      <c r="AC36" s="198"/>
      <c r="AD36" s="198"/>
      <c r="AE36" s="198"/>
      <c r="AF36" s="198"/>
      <c r="AG36" s="198"/>
      <c r="AH36" s="199"/>
    </row>
    <row r="37" spans="1:34" ht="14.5">
      <c r="A37" s="265" t="s">
        <v>154</v>
      </c>
      <c r="B37" s="265"/>
      <c r="C37" s="265"/>
      <c r="D37" s="265"/>
      <c r="E37" s="265"/>
      <c r="F37" s="265"/>
      <c r="G37" s="265"/>
      <c r="H37" s="265"/>
      <c r="J37" s="208" t="s">
        <v>186</v>
      </c>
      <c r="K37" s="209">
        <f>MIN(C10:C21)</f>
        <v>3120</v>
      </c>
      <c r="L37" s="209"/>
      <c r="M37" s="156"/>
      <c r="N37" s="217" t="s">
        <v>191</v>
      </c>
      <c r="O37" s="218">
        <f>K31+M39</f>
        <v>10.1</v>
      </c>
      <c r="P37" s="212" t="s">
        <v>196</v>
      </c>
      <c r="Q37" s="156"/>
      <c r="R37" s="130"/>
      <c r="X37" s="197"/>
      <c r="Y37" s="198"/>
      <c r="Z37" s="198"/>
      <c r="AA37" s="198"/>
      <c r="AB37" s="198"/>
      <c r="AC37" s="198"/>
      <c r="AD37" s="198"/>
      <c r="AE37" s="198"/>
      <c r="AF37" s="198"/>
      <c r="AG37" s="198"/>
      <c r="AH37" s="199"/>
    </row>
    <row r="38" spans="1:34" ht="14.5">
      <c r="A38" s="147"/>
      <c r="B38" s="147"/>
      <c r="C38" s="147"/>
      <c r="D38" s="147"/>
      <c r="E38" s="147"/>
      <c r="F38" s="147"/>
      <c r="G38" s="147"/>
      <c r="H38" s="147"/>
      <c r="J38" s="208" t="s">
        <v>187</v>
      </c>
      <c r="K38" s="155"/>
      <c r="L38" s="161"/>
      <c r="M38" s="172"/>
      <c r="N38" s="208" t="s">
        <v>190</v>
      </c>
      <c r="O38" s="159">
        <f>O34*O35</f>
        <v>109328.7</v>
      </c>
      <c r="P38" s="212" t="s">
        <v>197</v>
      </c>
      <c r="Q38" s="156"/>
      <c r="R38" s="130"/>
      <c r="X38" s="197"/>
      <c r="Y38" s="198"/>
      <c r="Z38" s="198"/>
      <c r="AA38" s="198"/>
      <c r="AB38" s="198"/>
      <c r="AC38" s="198"/>
      <c r="AD38" s="198"/>
      <c r="AE38" s="198"/>
      <c r="AF38" s="198"/>
      <c r="AG38" s="198"/>
      <c r="AH38" s="199"/>
    </row>
    <row r="39" spans="1:34" thickBot="1">
      <c r="A39" s="260" t="s">
        <v>29</v>
      </c>
      <c r="B39" s="259"/>
      <c r="C39" s="259"/>
      <c r="D39" s="259"/>
      <c r="E39" s="259"/>
      <c r="F39" s="259"/>
      <c r="G39" s="259"/>
      <c r="H39" s="259"/>
      <c r="J39" s="157"/>
      <c r="K39" s="173"/>
      <c r="L39" s="168" t="s">
        <v>27</v>
      </c>
      <c r="M39" s="167">
        <f>(K34-K35)/(K36-K37)</f>
        <v>4.3499999999999996</v>
      </c>
      <c r="N39" s="208" t="s">
        <v>193</v>
      </c>
      <c r="O39" s="211">
        <f>O37*O35</f>
        <v>499647</v>
      </c>
      <c r="P39" s="161"/>
      <c r="Q39" s="172"/>
      <c r="R39" s="130"/>
      <c r="X39" s="197"/>
      <c r="Y39" s="198"/>
      <c r="Z39" s="198"/>
      <c r="AA39" s="198"/>
      <c r="AB39" s="198"/>
      <c r="AC39" s="198"/>
      <c r="AD39" s="198"/>
      <c r="AE39" s="198"/>
      <c r="AF39" s="198"/>
      <c r="AG39" s="198"/>
      <c r="AH39" s="199"/>
    </row>
    <row r="40" spans="1:34" ht="16" customHeight="1">
      <c r="A40" s="290" t="s">
        <v>77</v>
      </c>
      <c r="B40" s="290"/>
      <c r="C40" s="290"/>
      <c r="D40" s="290"/>
      <c r="E40" s="290"/>
      <c r="F40" s="290"/>
      <c r="G40" s="290"/>
      <c r="H40" s="290"/>
      <c r="J40" s="130"/>
      <c r="K40" s="130"/>
      <c r="L40" s="130"/>
      <c r="M40" s="128"/>
      <c r="N40" s="208" t="s">
        <v>194</v>
      </c>
      <c r="O40" s="211">
        <f>O36-O38-O39</f>
        <v>157809.30000000005</v>
      </c>
      <c r="P40" s="161"/>
      <c r="Q40" s="172"/>
      <c r="R40" s="130"/>
      <c r="X40" s="197"/>
      <c r="Y40" s="198"/>
      <c r="Z40" s="198"/>
      <c r="AA40" s="198"/>
      <c r="AB40" s="198"/>
      <c r="AC40" s="198"/>
      <c r="AD40" s="198"/>
      <c r="AE40" s="198"/>
      <c r="AF40" s="198"/>
      <c r="AG40" s="198"/>
      <c r="AH40" s="199"/>
    </row>
    <row r="41" spans="1:34" ht="16" customHeight="1" thickBot="1">
      <c r="A41" s="290"/>
      <c r="B41" s="290"/>
      <c r="C41" s="290"/>
      <c r="D41" s="290"/>
      <c r="E41" s="290"/>
      <c r="F41" s="290"/>
      <c r="G41" s="290"/>
      <c r="H41" s="290"/>
      <c r="J41" s="130"/>
      <c r="K41" s="130"/>
      <c r="L41" s="130"/>
      <c r="M41" s="128"/>
      <c r="N41" s="157" t="s">
        <v>32</v>
      </c>
      <c r="O41" s="169">
        <f>O40-M31</f>
        <v>89997.300000000047</v>
      </c>
      <c r="P41" s="173"/>
      <c r="Q41" s="179"/>
      <c r="R41" s="130"/>
      <c r="X41" s="197"/>
      <c r="Y41" s="198"/>
      <c r="Z41" s="198"/>
      <c r="AA41" s="198"/>
      <c r="AB41" s="198"/>
      <c r="AC41" s="198"/>
      <c r="AD41" s="198"/>
      <c r="AE41" s="198"/>
      <c r="AF41" s="198"/>
      <c r="AG41" s="198"/>
      <c r="AH41" s="199"/>
    </row>
    <row r="42" spans="1:34" ht="16" customHeight="1" thickBot="1">
      <c r="A42" s="290"/>
      <c r="B42" s="290"/>
      <c r="C42" s="290"/>
      <c r="D42" s="290"/>
      <c r="E42" s="290"/>
      <c r="F42" s="290"/>
      <c r="G42" s="290"/>
      <c r="H42" s="290"/>
      <c r="J42" s="130"/>
      <c r="K42" s="130"/>
      <c r="L42" s="130"/>
      <c r="M42" s="130"/>
      <c r="N42" s="130"/>
      <c r="O42" s="130"/>
      <c r="P42" s="130"/>
      <c r="Q42" s="130"/>
      <c r="R42" s="130"/>
      <c r="X42" s="197"/>
      <c r="Y42" s="198"/>
      <c r="Z42" s="198"/>
      <c r="AA42" s="198"/>
      <c r="AB42" s="198"/>
      <c r="AC42" s="198"/>
      <c r="AD42" s="198"/>
      <c r="AE42" s="198"/>
      <c r="AF42" s="198"/>
      <c r="AG42" s="198"/>
      <c r="AH42" s="199"/>
    </row>
    <row r="43" spans="1:34" ht="16" customHeight="1" thickBot="1">
      <c r="A43" s="290" t="s">
        <v>161</v>
      </c>
      <c r="B43" s="290"/>
      <c r="C43" s="290"/>
      <c r="D43" s="290"/>
      <c r="E43" s="290"/>
      <c r="F43" s="290"/>
      <c r="G43" s="290"/>
      <c r="H43" s="290"/>
      <c r="J43" s="266" t="s">
        <v>111</v>
      </c>
      <c r="K43" s="267"/>
      <c r="L43" s="271" t="s">
        <v>105</v>
      </c>
      <c r="M43" s="267"/>
      <c r="N43" s="266" t="s">
        <v>106</v>
      </c>
      <c r="O43" s="267"/>
      <c r="P43" s="266" t="s">
        <v>107</v>
      </c>
      <c r="Q43" s="267"/>
      <c r="R43" s="130"/>
      <c r="X43" s="197"/>
      <c r="Y43" s="198"/>
      <c r="Z43" s="198"/>
      <c r="AA43" s="198"/>
      <c r="AB43" s="198"/>
      <c r="AC43" s="198"/>
      <c r="AD43" s="198"/>
      <c r="AE43" s="198"/>
      <c r="AF43" s="198"/>
      <c r="AG43" s="198"/>
      <c r="AH43" s="199"/>
    </row>
    <row r="44" spans="1:34" ht="15" customHeight="1">
      <c r="A44" s="290"/>
      <c r="B44" s="290"/>
      <c r="C44" s="290"/>
      <c r="D44" s="290"/>
      <c r="E44" s="290"/>
      <c r="F44" s="290"/>
      <c r="G44" s="290"/>
      <c r="H44" s="290"/>
      <c r="J44" s="230" t="s">
        <v>198</v>
      </c>
      <c r="K44" s="221"/>
      <c r="L44" s="212" t="s">
        <v>200</v>
      </c>
      <c r="M44" s="222"/>
      <c r="N44" s="208" t="s">
        <v>204</v>
      </c>
      <c r="O44" s="223">
        <f>5800*12</f>
        <v>69600</v>
      </c>
      <c r="P44" s="208" t="s">
        <v>207</v>
      </c>
      <c r="Q44" s="185">
        <f>750000</f>
        <v>750000</v>
      </c>
      <c r="R44" s="130"/>
      <c r="X44" s="197"/>
      <c r="Y44" s="198"/>
      <c r="Z44" s="198"/>
      <c r="AA44" s="198"/>
      <c r="AB44" s="198"/>
      <c r="AC44" s="198"/>
      <c r="AD44" s="198"/>
      <c r="AE44" s="198"/>
      <c r="AF44" s="198"/>
      <c r="AG44" s="198"/>
      <c r="AH44" s="199"/>
    </row>
    <row r="45" spans="1:34" thickBot="1">
      <c r="A45" s="291" t="s">
        <v>112</v>
      </c>
      <c r="B45" s="291"/>
      <c r="C45" s="291"/>
      <c r="D45" s="291"/>
      <c r="E45" s="291"/>
      <c r="F45" s="291"/>
      <c r="G45" s="291"/>
      <c r="H45" s="291"/>
      <c r="J45" s="208" t="s">
        <v>199</v>
      </c>
      <c r="K45" s="172"/>
      <c r="L45" s="212" t="s">
        <v>201</v>
      </c>
      <c r="M45" s="222"/>
      <c r="N45" s="217" t="s">
        <v>205</v>
      </c>
      <c r="O45" s="186">
        <f>O44*M11</f>
        <v>1078800</v>
      </c>
      <c r="P45" s="230" t="s">
        <v>218</v>
      </c>
      <c r="Q45" s="186"/>
      <c r="R45" s="130"/>
      <c r="X45" s="200"/>
      <c r="Y45" s="201"/>
      <c r="Z45" s="201"/>
      <c r="AA45" s="201"/>
      <c r="AB45" s="201"/>
      <c r="AC45" s="201"/>
      <c r="AD45" s="201"/>
      <c r="AE45" s="201"/>
      <c r="AF45" s="201"/>
      <c r="AG45" s="201"/>
      <c r="AH45" s="202"/>
    </row>
    <row r="46" spans="1:34" thickBot="1">
      <c r="A46" s="13"/>
      <c r="B46" s="145"/>
      <c r="C46" s="145"/>
      <c r="D46" s="145"/>
      <c r="E46" s="145"/>
      <c r="F46" s="145"/>
      <c r="G46" s="145"/>
      <c r="H46" s="145"/>
      <c r="J46" s="154"/>
      <c r="K46" s="156"/>
      <c r="L46" s="155"/>
      <c r="M46" s="156"/>
      <c r="N46" s="208" t="s">
        <v>203</v>
      </c>
      <c r="O46" s="185"/>
      <c r="P46" s="154"/>
      <c r="Q46" s="172"/>
      <c r="R46" s="130"/>
    </row>
    <row r="47" spans="1:34" ht="15" customHeight="1">
      <c r="A47" s="146"/>
      <c r="B47" s="145"/>
      <c r="C47" s="280" t="s">
        <v>65</v>
      </c>
      <c r="D47" s="281"/>
      <c r="E47" s="281"/>
      <c r="F47" s="282"/>
      <c r="G47" s="145"/>
      <c r="H47" s="145"/>
      <c r="J47" s="154"/>
      <c r="K47" s="156"/>
      <c r="L47" s="155"/>
      <c r="M47" s="156"/>
      <c r="N47" s="187" t="s">
        <v>34</v>
      </c>
      <c r="O47" s="188">
        <f>O45-M52</f>
        <v>625828.86111111101</v>
      </c>
      <c r="P47" s="231"/>
      <c r="Q47" s="172"/>
      <c r="R47" s="130"/>
    </row>
    <row r="48" spans="1:34" ht="14.5">
      <c r="A48" s="146"/>
      <c r="B48" s="145"/>
      <c r="C48" s="283"/>
      <c r="D48" s="284"/>
      <c r="E48" s="284"/>
      <c r="F48" s="285"/>
      <c r="G48" s="145"/>
      <c r="H48" s="145"/>
      <c r="J48" s="180" t="s">
        <v>137</v>
      </c>
      <c r="K48" s="181">
        <f>M11-O37</f>
        <v>5.4</v>
      </c>
      <c r="L48" s="155" t="s">
        <v>99</v>
      </c>
      <c r="M48" s="183">
        <f>O40/K48</f>
        <v>29223.944444444453</v>
      </c>
      <c r="N48" s="154"/>
      <c r="O48" s="156"/>
      <c r="P48" s="231"/>
      <c r="Q48" s="172"/>
      <c r="R48" s="130"/>
    </row>
    <row r="49" spans="1:18" thickBot="1">
      <c r="A49" s="146"/>
      <c r="B49" s="145"/>
      <c r="C49" s="286"/>
      <c r="D49" s="287"/>
      <c r="E49" s="287"/>
      <c r="F49" s="288"/>
      <c r="G49" s="145"/>
      <c r="H49" s="145"/>
      <c r="J49" s="180" t="s">
        <v>41</v>
      </c>
      <c r="K49" s="182">
        <f>K48/M11</f>
        <v>0.34838709677419355</v>
      </c>
      <c r="L49" s="155"/>
      <c r="M49" s="156"/>
      <c r="N49" s="154"/>
      <c r="O49" s="185"/>
      <c r="P49" s="154"/>
      <c r="Q49" s="185"/>
      <c r="R49" s="130"/>
    </row>
    <row r="50" spans="1:18" thickBot="1">
      <c r="A50" s="146"/>
      <c r="B50" s="145"/>
      <c r="C50" s="39" t="s">
        <v>61</v>
      </c>
      <c r="D50" s="40"/>
      <c r="E50" s="40"/>
      <c r="F50" s="54">
        <v>13</v>
      </c>
      <c r="G50" s="145"/>
      <c r="H50" s="145"/>
      <c r="J50" s="157"/>
      <c r="K50" s="179"/>
      <c r="L50" s="155"/>
      <c r="M50" s="156"/>
      <c r="N50" s="208" t="s">
        <v>202</v>
      </c>
      <c r="O50" s="185"/>
      <c r="P50" s="166" t="s">
        <v>110</v>
      </c>
      <c r="Q50" s="158">
        <f>(O39+O40+Q44)/O35</f>
        <v>28.45070345664039</v>
      </c>
      <c r="R50" s="130"/>
    </row>
    <row r="51" spans="1:18" ht="14.5">
      <c r="A51" s="146"/>
      <c r="B51" s="145"/>
      <c r="C51" s="42" t="s">
        <v>62</v>
      </c>
      <c r="D51" s="43"/>
      <c r="E51" s="43"/>
      <c r="F51" s="44">
        <v>4200</v>
      </c>
      <c r="G51" s="145"/>
      <c r="H51" s="145"/>
      <c r="J51" s="130"/>
      <c r="K51" s="130"/>
      <c r="L51" s="154"/>
      <c r="M51" s="156"/>
      <c r="N51" s="187" t="s">
        <v>138</v>
      </c>
      <c r="O51" s="183">
        <f>O44-M48</f>
        <v>40376.055555555547</v>
      </c>
      <c r="P51" s="130"/>
      <c r="Q51" s="130"/>
      <c r="R51" s="130"/>
    </row>
    <row r="52" spans="1:18" thickBot="1">
      <c r="A52" s="146"/>
      <c r="B52" s="145"/>
      <c r="C52" s="42" t="s">
        <v>63</v>
      </c>
      <c r="D52" s="43"/>
      <c r="E52" s="43"/>
      <c r="F52" s="54">
        <v>4.8</v>
      </c>
      <c r="G52" s="145"/>
      <c r="H52" s="145"/>
      <c r="J52" s="130"/>
      <c r="K52" s="130"/>
      <c r="L52" s="157" t="s">
        <v>100</v>
      </c>
      <c r="M52" s="184">
        <f>M48*M11</f>
        <v>452971.13888888899</v>
      </c>
      <c r="N52" s="154"/>
      <c r="O52" s="156"/>
      <c r="P52" s="130"/>
      <c r="Q52" s="130"/>
      <c r="R52" s="130"/>
    </row>
    <row r="53" spans="1:18" ht="14.5">
      <c r="A53" s="146"/>
      <c r="B53" s="145"/>
      <c r="C53" s="42" t="s">
        <v>53</v>
      </c>
      <c r="D53" s="43"/>
      <c r="E53" s="43"/>
      <c r="F53" s="44">
        <v>14700</v>
      </c>
      <c r="G53" s="145"/>
      <c r="H53" s="145"/>
      <c r="J53" s="130"/>
      <c r="K53" s="130"/>
      <c r="L53" s="130"/>
      <c r="M53" s="130"/>
      <c r="N53" s="189"/>
      <c r="O53" s="185"/>
      <c r="P53" s="116"/>
      <c r="Q53" s="116"/>
      <c r="R53" s="130"/>
    </row>
    <row r="54" spans="1:18" ht="14.5">
      <c r="A54" s="146"/>
      <c r="B54" s="145"/>
      <c r="C54" s="42" t="s">
        <v>54</v>
      </c>
      <c r="D54" s="43"/>
      <c r="E54" s="43"/>
      <c r="F54" s="54">
        <v>4</v>
      </c>
      <c r="G54" s="145"/>
      <c r="H54" s="145"/>
      <c r="J54" s="130"/>
      <c r="K54" s="130"/>
      <c r="L54" s="130"/>
      <c r="M54" s="130"/>
      <c r="N54" s="208" t="s">
        <v>206</v>
      </c>
      <c r="O54" s="185"/>
      <c r="P54" s="116"/>
      <c r="Q54" s="133"/>
      <c r="R54" s="130"/>
    </row>
    <row r="55" spans="1:18" ht="14.5">
      <c r="A55" s="146"/>
      <c r="B55" s="145"/>
      <c r="C55" s="42" t="s">
        <v>64</v>
      </c>
      <c r="D55" s="43"/>
      <c r="E55" s="43"/>
      <c r="F55" s="54">
        <v>25</v>
      </c>
      <c r="G55" s="145"/>
      <c r="H55" s="145"/>
      <c r="J55" s="130"/>
      <c r="K55" s="130"/>
      <c r="L55" s="130"/>
      <c r="M55" s="130"/>
      <c r="N55" s="187" t="s">
        <v>35</v>
      </c>
      <c r="O55" s="190">
        <f>O47/O45</f>
        <v>0.58011574074074068</v>
      </c>
      <c r="P55" s="116"/>
      <c r="Q55" s="133"/>
      <c r="R55" s="130"/>
    </row>
    <row r="56" spans="1:18" thickBot="1">
      <c r="A56" s="146"/>
      <c r="B56" s="145"/>
      <c r="C56" s="42" t="s">
        <v>55</v>
      </c>
      <c r="D56" s="43"/>
      <c r="E56" s="43"/>
      <c r="F56" s="45">
        <v>258000</v>
      </c>
      <c r="G56" s="145"/>
      <c r="H56" s="145"/>
      <c r="J56" s="130"/>
      <c r="K56" s="130"/>
      <c r="L56" s="130"/>
      <c r="M56" s="130"/>
      <c r="N56" s="157"/>
      <c r="O56" s="179"/>
      <c r="P56" s="134"/>
      <c r="Q56" s="116"/>
      <c r="R56" s="130"/>
    </row>
    <row r="57" spans="1:18" ht="14.5">
      <c r="A57" s="146"/>
      <c r="B57" s="145"/>
      <c r="C57" s="46" t="s">
        <v>78</v>
      </c>
      <c r="D57" s="47"/>
      <c r="E57" s="47"/>
      <c r="F57" s="48">
        <v>374000</v>
      </c>
      <c r="G57" s="145"/>
      <c r="H57" s="145"/>
      <c r="J57" s="130"/>
      <c r="K57" s="130"/>
      <c r="L57" s="130"/>
      <c r="M57" s="130"/>
      <c r="N57" s="130"/>
      <c r="O57" s="130"/>
      <c r="P57" s="130"/>
      <c r="Q57" s="116"/>
      <c r="R57" s="130"/>
    </row>
    <row r="58" spans="1:18" ht="14.5">
      <c r="A58" s="146"/>
      <c r="B58" s="145"/>
      <c r="C58" s="42" t="s">
        <v>57</v>
      </c>
      <c r="D58" s="43"/>
      <c r="E58" s="43"/>
      <c r="F58" s="44">
        <v>72000</v>
      </c>
      <c r="G58" s="145"/>
      <c r="H58" s="145"/>
      <c r="J58" s="130"/>
      <c r="K58" s="130"/>
      <c r="L58" s="130"/>
      <c r="M58" s="130"/>
      <c r="N58" s="130"/>
      <c r="O58" s="130"/>
      <c r="P58" s="130"/>
      <c r="Q58" s="130"/>
      <c r="R58" s="130"/>
    </row>
    <row r="59" spans="1:18" ht="14.5">
      <c r="A59" s="146"/>
      <c r="B59" s="145"/>
      <c r="C59" s="42" t="s">
        <v>58</v>
      </c>
      <c r="D59" s="43"/>
      <c r="E59" s="43"/>
      <c r="F59" s="49">
        <v>2021</v>
      </c>
      <c r="G59" s="145"/>
      <c r="H59" s="145"/>
      <c r="J59" s="293" t="s">
        <v>29</v>
      </c>
      <c r="K59" s="293"/>
      <c r="L59" s="293"/>
      <c r="M59" s="293"/>
      <c r="N59" s="293"/>
      <c r="O59" s="293"/>
      <c r="P59" s="293"/>
      <c r="Q59" s="293"/>
      <c r="R59" s="138"/>
    </row>
    <row r="60" spans="1:18" ht="15" customHeight="1" thickBot="1">
      <c r="A60" s="38"/>
      <c r="B60" s="145"/>
      <c r="C60" s="42" t="s">
        <v>59</v>
      </c>
      <c r="D60" s="43"/>
      <c r="E60" s="43"/>
      <c r="F60" s="50">
        <v>25</v>
      </c>
      <c r="G60" s="145"/>
      <c r="H60" s="145"/>
      <c r="J60" s="130"/>
      <c r="K60" s="130"/>
      <c r="L60" s="135"/>
      <c r="M60" s="135"/>
      <c r="N60" s="135"/>
      <c r="O60" s="130"/>
      <c r="P60" s="130"/>
      <c r="Q60" s="135"/>
      <c r="R60" s="130"/>
    </row>
    <row r="61" spans="1:18" ht="15" customHeight="1" thickBot="1">
      <c r="A61" s="38"/>
      <c r="B61" s="145"/>
      <c r="C61" s="51" t="s">
        <v>60</v>
      </c>
      <c r="D61" s="52"/>
      <c r="E61" s="52"/>
      <c r="F61" s="53">
        <v>31000</v>
      </c>
      <c r="G61" s="145"/>
      <c r="H61" s="145"/>
      <c r="J61" s="266" t="s">
        <v>113</v>
      </c>
      <c r="K61" s="267"/>
      <c r="L61" s="130"/>
      <c r="M61" s="135"/>
      <c r="N61" s="135"/>
      <c r="O61" s="130"/>
      <c r="P61" s="130"/>
      <c r="Q61" s="135"/>
      <c r="R61" s="130"/>
    </row>
    <row r="62" spans="1:18" ht="15.75" customHeight="1">
      <c r="A62" s="38"/>
      <c r="B62" s="145"/>
      <c r="C62" s="145"/>
      <c r="D62" s="145"/>
      <c r="E62" s="145"/>
      <c r="F62" s="145"/>
      <c r="G62" s="145"/>
      <c r="H62" s="145"/>
      <c r="J62" s="208" t="s">
        <v>208</v>
      </c>
      <c r="K62" s="224">
        <f>F57+F58</f>
        <v>446000</v>
      </c>
      <c r="L62" s="130"/>
      <c r="M62" s="135"/>
      <c r="N62" s="135"/>
      <c r="O62" s="130"/>
      <c r="P62" s="130"/>
      <c r="Q62" s="135"/>
      <c r="R62" s="130"/>
    </row>
    <row r="63" spans="1:18" ht="15.75" customHeight="1">
      <c r="A63" s="56" t="s">
        <v>123</v>
      </c>
      <c r="B63" s="12"/>
      <c r="C63" s="12"/>
      <c r="D63" s="12"/>
      <c r="E63" s="12"/>
      <c r="F63" s="12"/>
      <c r="G63" s="12"/>
      <c r="H63" s="12"/>
      <c r="J63" s="160"/>
      <c r="K63" s="191"/>
      <c r="L63" s="130"/>
      <c r="M63" s="135"/>
      <c r="N63" s="135"/>
      <c r="O63" s="130"/>
      <c r="P63" s="130"/>
      <c r="Q63" s="135"/>
      <c r="R63" s="130"/>
    </row>
    <row r="64" spans="1:18" ht="15.75" customHeight="1">
      <c r="A64" s="251"/>
      <c r="B64" s="251"/>
      <c r="C64" s="251"/>
      <c r="D64" s="251"/>
      <c r="E64" s="251"/>
      <c r="F64" s="251"/>
      <c r="G64" s="251"/>
      <c r="H64" s="251"/>
      <c r="J64" s="160"/>
      <c r="K64" s="185"/>
      <c r="L64" s="130"/>
      <c r="M64" s="135"/>
      <c r="N64" s="135"/>
      <c r="O64" s="130"/>
      <c r="P64" s="130"/>
      <c r="Q64" s="135"/>
      <c r="R64" s="130"/>
    </row>
    <row r="65" spans="1:18" ht="15.75" customHeight="1">
      <c r="A65" s="251" t="s">
        <v>169</v>
      </c>
      <c r="B65" s="251"/>
      <c r="C65" s="251"/>
      <c r="D65" s="251"/>
      <c r="E65" s="251"/>
      <c r="F65" s="251"/>
      <c r="G65" s="251"/>
      <c r="H65" s="251"/>
      <c r="J65" s="160"/>
      <c r="K65" s="185"/>
      <c r="L65" s="130"/>
      <c r="M65" s="135"/>
      <c r="N65" s="135"/>
      <c r="O65" s="130"/>
      <c r="P65" s="130"/>
      <c r="Q65" s="135"/>
      <c r="R65" s="130"/>
    </row>
    <row r="66" spans="1:18" ht="14.25" customHeight="1" thickBot="1">
      <c r="A66" s="251" t="s">
        <v>79</v>
      </c>
      <c r="B66" s="251"/>
      <c r="C66" s="251"/>
      <c r="D66" s="251"/>
      <c r="E66" s="251"/>
      <c r="F66" s="251"/>
      <c r="G66" s="251"/>
      <c r="H66" s="251"/>
      <c r="J66" s="166" t="s">
        <v>116</v>
      </c>
      <c r="K66" s="184">
        <f>K62*0.09</f>
        <v>40140</v>
      </c>
      <c r="L66" s="130"/>
      <c r="M66" s="135"/>
      <c r="N66" s="135"/>
      <c r="O66" s="135"/>
      <c r="P66" s="135"/>
      <c r="Q66" s="135"/>
      <c r="R66" s="130"/>
    </row>
    <row r="67" spans="1:18" ht="14.25" customHeight="1">
      <c r="A67" s="251" t="s">
        <v>80</v>
      </c>
      <c r="B67" s="251"/>
      <c r="C67" s="251"/>
      <c r="D67" s="251"/>
      <c r="E67" s="251"/>
      <c r="F67" s="251"/>
      <c r="G67" s="251"/>
      <c r="H67" s="251"/>
      <c r="J67" s="106"/>
      <c r="K67" s="132"/>
      <c r="L67" s="130"/>
      <c r="M67" s="135"/>
      <c r="N67" s="135"/>
      <c r="O67" s="135"/>
      <c r="P67" s="135"/>
      <c r="Q67" s="135"/>
      <c r="R67" s="130"/>
    </row>
    <row r="68" spans="1:18" ht="14.25" customHeight="1" thickBot="1">
      <c r="A68" s="251"/>
      <c r="B68" s="251"/>
      <c r="C68" s="251"/>
      <c r="D68" s="251"/>
      <c r="E68" s="251"/>
      <c r="F68" s="251"/>
      <c r="G68" s="251"/>
      <c r="H68" s="251"/>
      <c r="J68" s="106"/>
      <c r="K68" s="132"/>
      <c r="L68" s="130"/>
      <c r="M68" s="135"/>
      <c r="N68" s="135"/>
      <c r="O68" s="135"/>
      <c r="P68" s="135"/>
      <c r="Q68" s="135"/>
      <c r="R68" s="130"/>
    </row>
    <row r="69" spans="1:18" ht="14.25" customHeight="1" thickBot="1">
      <c r="A69" s="251"/>
      <c r="B69" s="251"/>
      <c r="C69" s="251"/>
      <c r="D69" s="251"/>
      <c r="E69" s="251"/>
      <c r="F69" s="251"/>
      <c r="G69" s="251"/>
      <c r="H69" s="251"/>
      <c r="J69" s="266" t="s">
        <v>127</v>
      </c>
      <c r="K69" s="271"/>
      <c r="L69" s="267"/>
      <c r="M69" s="266" t="s">
        <v>128</v>
      </c>
      <c r="N69" s="271"/>
      <c r="O69" s="267"/>
      <c r="P69" s="135"/>
      <c r="Q69" s="135"/>
      <c r="R69" s="130"/>
    </row>
    <row r="70" spans="1:18" ht="14.25" customHeight="1">
      <c r="A70" s="251" t="s">
        <v>74</v>
      </c>
      <c r="B70" s="251"/>
      <c r="C70" s="251"/>
      <c r="D70" s="251"/>
      <c r="E70" s="251"/>
      <c r="F70" s="251"/>
      <c r="G70" s="251"/>
      <c r="H70" s="251"/>
      <c r="J70" s="208" t="s">
        <v>209</v>
      </c>
      <c r="K70" s="210">
        <f>O36</f>
        <v>766785</v>
      </c>
      <c r="L70" s="156"/>
      <c r="M70" s="233" t="s">
        <v>219</v>
      </c>
      <c r="N70" s="155"/>
      <c r="O70" s="156"/>
      <c r="P70" s="135"/>
      <c r="Q70" s="135"/>
      <c r="R70" s="130"/>
    </row>
    <row r="71" spans="1:18" ht="14.25" customHeight="1">
      <c r="A71" s="251" t="s">
        <v>83</v>
      </c>
      <c r="B71" s="251"/>
      <c r="C71" s="251"/>
      <c r="D71" s="251"/>
      <c r="E71" s="251"/>
      <c r="F71" s="251"/>
      <c r="G71" s="251"/>
      <c r="H71" s="251"/>
      <c r="J71" s="208" t="s">
        <v>210</v>
      </c>
      <c r="K71" s="225">
        <f>F55*F56</f>
        <v>6450000</v>
      </c>
      <c r="L71" s="185"/>
      <c r="M71" s="233" t="s">
        <v>220</v>
      </c>
      <c r="N71" s="161"/>
      <c r="O71" s="185"/>
      <c r="P71" s="135"/>
      <c r="Q71" s="135"/>
      <c r="R71" s="130"/>
    </row>
    <row r="72" spans="1:18" ht="14.25" customHeight="1">
      <c r="A72" s="251" t="s">
        <v>73</v>
      </c>
      <c r="B72" s="251"/>
      <c r="C72" s="251"/>
      <c r="D72" s="251"/>
      <c r="E72" s="251"/>
      <c r="F72" s="251"/>
      <c r="G72" s="251"/>
      <c r="H72" s="251"/>
      <c r="J72" s="154"/>
      <c r="K72" s="161"/>
      <c r="L72" s="165"/>
      <c r="M72" s="154"/>
      <c r="N72" s="161"/>
      <c r="O72" s="165"/>
      <c r="P72" s="135"/>
      <c r="Q72" s="135"/>
      <c r="R72" s="130"/>
    </row>
    <row r="73" spans="1:18" ht="14.25" customHeight="1">
      <c r="A73" s="251"/>
      <c r="B73" s="251"/>
      <c r="C73" s="251"/>
      <c r="D73" s="251"/>
      <c r="E73" s="251"/>
      <c r="F73" s="251"/>
      <c r="G73" s="251"/>
      <c r="H73" s="251"/>
      <c r="J73" s="154"/>
      <c r="K73" s="155"/>
      <c r="L73" s="156"/>
      <c r="M73" s="154"/>
      <c r="N73" s="155"/>
      <c r="O73" s="156"/>
      <c r="P73" s="135"/>
      <c r="Q73" s="135"/>
      <c r="R73" s="130"/>
    </row>
    <row r="74" spans="1:18" ht="14.25" customHeight="1">
      <c r="A74" s="251" t="s">
        <v>130</v>
      </c>
      <c r="B74" s="251"/>
      <c r="C74" s="251"/>
      <c r="D74" s="251"/>
      <c r="E74" s="251"/>
      <c r="F74" s="251"/>
      <c r="G74" s="251"/>
      <c r="H74" s="251"/>
      <c r="J74" s="154"/>
      <c r="K74" s="155"/>
      <c r="L74" s="192"/>
      <c r="M74" s="154"/>
      <c r="N74" s="155"/>
      <c r="O74" s="192"/>
      <c r="P74" s="135"/>
      <c r="Q74" s="135"/>
      <c r="R74" s="130"/>
    </row>
    <row r="75" spans="1:18" ht="14.25" customHeight="1" thickBot="1">
      <c r="J75" s="292" t="s">
        <v>132</v>
      </c>
      <c r="K75" s="279"/>
      <c r="L75" s="193">
        <f>ABS(K71-K70)</f>
        <v>5683215</v>
      </c>
      <c r="M75" s="157"/>
      <c r="N75" s="168" t="s">
        <v>134</v>
      </c>
      <c r="O75" s="193">
        <v>0</v>
      </c>
      <c r="P75" s="135"/>
      <c r="Q75" s="135"/>
      <c r="R75" s="130"/>
    </row>
    <row r="76" spans="1:18" ht="14.25" customHeight="1" thickBot="1">
      <c r="J76" s="135"/>
      <c r="K76" s="135"/>
      <c r="L76" s="135"/>
      <c r="M76" s="135"/>
      <c r="N76" s="135"/>
      <c r="O76" s="135"/>
      <c r="P76" s="135"/>
      <c r="Q76" s="135"/>
      <c r="R76" s="130"/>
    </row>
    <row r="77" spans="1:18" ht="14.25" customHeight="1" thickBot="1">
      <c r="J77" s="268" t="s">
        <v>131</v>
      </c>
      <c r="K77" s="269"/>
      <c r="L77" s="269"/>
      <c r="M77" s="270"/>
      <c r="N77" s="130"/>
      <c r="O77" s="130"/>
      <c r="P77" s="135"/>
      <c r="Q77" s="135"/>
      <c r="R77" s="130"/>
    </row>
    <row r="78" spans="1:18" ht="14.25" customHeight="1">
      <c r="J78" s="208" t="s">
        <v>211</v>
      </c>
      <c r="K78" s="210">
        <f>O40</f>
        <v>157809.30000000005</v>
      </c>
      <c r="L78" s="155"/>
      <c r="M78" s="172"/>
      <c r="N78" s="130"/>
      <c r="O78" s="130"/>
      <c r="P78" s="135"/>
      <c r="Q78" s="135"/>
      <c r="R78" s="130"/>
    </row>
    <row r="79" spans="1:18" ht="14.25" customHeight="1">
      <c r="J79" s="208" t="s">
        <v>36</v>
      </c>
      <c r="K79" s="227">
        <f>(K62-F61)/F60</f>
        <v>16600</v>
      </c>
      <c r="L79" s="161"/>
      <c r="M79" s="172"/>
      <c r="N79" s="130"/>
      <c r="O79" s="130"/>
      <c r="P79" s="135"/>
      <c r="Q79" s="135"/>
      <c r="R79" s="130"/>
    </row>
    <row r="80" spans="1:18" ht="14.25" customHeight="1">
      <c r="J80" s="208" t="s">
        <v>212</v>
      </c>
      <c r="K80" s="226">
        <f>K79+K66+F51+F53</f>
        <v>75640</v>
      </c>
      <c r="L80" s="161"/>
      <c r="M80" s="172"/>
      <c r="N80" s="130"/>
      <c r="O80" s="130"/>
      <c r="P80" s="135"/>
      <c r="Q80" s="135"/>
      <c r="R80" s="130"/>
    </row>
    <row r="81" spans="10:18" ht="14.25" customHeight="1">
      <c r="J81" s="154"/>
      <c r="K81" s="155"/>
      <c r="L81" s="155"/>
      <c r="M81" s="172"/>
      <c r="N81" s="130"/>
      <c r="O81" s="130"/>
      <c r="P81" s="135"/>
      <c r="Q81" s="135"/>
      <c r="R81" s="130"/>
    </row>
    <row r="82" spans="10:18" ht="14.25" customHeight="1">
      <c r="J82" s="154"/>
      <c r="K82" s="155"/>
      <c r="L82" s="163"/>
      <c r="M82" s="172"/>
      <c r="N82" s="130"/>
      <c r="O82" s="130"/>
      <c r="P82" s="135"/>
      <c r="Q82" s="135"/>
      <c r="R82" s="130"/>
    </row>
    <row r="83" spans="10:18" ht="14.25" customHeight="1" thickBot="1">
      <c r="J83" s="194"/>
      <c r="K83" s="170" t="s">
        <v>142</v>
      </c>
      <c r="L83" s="195" t="s">
        <v>125</v>
      </c>
      <c r="M83" s="193">
        <f>ABS(K80-K78)</f>
        <v>82169.300000000047</v>
      </c>
      <c r="N83" s="116"/>
      <c r="O83" s="116"/>
      <c r="P83" s="135"/>
      <c r="Q83" s="135"/>
      <c r="R83" s="130"/>
    </row>
    <row r="84" spans="10:18" ht="14.25" customHeight="1" thickBot="1">
      <c r="J84" s="130"/>
      <c r="K84" s="130"/>
      <c r="L84" s="135"/>
      <c r="M84" s="135"/>
      <c r="N84" s="130"/>
      <c r="O84" s="130"/>
      <c r="P84" s="135"/>
      <c r="Q84" s="135"/>
      <c r="R84" s="130"/>
    </row>
    <row r="85" spans="10:18" ht="14.25" customHeight="1" thickBot="1">
      <c r="J85" s="272" t="s">
        <v>129</v>
      </c>
      <c r="K85" s="273"/>
      <c r="L85" s="273"/>
      <c r="M85" s="274"/>
      <c r="N85" s="128"/>
      <c r="O85" s="128"/>
      <c r="P85" s="106"/>
      <c r="Q85" s="106"/>
      <c r="R85" s="130"/>
    </row>
    <row r="86" spans="10:18" ht="14.25" customHeight="1">
      <c r="J86" s="208" t="s">
        <v>213</v>
      </c>
      <c r="K86" s="210">
        <f>O39</f>
        <v>499647</v>
      </c>
      <c r="L86" s="155"/>
      <c r="M86" s="172"/>
      <c r="N86" s="136"/>
      <c r="O86" s="136"/>
      <c r="P86" s="116"/>
      <c r="Q86" s="116"/>
      <c r="R86" s="130"/>
    </row>
    <row r="87" spans="10:18" ht="14.25" customHeight="1">
      <c r="J87" s="208" t="s">
        <v>214</v>
      </c>
      <c r="K87" s="161">
        <f>(F50+F52+F54)*F56</f>
        <v>5624400</v>
      </c>
      <c r="L87" s="161"/>
      <c r="M87" s="172"/>
      <c r="N87" s="136"/>
      <c r="O87" s="136"/>
      <c r="P87" s="116"/>
      <c r="Q87" s="116"/>
      <c r="R87" s="130"/>
    </row>
    <row r="88" spans="10:18" ht="14.25" customHeight="1">
      <c r="J88" s="154"/>
      <c r="K88" s="161"/>
      <c r="L88" s="161"/>
      <c r="M88" s="172"/>
      <c r="N88" s="136"/>
      <c r="O88" s="136"/>
      <c r="P88" s="116"/>
      <c r="Q88" s="116"/>
      <c r="R88" s="130"/>
    </row>
    <row r="89" spans="10:18" ht="14.25" customHeight="1">
      <c r="J89" s="154"/>
      <c r="K89" s="155"/>
      <c r="L89" s="155"/>
      <c r="M89" s="172"/>
      <c r="N89" s="136"/>
      <c r="O89" s="136"/>
      <c r="P89" s="116"/>
      <c r="Q89" s="116"/>
      <c r="R89" s="130"/>
    </row>
    <row r="90" spans="10:18" ht="14.25" customHeight="1">
      <c r="J90" s="154"/>
      <c r="K90" s="155"/>
      <c r="L90" s="163"/>
      <c r="M90" s="172"/>
      <c r="N90" s="136"/>
      <c r="O90" s="136"/>
      <c r="P90" s="116"/>
      <c r="Q90" s="116"/>
      <c r="R90" s="130"/>
    </row>
    <row r="91" spans="10:18" ht="14.25" customHeight="1" thickBot="1">
      <c r="J91" s="194"/>
      <c r="K91" s="170" t="s">
        <v>142</v>
      </c>
      <c r="L91" s="195" t="s">
        <v>126</v>
      </c>
      <c r="M91" s="193">
        <f>ABS(K87-K86)</f>
        <v>5124753</v>
      </c>
      <c r="N91" s="116"/>
      <c r="O91" s="116"/>
      <c r="P91" s="116"/>
      <c r="Q91" s="116"/>
      <c r="R91" s="130"/>
    </row>
    <row r="92" spans="10:18" ht="14.25" customHeight="1" thickBot="1">
      <c r="J92" s="137"/>
      <c r="K92" s="116"/>
      <c r="L92" s="116"/>
      <c r="M92" s="116"/>
      <c r="N92" s="116"/>
      <c r="O92" s="116"/>
      <c r="P92" s="116"/>
      <c r="Q92" s="116"/>
      <c r="R92" s="130"/>
    </row>
    <row r="93" spans="10:18" ht="14.25" customHeight="1" thickBot="1">
      <c r="J93" s="268" t="s">
        <v>133</v>
      </c>
      <c r="K93" s="269"/>
      <c r="L93" s="269"/>
      <c r="M93" s="270"/>
      <c r="N93" s="116"/>
      <c r="O93" s="116"/>
      <c r="P93" s="116"/>
      <c r="Q93" s="116"/>
      <c r="R93" s="130"/>
    </row>
    <row r="94" spans="10:18" ht="14.25" customHeight="1">
      <c r="J94" s="208" t="s">
        <v>215</v>
      </c>
      <c r="K94" s="155"/>
      <c r="L94" s="228">
        <f>L75-O75</f>
        <v>5683215</v>
      </c>
      <c r="M94" s="172"/>
      <c r="N94" s="116"/>
      <c r="O94" s="116"/>
      <c r="P94" s="116"/>
      <c r="Q94" s="116"/>
      <c r="R94" s="130"/>
    </row>
    <row r="95" spans="10:18" ht="14.25" customHeight="1">
      <c r="J95" s="208" t="s">
        <v>216</v>
      </c>
      <c r="K95" s="178"/>
      <c r="L95" s="229">
        <f>M91-M83</f>
        <v>5042583.7</v>
      </c>
      <c r="M95" s="172"/>
      <c r="N95" s="116"/>
      <c r="O95" s="116"/>
      <c r="P95" s="116"/>
      <c r="Q95" s="116"/>
      <c r="R95" s="130"/>
    </row>
    <row r="96" spans="10:18" ht="14.25" customHeight="1">
      <c r="J96" s="208" t="s">
        <v>217</v>
      </c>
      <c r="K96" s="161"/>
      <c r="L96" s="161"/>
      <c r="M96" s="172"/>
      <c r="N96" s="116"/>
      <c r="O96" s="116"/>
      <c r="P96" s="116"/>
      <c r="Q96" s="116"/>
      <c r="R96" s="130"/>
    </row>
    <row r="97" spans="10:18" ht="14.25" customHeight="1">
      <c r="J97" s="154"/>
      <c r="K97" s="155"/>
      <c r="L97" s="155"/>
      <c r="M97" s="172"/>
      <c r="N97" s="116"/>
      <c r="O97" s="116"/>
      <c r="P97" s="116"/>
      <c r="Q97" s="116"/>
      <c r="R97" s="130"/>
    </row>
    <row r="98" spans="10:18" ht="14.25" customHeight="1">
      <c r="J98" s="154"/>
      <c r="K98" s="155"/>
      <c r="L98" s="163"/>
      <c r="M98" s="172"/>
      <c r="N98" s="116"/>
      <c r="O98" s="116"/>
      <c r="P98" s="116"/>
      <c r="Q98" s="116"/>
      <c r="R98" s="130"/>
    </row>
    <row r="99" spans="10:18" ht="14.25" customHeight="1" thickBot="1">
      <c r="J99" s="194"/>
      <c r="K99" s="170"/>
      <c r="L99" s="195" t="s">
        <v>139</v>
      </c>
      <c r="M99" s="193">
        <f>L94-L95</f>
        <v>640631.29999999981</v>
      </c>
      <c r="N99" s="116"/>
      <c r="O99" s="116"/>
      <c r="P99" s="116"/>
      <c r="Q99" s="116"/>
      <c r="R99" s="130"/>
    </row>
    <row r="100" spans="10:18" ht="14.25" customHeight="1">
      <c r="J100" s="61"/>
      <c r="K100" s="85"/>
      <c r="L100" s="85"/>
      <c r="M100" s="61"/>
      <c r="N100" s="61"/>
      <c r="O100" s="61"/>
      <c r="P100" s="61"/>
      <c r="Q100" s="61"/>
    </row>
    <row r="101" spans="10:18" ht="14.25" customHeight="1"/>
    <row r="102" spans="10:18" ht="14.25" customHeight="1"/>
    <row r="103" spans="10:18" ht="14.25" customHeight="1"/>
    <row r="104" spans="10:18" ht="14.25" customHeight="1"/>
    <row r="105" spans="10:18" ht="14.25" customHeight="1"/>
    <row r="106" spans="10:18" ht="14.25" customHeight="1"/>
    <row r="107" spans="10:18" ht="14.25" customHeight="1"/>
    <row r="108" spans="10:18" ht="14.25" customHeight="1"/>
    <row r="109" spans="10:18" ht="14.25" customHeight="1"/>
    <row r="110" spans="10:18" ht="14.25" customHeight="1"/>
    <row r="111" spans="10:18" ht="14.25" customHeight="1"/>
    <row r="112" spans="10:18"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sheetData>
  <sheetProtection sheet="1" objects="1" scenarios="1"/>
  <mergeCells count="53">
    <mergeCell ref="J59:Q59"/>
    <mergeCell ref="K1:L1"/>
    <mergeCell ref="N1:O1"/>
    <mergeCell ref="Q1:R1"/>
    <mergeCell ref="J13:Q13"/>
    <mergeCell ref="J33:M33"/>
    <mergeCell ref="N33:Q33"/>
    <mergeCell ref="J43:K43"/>
    <mergeCell ref="L43:M43"/>
    <mergeCell ref="N43:O43"/>
    <mergeCell ref="P43:Q43"/>
    <mergeCell ref="J85:M85"/>
    <mergeCell ref="J93:M93"/>
    <mergeCell ref="A74:H74"/>
    <mergeCell ref="J4:Q4"/>
    <mergeCell ref="J6:M6"/>
    <mergeCell ref="K11:L11"/>
    <mergeCell ref="C47:F49"/>
    <mergeCell ref="A3:H6"/>
    <mergeCell ref="A40:H42"/>
    <mergeCell ref="A43:H44"/>
    <mergeCell ref="A37:H37"/>
    <mergeCell ref="A28:H28"/>
    <mergeCell ref="A45:H45"/>
    <mergeCell ref="A72:H72"/>
    <mergeCell ref="A67:H67"/>
    <mergeCell ref="J75:K75"/>
    <mergeCell ref="A66:H66"/>
    <mergeCell ref="A65:H65"/>
    <mergeCell ref="A70:H70"/>
    <mergeCell ref="A71:H71"/>
    <mergeCell ref="J77:M77"/>
    <mergeCell ref="A68:H68"/>
    <mergeCell ref="A69:H69"/>
    <mergeCell ref="A73:H73"/>
    <mergeCell ref="J69:L69"/>
    <mergeCell ref="M69:O69"/>
    <mergeCell ref="A64:H64"/>
    <mergeCell ref="X2:AH3"/>
    <mergeCell ref="A1:G1"/>
    <mergeCell ref="A26:H26"/>
    <mergeCell ref="A29:H29"/>
    <mergeCell ref="B8:F8"/>
    <mergeCell ref="A30:H30"/>
    <mergeCell ref="B23:F23"/>
    <mergeCell ref="B24:F24"/>
    <mergeCell ref="A35:H35"/>
    <mergeCell ref="A31:H31"/>
    <mergeCell ref="A34:H34"/>
    <mergeCell ref="A36:H36"/>
    <mergeCell ref="A39:H39"/>
    <mergeCell ref="A33:H33"/>
    <mergeCell ref="J61:K6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70691-1165-9E47-9155-5BE3B5DD86B7}">
  <dimension ref="A1:T1023"/>
  <sheetViews>
    <sheetView topLeftCell="D53" workbookViewId="0">
      <selection activeCell="K66" sqref="K66"/>
    </sheetView>
  </sheetViews>
  <sheetFormatPr baseColWidth="10" defaultColWidth="12.6640625" defaultRowHeight="15" customHeight="1"/>
  <cols>
    <col min="1" max="2" width="10" style="145" customWidth="1"/>
    <col min="3" max="3" width="12" style="145" customWidth="1"/>
    <col min="4" max="4" width="12.5" style="145" bestFit="1" customWidth="1"/>
    <col min="5" max="6" width="13.1640625" style="145" bestFit="1" customWidth="1"/>
    <col min="7" max="7" width="7.83203125" style="145" customWidth="1"/>
    <col min="8" max="8" width="15.1640625" style="145" customWidth="1"/>
    <col min="9" max="9" width="10" style="145" customWidth="1"/>
    <col min="10" max="10" width="22.83203125" style="145" customWidth="1"/>
    <col min="11" max="11" width="17" style="145" customWidth="1"/>
    <col min="12" max="12" width="22.5" style="145" bestFit="1" customWidth="1"/>
    <col min="13" max="13" width="14.33203125" style="145" customWidth="1"/>
    <col min="14" max="14" width="22.5" style="145" bestFit="1" customWidth="1"/>
    <col min="15" max="15" width="13.83203125" style="145" bestFit="1" customWidth="1"/>
    <col min="16" max="16" width="18" style="145" bestFit="1" customWidth="1"/>
    <col min="17" max="26" width="10" style="145" customWidth="1"/>
    <col min="27" max="16384" width="12.6640625" style="145"/>
  </cols>
  <sheetData>
    <row r="1" spans="1:20" ht="14.25" customHeight="1">
      <c r="A1" s="258" t="s">
        <v>147</v>
      </c>
      <c r="B1" s="259"/>
      <c r="C1" s="259"/>
      <c r="D1" s="259"/>
      <c r="E1" s="259"/>
      <c r="F1" s="259"/>
      <c r="G1" s="259"/>
      <c r="H1" s="6" t="s">
        <v>149</v>
      </c>
      <c r="J1" s="1" t="s">
        <v>37</v>
      </c>
      <c r="K1" s="294"/>
      <c r="L1" s="294"/>
      <c r="M1" s="2" t="s">
        <v>38</v>
      </c>
      <c r="N1" s="294"/>
      <c r="O1" s="294"/>
      <c r="P1" s="3" t="s">
        <v>39</v>
      </c>
      <c r="Q1" s="294"/>
      <c r="R1" s="294"/>
      <c r="S1" s="4" t="s">
        <v>40</v>
      </c>
      <c r="T1" s="153"/>
    </row>
    <row r="2" spans="1:20" ht="14.25" customHeight="1">
      <c r="A2" s="144"/>
      <c r="B2" s="144"/>
      <c r="C2" s="144"/>
      <c r="D2" s="144"/>
      <c r="E2" s="144"/>
      <c r="F2" s="144"/>
      <c r="G2" s="9"/>
    </row>
    <row r="3" spans="1:20" ht="14.25" customHeight="1">
      <c r="A3" s="289" t="s">
        <v>76</v>
      </c>
      <c r="B3" s="289"/>
      <c r="C3" s="289"/>
      <c r="D3" s="289"/>
      <c r="E3" s="289"/>
      <c r="F3" s="289"/>
      <c r="G3" s="289"/>
      <c r="H3" s="289"/>
    </row>
    <row r="4" spans="1:20" ht="16" customHeight="1">
      <c r="A4" s="289"/>
      <c r="B4" s="289"/>
      <c r="C4" s="289"/>
      <c r="D4" s="289"/>
      <c r="E4" s="289"/>
      <c r="F4" s="289"/>
      <c r="G4" s="289"/>
      <c r="H4" s="289"/>
      <c r="J4" s="275" t="s">
        <v>28</v>
      </c>
      <c r="K4" s="275"/>
      <c r="L4" s="275"/>
      <c r="M4" s="275"/>
      <c r="N4" s="275"/>
      <c r="O4" s="275"/>
      <c r="P4" s="275"/>
      <c r="Q4" s="275"/>
    </row>
    <row r="5" spans="1:20" ht="16" customHeight="1" thickBot="1">
      <c r="A5" s="289"/>
      <c r="B5" s="289"/>
      <c r="C5" s="289"/>
      <c r="D5" s="289"/>
      <c r="E5" s="289"/>
      <c r="F5" s="289"/>
      <c r="G5" s="289"/>
      <c r="H5" s="289"/>
    </row>
    <row r="6" spans="1:20" ht="16" customHeight="1" thickBot="1">
      <c r="A6" s="289"/>
      <c r="B6" s="289"/>
      <c r="C6" s="289"/>
      <c r="D6" s="289"/>
      <c r="E6" s="289"/>
      <c r="F6" s="289"/>
      <c r="G6" s="289"/>
      <c r="H6" s="289"/>
      <c r="J6" s="276" t="s">
        <v>90</v>
      </c>
      <c r="K6" s="277"/>
      <c r="L6" s="277"/>
      <c r="M6" s="278"/>
      <c r="N6" s="130"/>
      <c r="O6" s="130"/>
      <c r="P6" s="130"/>
      <c r="Q6" s="130"/>
      <c r="R6" s="130"/>
    </row>
    <row r="7" spans="1:20" ht="14.5">
      <c r="A7" s="38"/>
      <c r="J7" s="154"/>
      <c r="K7" s="155"/>
      <c r="L7" s="155"/>
      <c r="M7" s="156"/>
      <c r="N7" s="130"/>
      <c r="O7" s="130"/>
      <c r="P7" s="130"/>
      <c r="Q7" s="130"/>
      <c r="R7" s="130"/>
    </row>
    <row r="8" spans="1:20" ht="14.25" customHeight="1" thickBot="1">
      <c r="B8" s="263" t="s">
        <v>43</v>
      </c>
      <c r="C8" s="263"/>
      <c r="D8" s="263"/>
      <c r="E8" s="263"/>
      <c r="F8" s="263"/>
      <c r="J8" s="154"/>
      <c r="K8" s="155"/>
      <c r="L8" s="155"/>
      <c r="M8" s="156"/>
      <c r="N8" s="130"/>
      <c r="O8" s="130"/>
      <c r="P8" s="130"/>
      <c r="Q8" s="130"/>
      <c r="R8" s="130"/>
    </row>
    <row r="9" spans="1:20" ht="14.25" customHeight="1">
      <c r="B9" s="24"/>
      <c r="C9" s="25" t="s">
        <v>17</v>
      </c>
      <c r="D9" s="26" t="s">
        <v>42</v>
      </c>
      <c r="E9" s="27" t="s">
        <v>19</v>
      </c>
      <c r="F9" s="28" t="s">
        <v>20</v>
      </c>
      <c r="J9" s="154"/>
      <c r="K9" s="155"/>
      <c r="L9" s="155"/>
      <c r="M9" s="156"/>
      <c r="N9" s="130"/>
      <c r="O9" s="130"/>
      <c r="P9" s="130"/>
      <c r="Q9" s="130"/>
      <c r="R9" s="131"/>
    </row>
    <row r="10" spans="1:20" ht="14.25" customHeight="1">
      <c r="B10" s="29" t="s">
        <v>0</v>
      </c>
      <c r="C10" s="22">
        <f>Feuil2!C3</f>
        <v>5530</v>
      </c>
      <c r="D10" s="19">
        <f>Feuil2!C3*Feuil2!$C$17</f>
        <v>85715</v>
      </c>
      <c r="E10" s="33">
        <f>Feuil2!E3</f>
        <v>37448.5</v>
      </c>
      <c r="F10" s="34">
        <f>Feuil2!F3</f>
        <v>24055.499999999996</v>
      </c>
      <c r="J10" s="154"/>
      <c r="K10" s="155"/>
      <c r="L10" s="155"/>
      <c r="M10" s="156"/>
      <c r="N10" s="130"/>
      <c r="O10" s="130"/>
      <c r="P10" s="130"/>
      <c r="Q10" s="130"/>
      <c r="R10" s="131"/>
    </row>
    <row r="11" spans="1:20" ht="14.25" customHeight="1" thickBot="1">
      <c r="B11" s="5" t="s">
        <v>22</v>
      </c>
      <c r="C11" s="22">
        <f>Feuil2!C4</f>
        <v>3120</v>
      </c>
      <c r="D11" s="19">
        <f>Feuil2!C4*Feuil2!$C$17</f>
        <v>48360</v>
      </c>
      <c r="E11" s="33">
        <f>Feuil2!E4</f>
        <v>23591</v>
      </c>
      <c r="F11" s="34">
        <f>Feuil2!F4</f>
        <v>13571.999999999998</v>
      </c>
      <c r="J11" s="157"/>
      <c r="K11" s="279" t="s">
        <v>44</v>
      </c>
      <c r="L11" s="279"/>
      <c r="M11" s="158"/>
      <c r="N11" s="130"/>
      <c r="O11" s="130"/>
      <c r="P11" s="130"/>
      <c r="Q11" s="130"/>
      <c r="R11" s="131"/>
    </row>
    <row r="12" spans="1:20" ht="14.25" customHeight="1" thickBot="1">
      <c r="B12" s="5" t="s">
        <v>3</v>
      </c>
      <c r="C12" s="22">
        <f>Feuil2!C5</f>
        <v>5390</v>
      </c>
      <c r="D12" s="19">
        <f>Feuil2!C5*Feuil2!$C$17</f>
        <v>83545</v>
      </c>
      <c r="E12" s="33">
        <f>Feuil2!E5</f>
        <v>36643.5</v>
      </c>
      <c r="F12" s="34">
        <f>Feuil2!F5</f>
        <v>23446.499999999996</v>
      </c>
      <c r="J12" s="130"/>
      <c r="K12" s="130"/>
      <c r="L12" s="130"/>
      <c r="M12" s="130"/>
      <c r="N12" s="130"/>
      <c r="O12" s="130"/>
      <c r="P12" s="130"/>
      <c r="Q12" s="130"/>
      <c r="R12" s="130"/>
    </row>
    <row r="13" spans="1:20" ht="14.25" customHeight="1" thickBot="1">
      <c r="B13" s="5" t="s">
        <v>5</v>
      </c>
      <c r="C13" s="22">
        <f>Feuil2!C6</f>
        <v>4460</v>
      </c>
      <c r="D13" s="19">
        <f>Feuil2!C6*Feuil2!$C$17</f>
        <v>69130</v>
      </c>
      <c r="E13" s="33">
        <f>Feuil2!E6</f>
        <v>31296</v>
      </c>
      <c r="F13" s="34">
        <f>Feuil2!F6</f>
        <v>19401</v>
      </c>
      <c r="J13" s="266" t="s">
        <v>91</v>
      </c>
      <c r="K13" s="271"/>
      <c r="L13" s="271"/>
      <c r="M13" s="271"/>
      <c r="N13" s="271"/>
      <c r="O13" s="271"/>
      <c r="P13" s="271"/>
      <c r="Q13" s="267"/>
      <c r="R13" s="130"/>
    </row>
    <row r="14" spans="1:20" ht="14.25" customHeight="1">
      <c r="B14" s="5" t="s">
        <v>6</v>
      </c>
      <c r="C14" s="22">
        <f>Feuil2!C7</f>
        <v>3450</v>
      </c>
      <c r="D14" s="19">
        <f>Feuil2!C7*Feuil2!$C$17</f>
        <v>53475</v>
      </c>
      <c r="E14" s="33">
        <f>Feuil2!E7</f>
        <v>25488.5</v>
      </c>
      <c r="F14" s="34">
        <f>Feuil2!F7</f>
        <v>15007.499999999998</v>
      </c>
      <c r="J14" s="154"/>
      <c r="K14" s="155"/>
      <c r="L14" s="155"/>
      <c r="M14" s="155"/>
      <c r="N14" s="155"/>
      <c r="O14" s="155"/>
      <c r="P14" s="155"/>
      <c r="Q14" s="156"/>
      <c r="R14" s="130"/>
    </row>
    <row r="15" spans="1:20" ht="14.25" customHeight="1">
      <c r="B15" s="5" t="s">
        <v>7</v>
      </c>
      <c r="C15" s="22">
        <f>Feuil2!C8</f>
        <v>4120</v>
      </c>
      <c r="D15" s="19">
        <f>Feuil2!C8*Feuil2!$C$17</f>
        <v>63860</v>
      </c>
      <c r="E15" s="33">
        <f>Feuil2!E8</f>
        <v>29341</v>
      </c>
      <c r="F15" s="34">
        <f>Feuil2!F8</f>
        <v>17922</v>
      </c>
      <c r="J15" s="154"/>
      <c r="K15" s="155"/>
      <c r="L15" s="159"/>
      <c r="M15" s="155"/>
      <c r="N15" s="155"/>
      <c r="O15" s="155"/>
      <c r="P15" s="155"/>
      <c r="Q15" s="156"/>
      <c r="R15" s="130"/>
    </row>
    <row r="16" spans="1:20" ht="14.25" customHeight="1">
      <c r="B16" s="5" t="s">
        <v>8</v>
      </c>
      <c r="C16" s="22">
        <f>Feuil2!C9</f>
        <v>4060</v>
      </c>
      <c r="D16" s="19">
        <f>Feuil2!C9*Feuil2!$C$17</f>
        <v>62930</v>
      </c>
      <c r="E16" s="33">
        <f>Feuil2!E9</f>
        <v>28996</v>
      </c>
      <c r="F16" s="34">
        <f>Feuil2!F9</f>
        <v>17661</v>
      </c>
      <c r="J16" s="154"/>
      <c r="K16" s="155"/>
      <c r="L16" s="159"/>
      <c r="M16" s="155"/>
      <c r="N16" s="155"/>
      <c r="O16" s="155"/>
      <c r="P16" s="155"/>
      <c r="Q16" s="156"/>
      <c r="R16" s="130"/>
    </row>
    <row r="17" spans="1:18" ht="14.25" customHeight="1">
      <c r="B17" s="5" t="s">
        <v>25</v>
      </c>
      <c r="C17" s="22">
        <f>Feuil2!C10</f>
        <v>3210</v>
      </c>
      <c r="D17" s="19">
        <f>Feuil2!C10*Feuil2!$C$17</f>
        <v>49755</v>
      </c>
      <c r="E17" s="33">
        <f>Feuil2!E10</f>
        <v>24108.5</v>
      </c>
      <c r="F17" s="34">
        <f>Feuil2!F10</f>
        <v>13963.499999999998</v>
      </c>
      <c r="J17" s="154"/>
      <c r="K17" s="155"/>
      <c r="L17" s="159"/>
      <c r="M17" s="155"/>
      <c r="N17" s="155"/>
      <c r="O17" s="155"/>
      <c r="P17" s="155"/>
      <c r="Q17" s="156"/>
      <c r="R17" s="130"/>
    </row>
    <row r="18" spans="1:18" ht="14.25" customHeight="1">
      <c r="B18" s="5" t="s">
        <v>11</v>
      </c>
      <c r="C18" s="22">
        <f>Feuil2!C11</f>
        <v>3850</v>
      </c>
      <c r="D18" s="19">
        <f>Feuil2!C11*Feuil2!$C$17</f>
        <v>59675</v>
      </c>
      <c r="E18" s="33">
        <f>Feuil2!E11</f>
        <v>27788.5</v>
      </c>
      <c r="F18" s="34">
        <f>Feuil2!F11</f>
        <v>16747.5</v>
      </c>
      <c r="J18" s="154"/>
      <c r="K18" s="155"/>
      <c r="L18" s="159"/>
      <c r="M18" s="155"/>
      <c r="N18" s="155"/>
      <c r="O18" s="155"/>
      <c r="P18" s="155"/>
      <c r="Q18" s="156"/>
      <c r="R18" s="130"/>
    </row>
    <row r="19" spans="1:18" ht="14.25" customHeight="1">
      <c r="B19" s="5" t="s">
        <v>15</v>
      </c>
      <c r="C19" s="22">
        <f>Feuil2!C12</f>
        <v>4520</v>
      </c>
      <c r="D19" s="19">
        <f>Feuil2!C12*Feuil2!$C$17</f>
        <v>70060</v>
      </c>
      <c r="E19" s="33">
        <f>Feuil2!E12</f>
        <v>31641</v>
      </c>
      <c r="F19" s="34">
        <f>Feuil2!F12</f>
        <v>19662</v>
      </c>
      <c r="J19" s="154"/>
      <c r="K19" s="155"/>
      <c r="L19" s="159"/>
      <c r="M19" s="155"/>
      <c r="N19" s="155"/>
      <c r="O19" s="155"/>
      <c r="P19" s="155"/>
      <c r="Q19" s="156"/>
      <c r="R19" s="130"/>
    </row>
    <row r="20" spans="1:18" ht="14.25" customHeight="1">
      <c r="B20" s="5" t="s">
        <v>16</v>
      </c>
      <c r="C20" s="22">
        <f>Feuil2!C13</f>
        <v>4490</v>
      </c>
      <c r="D20" s="19">
        <f>Feuil2!C13*Feuil2!$C$17</f>
        <v>69595</v>
      </c>
      <c r="E20" s="33">
        <f>Feuil2!E13</f>
        <v>31468.5</v>
      </c>
      <c r="F20" s="34">
        <f>Feuil2!F13</f>
        <v>19531.5</v>
      </c>
      <c r="J20" s="154"/>
      <c r="K20" s="155"/>
      <c r="L20" s="159"/>
      <c r="M20" s="155"/>
      <c r="N20" s="155"/>
      <c r="O20" s="155"/>
      <c r="P20" s="155"/>
      <c r="Q20" s="156"/>
      <c r="R20" s="130"/>
    </row>
    <row r="21" spans="1:18" ht="14.25" customHeight="1" thickBot="1">
      <c r="B21" s="30" t="s">
        <v>152</v>
      </c>
      <c r="C21" s="31">
        <f>Feuil2!C14</f>
        <v>3270</v>
      </c>
      <c r="D21" s="35">
        <f>Feuil2!C14*Feuil2!$C$17</f>
        <v>50685</v>
      </c>
      <c r="E21" s="36">
        <f>Feuil2!E14</f>
        <v>24453.5</v>
      </c>
      <c r="F21" s="37">
        <f>Feuil2!F14</f>
        <v>14224.499999999998</v>
      </c>
      <c r="J21" s="154"/>
      <c r="K21" s="155"/>
      <c r="L21" s="159"/>
      <c r="M21" s="155"/>
      <c r="N21" s="155"/>
      <c r="O21" s="155"/>
      <c r="P21" s="155"/>
      <c r="Q21" s="156"/>
      <c r="R21" s="130"/>
    </row>
    <row r="22" spans="1:18" ht="14.25" customHeight="1">
      <c r="B22" s="10"/>
      <c r="C22" s="10"/>
      <c r="D22" s="11"/>
      <c r="E22" s="11"/>
      <c r="J22" s="196"/>
      <c r="K22" s="155"/>
      <c r="L22" s="159"/>
      <c r="M22" s="155"/>
      <c r="N22" s="155"/>
      <c r="O22" s="155"/>
      <c r="P22" s="155"/>
      <c r="Q22" s="156"/>
      <c r="R22" s="130"/>
    </row>
    <row r="23" spans="1:18" ht="14.25" customHeight="1">
      <c r="B23" s="264" t="str">
        <f>"En moyenne, chaque unité vendue a rapporté un bénéfice de "&amp;TEXT(Feuil2!C22,"####,00 $")&amp;"."</f>
        <v>En moyenne, chaque unité vendue a rapporté un bénéfice de 2,21 $.</v>
      </c>
      <c r="C23" s="264"/>
      <c r="D23" s="264"/>
      <c r="E23" s="264"/>
      <c r="F23" s="264"/>
      <c r="J23" s="154"/>
      <c r="K23" s="155"/>
      <c r="L23" s="159"/>
      <c r="M23" s="155"/>
      <c r="N23" s="155"/>
      <c r="O23" s="155"/>
      <c r="P23" s="155"/>
      <c r="Q23" s="156"/>
      <c r="R23" s="130"/>
    </row>
    <row r="24" spans="1:18" ht="14.25" customHeight="1">
      <c r="B24" s="264" t="str">
        <f>"L'usine peut produire au maximum "&amp;TEXT(Feuil2!C23,"## ###")&amp;" unités par mois."</f>
        <v>L'usine peut produire au maximum 5 800 unités par mois.</v>
      </c>
      <c r="C24" s="264"/>
      <c r="D24" s="264"/>
      <c r="E24" s="264"/>
      <c r="F24" s="264"/>
      <c r="J24" s="154"/>
      <c r="K24" s="155"/>
      <c r="L24" s="159"/>
      <c r="M24" s="155"/>
      <c r="N24" s="155"/>
      <c r="O24" s="155"/>
      <c r="P24" s="155"/>
      <c r="Q24" s="156"/>
      <c r="R24" s="130"/>
    </row>
    <row r="25" spans="1:18" ht="14.25" customHeight="1">
      <c r="J25" s="154"/>
      <c r="K25" s="155"/>
      <c r="L25" s="159"/>
      <c r="M25" s="155"/>
      <c r="N25" s="155"/>
      <c r="O25" s="155"/>
      <c r="P25" s="155"/>
      <c r="Q25" s="156"/>
      <c r="R25" s="130"/>
    </row>
    <row r="26" spans="1:18" ht="14.25" customHeight="1">
      <c r="A26" s="260" t="s">
        <v>28</v>
      </c>
      <c r="B26" s="259"/>
      <c r="C26" s="259"/>
      <c r="D26" s="259"/>
      <c r="E26" s="259"/>
      <c r="F26" s="259"/>
      <c r="G26" s="259"/>
      <c r="H26" s="259"/>
      <c r="J26" s="154"/>
      <c r="K26" s="155"/>
      <c r="L26" s="159"/>
      <c r="M26" s="155"/>
      <c r="N26" s="155"/>
      <c r="O26" s="155"/>
      <c r="P26" s="155"/>
      <c r="Q26" s="156"/>
      <c r="R26" s="130"/>
    </row>
    <row r="27" spans="1:18" ht="14.25" customHeight="1">
      <c r="A27" s="146"/>
      <c r="J27" s="154"/>
      <c r="K27" s="155"/>
      <c r="L27" s="159"/>
      <c r="M27" s="155"/>
      <c r="N27" s="155"/>
      <c r="O27" s="155"/>
      <c r="P27" s="155"/>
      <c r="Q27" s="156"/>
      <c r="R27" s="130"/>
    </row>
    <row r="28" spans="1:18" ht="14.25" customHeight="1">
      <c r="A28" s="264" t="s">
        <v>82</v>
      </c>
      <c r="B28" s="264"/>
      <c r="C28" s="264"/>
      <c r="D28" s="264"/>
      <c r="E28" s="264"/>
      <c r="F28" s="264"/>
      <c r="G28" s="264"/>
      <c r="H28" s="264"/>
      <c r="J28" s="160"/>
      <c r="K28" s="161"/>
      <c r="L28" s="161"/>
      <c r="M28" s="161"/>
      <c r="N28" s="155"/>
      <c r="O28" s="155"/>
      <c r="P28" s="155"/>
      <c r="Q28" s="156"/>
      <c r="R28" s="130"/>
    </row>
    <row r="29" spans="1:18" ht="14.5">
      <c r="A29" s="261" t="s">
        <v>84</v>
      </c>
      <c r="B29" s="262"/>
      <c r="C29" s="262"/>
      <c r="D29" s="262"/>
      <c r="E29" s="262"/>
      <c r="F29" s="262"/>
      <c r="G29" s="262"/>
      <c r="H29" s="262"/>
      <c r="J29" s="162"/>
      <c r="K29" s="163"/>
      <c r="L29" s="164"/>
      <c r="M29" s="163"/>
      <c r="N29" s="164"/>
      <c r="O29" s="164"/>
      <c r="P29" s="164"/>
      <c r="Q29" s="165"/>
      <c r="R29" s="130"/>
    </row>
    <row r="30" spans="1:18" ht="14.5">
      <c r="A30" s="261" t="s">
        <v>85</v>
      </c>
      <c r="B30" s="262"/>
      <c r="C30" s="262"/>
      <c r="D30" s="262"/>
      <c r="E30" s="262"/>
      <c r="F30" s="262"/>
      <c r="G30" s="262"/>
      <c r="H30" s="262"/>
      <c r="J30" s="162"/>
      <c r="K30" s="163"/>
      <c r="L30" s="164"/>
      <c r="M30" s="163"/>
      <c r="N30" s="164"/>
      <c r="O30" s="164"/>
      <c r="P30" s="164"/>
      <c r="Q30" s="165"/>
      <c r="R30" s="130"/>
    </row>
    <row r="31" spans="1:18" thickBot="1">
      <c r="A31" s="265" t="s">
        <v>86</v>
      </c>
      <c r="B31" s="265"/>
      <c r="C31" s="265"/>
      <c r="D31" s="265"/>
      <c r="E31" s="265"/>
      <c r="F31" s="265"/>
      <c r="G31" s="265"/>
      <c r="H31" s="265"/>
      <c r="J31" s="166" t="s">
        <v>96</v>
      </c>
      <c r="K31" s="167"/>
      <c r="L31" s="168" t="s">
        <v>97</v>
      </c>
      <c r="M31" s="169"/>
      <c r="N31" s="170"/>
      <c r="O31" s="170"/>
      <c r="P31" s="170"/>
      <c r="Q31" s="171"/>
      <c r="R31" s="130"/>
    </row>
    <row r="32" spans="1:18" thickBot="1">
      <c r="A32" s="148"/>
      <c r="B32" s="148"/>
      <c r="C32" s="148"/>
      <c r="D32" s="148"/>
      <c r="E32" s="148"/>
      <c r="F32" s="148"/>
      <c r="G32" s="148"/>
      <c r="H32" s="148"/>
      <c r="J32" s="130"/>
      <c r="K32" s="130"/>
      <c r="L32" s="130"/>
      <c r="M32" s="130"/>
      <c r="N32" s="130"/>
      <c r="O32" s="130"/>
      <c r="P32" s="130"/>
      <c r="Q32" s="130"/>
      <c r="R32" s="130"/>
    </row>
    <row r="33" spans="1:18" thickBot="1">
      <c r="A33" s="265" t="s">
        <v>75</v>
      </c>
      <c r="B33" s="265"/>
      <c r="C33" s="265"/>
      <c r="D33" s="265"/>
      <c r="E33" s="265"/>
      <c r="F33" s="265"/>
      <c r="G33" s="265"/>
      <c r="H33" s="265"/>
      <c r="J33" s="266" t="s">
        <v>92</v>
      </c>
      <c r="K33" s="271"/>
      <c r="L33" s="271"/>
      <c r="M33" s="267"/>
      <c r="N33" s="295" t="s">
        <v>93</v>
      </c>
      <c r="O33" s="296"/>
      <c r="P33" s="296"/>
      <c r="Q33" s="297"/>
      <c r="R33" s="130"/>
    </row>
    <row r="34" spans="1:18" ht="14.5">
      <c r="A34" s="265" t="s">
        <v>87</v>
      </c>
      <c r="B34" s="265"/>
      <c r="C34" s="265"/>
      <c r="D34" s="265"/>
      <c r="E34" s="265"/>
      <c r="F34" s="265"/>
      <c r="G34" s="265"/>
      <c r="H34" s="265"/>
      <c r="J34" s="154"/>
      <c r="K34" s="155"/>
      <c r="L34" s="155"/>
      <c r="M34" s="156"/>
      <c r="N34" s="174"/>
      <c r="O34" s="175"/>
      <c r="P34" s="176"/>
      <c r="Q34" s="177"/>
      <c r="R34" s="130"/>
    </row>
    <row r="35" spans="1:18" ht="14.5">
      <c r="A35" s="265" t="s">
        <v>88</v>
      </c>
      <c r="B35" s="265"/>
      <c r="C35" s="265"/>
      <c r="D35" s="265"/>
      <c r="E35" s="265"/>
      <c r="F35" s="265"/>
      <c r="G35" s="265"/>
      <c r="H35" s="265"/>
      <c r="J35" s="154"/>
      <c r="K35" s="155"/>
      <c r="L35" s="155"/>
      <c r="M35" s="156"/>
      <c r="N35" s="154"/>
      <c r="O35" s="161"/>
      <c r="P35" s="155"/>
      <c r="Q35" s="156"/>
      <c r="R35" s="130"/>
    </row>
    <row r="36" spans="1:18" ht="14.5">
      <c r="A36" s="265" t="s">
        <v>89</v>
      </c>
      <c r="B36" s="265"/>
      <c r="C36" s="265"/>
      <c r="D36" s="265"/>
      <c r="E36" s="265"/>
      <c r="F36" s="265"/>
      <c r="G36" s="265"/>
      <c r="H36" s="265"/>
      <c r="J36" s="154"/>
      <c r="K36" s="155"/>
      <c r="L36" s="155"/>
      <c r="M36" s="156"/>
      <c r="N36" s="154"/>
      <c r="O36" s="159"/>
      <c r="P36" s="155"/>
      <c r="Q36" s="156"/>
      <c r="R36" s="130"/>
    </row>
    <row r="37" spans="1:18" ht="14.5">
      <c r="A37" s="265" t="str">
        <f>"1.8) À quel prix devrait-elle vendre son produit pour avoir un profit net de "&amp;TEXT(Feuil2!C24,"## ### $")&amp;" par année ?"</f>
        <v>1.8) À quel prix devrait-elle vendre son produit pour avoir un profit net de 750 000 $ par année ?</v>
      </c>
      <c r="B37" s="265"/>
      <c r="C37" s="265"/>
      <c r="D37" s="265"/>
      <c r="E37" s="265"/>
      <c r="F37" s="265"/>
      <c r="G37" s="265"/>
      <c r="H37" s="265"/>
      <c r="J37" s="154"/>
      <c r="K37" s="155"/>
      <c r="L37" s="155"/>
      <c r="M37" s="156"/>
      <c r="N37" s="160"/>
      <c r="O37" s="178"/>
      <c r="P37" s="155"/>
      <c r="Q37" s="156"/>
      <c r="R37" s="130"/>
    </row>
    <row r="38" spans="1:18" ht="14.5">
      <c r="A38" s="147"/>
      <c r="B38" s="147"/>
      <c r="C38" s="147"/>
      <c r="D38" s="147"/>
      <c r="E38" s="147"/>
      <c r="F38" s="147"/>
      <c r="G38" s="147"/>
      <c r="H38" s="147"/>
      <c r="J38" s="154"/>
      <c r="K38" s="155"/>
      <c r="L38" s="161"/>
      <c r="M38" s="172"/>
      <c r="N38" s="154"/>
      <c r="O38" s="159"/>
      <c r="P38" s="155"/>
      <c r="Q38" s="156"/>
      <c r="R38" s="130"/>
    </row>
    <row r="39" spans="1:18" thickBot="1">
      <c r="A39" s="260" t="s">
        <v>29</v>
      </c>
      <c r="B39" s="259"/>
      <c r="C39" s="259"/>
      <c r="D39" s="259"/>
      <c r="E39" s="259"/>
      <c r="F39" s="259"/>
      <c r="G39" s="259"/>
      <c r="H39" s="259"/>
      <c r="J39" s="157"/>
      <c r="K39" s="173"/>
      <c r="L39" s="168" t="s">
        <v>27</v>
      </c>
      <c r="M39" s="167"/>
      <c r="N39" s="154"/>
      <c r="O39" s="159"/>
      <c r="P39" s="161"/>
      <c r="Q39" s="172"/>
      <c r="R39" s="130"/>
    </row>
    <row r="40" spans="1:18" ht="16" customHeight="1">
      <c r="A40" s="290" t="s">
        <v>77</v>
      </c>
      <c r="B40" s="290"/>
      <c r="C40" s="290"/>
      <c r="D40" s="290"/>
      <c r="E40" s="290"/>
      <c r="F40" s="290"/>
      <c r="G40" s="290"/>
      <c r="H40" s="290"/>
      <c r="J40" s="130"/>
      <c r="K40" s="130"/>
      <c r="L40" s="130"/>
      <c r="M40" s="128"/>
      <c r="N40" s="154"/>
      <c r="O40" s="159"/>
      <c r="P40" s="161"/>
      <c r="Q40" s="172"/>
      <c r="R40" s="130"/>
    </row>
    <row r="41" spans="1:18" thickBot="1">
      <c r="A41" s="290"/>
      <c r="B41" s="290"/>
      <c r="C41" s="290"/>
      <c r="D41" s="290"/>
      <c r="E41" s="290"/>
      <c r="F41" s="290"/>
      <c r="G41" s="290"/>
      <c r="H41" s="290"/>
      <c r="J41" s="130"/>
      <c r="K41" s="130"/>
      <c r="L41" s="130"/>
      <c r="M41" s="128"/>
      <c r="N41" s="157" t="s">
        <v>32</v>
      </c>
      <c r="O41" s="169"/>
      <c r="P41" s="173"/>
      <c r="Q41" s="179"/>
      <c r="R41" s="130"/>
    </row>
    <row r="42" spans="1:18" thickBot="1">
      <c r="A42" s="290"/>
      <c r="B42" s="290"/>
      <c r="C42" s="290"/>
      <c r="D42" s="290"/>
      <c r="E42" s="290"/>
      <c r="F42" s="290"/>
      <c r="G42" s="290"/>
      <c r="H42" s="290"/>
      <c r="J42" s="130"/>
      <c r="K42" s="130"/>
      <c r="L42" s="130"/>
      <c r="M42" s="130"/>
      <c r="N42" s="130"/>
      <c r="O42" s="130"/>
      <c r="P42" s="130"/>
      <c r="Q42" s="130"/>
      <c r="R42" s="130"/>
    </row>
    <row r="43" spans="1:18" ht="16" customHeight="1" thickBot="1">
      <c r="A43" s="290" t="str">
        <f>"Pour effectuer l’achat de ce nouvel équipement, la compagnie devra utiliser des placements lui rapportant du "&amp;TEXT(Feuil2!E44,"##%")&amp;" d'intérêts annuellement."</f>
        <v>Pour effectuer l’achat de ce nouvel équipement, la compagnie devra utiliser des placements lui rapportant du 9% d'intérêts annuellement.</v>
      </c>
      <c r="B43" s="290"/>
      <c r="C43" s="290"/>
      <c r="D43" s="290"/>
      <c r="E43" s="290"/>
      <c r="F43" s="290"/>
      <c r="G43" s="290"/>
      <c r="H43" s="290"/>
      <c r="J43" s="266" t="s">
        <v>111</v>
      </c>
      <c r="K43" s="267"/>
      <c r="L43" s="271" t="s">
        <v>105</v>
      </c>
      <c r="M43" s="267"/>
      <c r="N43" s="266" t="s">
        <v>106</v>
      </c>
      <c r="O43" s="267"/>
      <c r="P43" s="266" t="s">
        <v>107</v>
      </c>
      <c r="Q43" s="267"/>
      <c r="R43" s="130"/>
    </row>
    <row r="44" spans="1:18" ht="14.5">
      <c r="A44" s="290"/>
      <c r="B44" s="290"/>
      <c r="C44" s="290"/>
      <c r="D44" s="290"/>
      <c r="E44" s="290"/>
      <c r="F44" s="290"/>
      <c r="G44" s="290"/>
      <c r="H44" s="290"/>
      <c r="J44" s="154"/>
      <c r="K44" s="156"/>
      <c r="L44" s="155"/>
      <c r="M44" s="156"/>
      <c r="N44" s="154"/>
      <c r="O44" s="185"/>
      <c r="P44" s="154"/>
      <c r="Q44" s="185"/>
      <c r="R44" s="130"/>
    </row>
    <row r="45" spans="1:18" ht="14.5">
      <c r="A45" s="291" t="s">
        <v>112</v>
      </c>
      <c r="B45" s="291"/>
      <c r="C45" s="291"/>
      <c r="D45" s="291"/>
      <c r="E45" s="291"/>
      <c r="F45" s="291"/>
      <c r="G45" s="291"/>
      <c r="H45" s="291"/>
      <c r="J45" s="154"/>
      <c r="K45" s="172"/>
      <c r="L45" s="155"/>
      <c r="M45" s="156"/>
      <c r="N45" s="160"/>
      <c r="O45" s="186"/>
      <c r="P45" s="154"/>
      <c r="Q45" s="186"/>
      <c r="R45" s="130"/>
    </row>
    <row r="46" spans="1:18" thickBot="1">
      <c r="A46" s="13"/>
      <c r="J46" s="154"/>
      <c r="K46" s="156"/>
      <c r="L46" s="155"/>
      <c r="M46" s="156"/>
      <c r="N46" s="154"/>
      <c r="O46" s="185"/>
      <c r="P46" s="154"/>
      <c r="Q46" s="172"/>
      <c r="R46" s="130"/>
    </row>
    <row r="47" spans="1:18" ht="14.5">
      <c r="A47" s="146"/>
      <c r="C47" s="280" t="s">
        <v>65</v>
      </c>
      <c r="D47" s="281"/>
      <c r="E47" s="281"/>
      <c r="F47" s="282"/>
      <c r="J47" s="154"/>
      <c r="K47" s="156"/>
      <c r="L47" s="155"/>
      <c r="M47" s="156"/>
      <c r="N47" s="187" t="s">
        <v>34</v>
      </c>
      <c r="O47" s="188"/>
      <c r="P47" s="160"/>
      <c r="Q47" s="172"/>
      <c r="R47" s="130"/>
    </row>
    <row r="48" spans="1:18" ht="14.5">
      <c r="A48" s="146"/>
      <c r="C48" s="283"/>
      <c r="D48" s="284"/>
      <c r="E48" s="284"/>
      <c r="F48" s="285"/>
      <c r="J48" s="180" t="s">
        <v>137</v>
      </c>
      <c r="K48" s="181"/>
      <c r="L48" s="155" t="s">
        <v>99</v>
      </c>
      <c r="M48" s="183"/>
      <c r="N48" s="154"/>
      <c r="O48" s="156"/>
      <c r="P48" s="160"/>
      <c r="Q48" s="172"/>
      <c r="R48" s="130"/>
    </row>
    <row r="49" spans="1:18" thickBot="1">
      <c r="A49" s="146"/>
      <c r="C49" s="286"/>
      <c r="D49" s="287"/>
      <c r="E49" s="287"/>
      <c r="F49" s="288"/>
      <c r="J49" s="180" t="s">
        <v>41</v>
      </c>
      <c r="K49" s="182"/>
      <c r="L49" s="155"/>
      <c r="M49" s="156"/>
      <c r="N49" s="154"/>
      <c r="O49" s="185"/>
      <c r="P49" s="154"/>
      <c r="Q49" s="185"/>
      <c r="R49" s="130"/>
    </row>
    <row r="50" spans="1:18" thickBot="1">
      <c r="A50" s="146"/>
      <c r="C50" s="39" t="s">
        <v>61</v>
      </c>
      <c r="D50" s="40"/>
      <c r="E50" s="40"/>
      <c r="F50" s="41">
        <f>Feuil2!E31</f>
        <v>13</v>
      </c>
      <c r="J50" s="157"/>
      <c r="K50" s="179"/>
      <c r="L50" s="155"/>
      <c r="M50" s="156"/>
      <c r="N50" s="154"/>
      <c r="O50" s="185"/>
      <c r="P50" s="166" t="s">
        <v>110</v>
      </c>
      <c r="Q50" s="158"/>
      <c r="R50" s="130"/>
    </row>
    <row r="51" spans="1:18" ht="14.5">
      <c r="A51" s="146"/>
      <c r="C51" s="42" t="s">
        <v>62</v>
      </c>
      <c r="D51" s="43"/>
      <c r="E51" s="43"/>
      <c r="F51" s="44">
        <f>Feuil2!E32</f>
        <v>4200</v>
      </c>
      <c r="J51" s="130"/>
      <c r="K51" s="130"/>
      <c r="L51" s="154"/>
      <c r="M51" s="156"/>
      <c r="N51" s="187" t="s">
        <v>138</v>
      </c>
      <c r="O51" s="183"/>
      <c r="P51" s="130"/>
      <c r="Q51" s="130"/>
      <c r="R51" s="130"/>
    </row>
    <row r="52" spans="1:18" thickBot="1">
      <c r="A52" s="146"/>
      <c r="C52" s="42" t="s">
        <v>63</v>
      </c>
      <c r="D52" s="43"/>
      <c r="E52" s="43"/>
      <c r="F52" s="54">
        <f>Feuil2!E33</f>
        <v>4.8</v>
      </c>
      <c r="J52" s="130"/>
      <c r="K52" s="130"/>
      <c r="L52" s="157" t="s">
        <v>100</v>
      </c>
      <c r="M52" s="184"/>
      <c r="N52" s="154"/>
      <c r="O52" s="156"/>
      <c r="P52" s="130"/>
      <c r="Q52" s="130"/>
      <c r="R52" s="130"/>
    </row>
    <row r="53" spans="1:18" ht="14.5">
      <c r="A53" s="146"/>
      <c r="C53" s="42" t="s">
        <v>53</v>
      </c>
      <c r="D53" s="43"/>
      <c r="E53" s="43"/>
      <c r="F53" s="44">
        <f>Feuil2!E34</f>
        <v>14700</v>
      </c>
      <c r="J53" s="130"/>
      <c r="K53" s="130"/>
      <c r="L53" s="130"/>
      <c r="M53" s="130"/>
      <c r="N53" s="189"/>
      <c r="O53" s="185"/>
      <c r="P53" s="116"/>
      <c r="Q53" s="116"/>
      <c r="R53" s="130"/>
    </row>
    <row r="54" spans="1:18" ht="14.5">
      <c r="A54" s="146"/>
      <c r="C54" s="42" t="s">
        <v>54</v>
      </c>
      <c r="D54" s="43"/>
      <c r="E54" s="43"/>
      <c r="F54" s="54">
        <f>Feuil2!E35</f>
        <v>4</v>
      </c>
      <c r="J54" s="130"/>
      <c r="K54" s="130"/>
      <c r="L54" s="130"/>
      <c r="M54" s="130"/>
      <c r="N54" s="154"/>
      <c r="O54" s="185"/>
      <c r="P54" s="116"/>
      <c r="Q54" s="133"/>
      <c r="R54" s="130"/>
    </row>
    <row r="55" spans="1:18" ht="14.5">
      <c r="A55" s="146"/>
      <c r="C55" s="42" t="s">
        <v>64</v>
      </c>
      <c r="D55" s="43"/>
      <c r="E55" s="43"/>
      <c r="F55" s="54">
        <f>Feuil2!E36</f>
        <v>25</v>
      </c>
      <c r="J55" s="130"/>
      <c r="K55" s="130"/>
      <c r="L55" s="130"/>
      <c r="M55" s="130"/>
      <c r="N55" s="187" t="s">
        <v>35</v>
      </c>
      <c r="O55" s="190"/>
      <c r="P55" s="116"/>
      <c r="Q55" s="133"/>
      <c r="R55" s="130"/>
    </row>
    <row r="56" spans="1:18" thickBot="1">
      <c r="A56" s="146"/>
      <c r="C56" s="42" t="s">
        <v>55</v>
      </c>
      <c r="D56" s="43"/>
      <c r="E56" s="43"/>
      <c r="F56" s="45">
        <f>Feuil2!E37</f>
        <v>258000</v>
      </c>
      <c r="J56" s="130"/>
      <c r="K56" s="130"/>
      <c r="L56" s="130"/>
      <c r="M56" s="130"/>
      <c r="N56" s="157"/>
      <c r="O56" s="179"/>
      <c r="P56" s="134"/>
      <c r="Q56" s="116"/>
      <c r="R56" s="130"/>
    </row>
    <row r="57" spans="1:18" ht="14.5">
      <c r="A57" s="146"/>
      <c r="C57" s="46" t="s">
        <v>78</v>
      </c>
      <c r="D57" s="47"/>
      <c r="E57" s="47"/>
      <c r="F57" s="48">
        <f>Feuil2!E38</f>
        <v>374000</v>
      </c>
      <c r="J57" s="130"/>
      <c r="K57" s="130"/>
      <c r="L57" s="130"/>
      <c r="M57" s="130"/>
      <c r="N57" s="130"/>
      <c r="O57" s="130"/>
      <c r="P57" s="130"/>
      <c r="Q57" s="116"/>
      <c r="R57" s="130"/>
    </row>
    <row r="58" spans="1:18" ht="14.5">
      <c r="A58" s="146"/>
      <c r="C58" s="42" t="s">
        <v>57</v>
      </c>
      <c r="D58" s="43"/>
      <c r="E58" s="43"/>
      <c r="F58" s="44">
        <f>Feuil2!E39</f>
        <v>72000</v>
      </c>
      <c r="J58" s="130"/>
      <c r="K58" s="130"/>
      <c r="L58" s="130"/>
      <c r="M58" s="130"/>
      <c r="N58" s="130"/>
      <c r="O58" s="130"/>
      <c r="P58" s="130"/>
      <c r="Q58" s="130"/>
      <c r="R58" s="130"/>
    </row>
    <row r="59" spans="1:18" ht="14.5">
      <c r="A59" s="146"/>
      <c r="C59" s="42" t="s">
        <v>58</v>
      </c>
      <c r="D59" s="43"/>
      <c r="E59" s="43"/>
      <c r="F59" s="49">
        <f>Feuil2!E40</f>
        <v>2021</v>
      </c>
      <c r="J59" s="293" t="s">
        <v>29</v>
      </c>
      <c r="K59" s="293"/>
      <c r="L59" s="293"/>
      <c r="M59" s="293"/>
      <c r="N59" s="293"/>
      <c r="O59" s="293"/>
      <c r="P59" s="293"/>
      <c r="Q59" s="293"/>
      <c r="R59" s="138"/>
    </row>
    <row r="60" spans="1:18" ht="15" customHeight="1" thickBot="1">
      <c r="A60" s="38"/>
      <c r="C60" s="42" t="s">
        <v>59</v>
      </c>
      <c r="D60" s="43"/>
      <c r="E60" s="43"/>
      <c r="F60" s="50">
        <f>Feuil2!E41</f>
        <v>25</v>
      </c>
      <c r="J60" s="130"/>
      <c r="K60" s="130"/>
      <c r="L60" s="135"/>
      <c r="M60" s="135"/>
      <c r="N60" s="135"/>
      <c r="O60" s="130"/>
      <c r="P60" s="130"/>
      <c r="Q60" s="135"/>
      <c r="R60" s="130"/>
    </row>
    <row r="61" spans="1:18" ht="15" customHeight="1" thickBot="1">
      <c r="A61" s="38"/>
      <c r="C61" s="51" t="s">
        <v>60</v>
      </c>
      <c r="D61" s="52"/>
      <c r="E61" s="52"/>
      <c r="F61" s="53">
        <f>Feuil2!E42</f>
        <v>31000</v>
      </c>
      <c r="J61" s="266" t="s">
        <v>113</v>
      </c>
      <c r="K61" s="267"/>
      <c r="L61" s="130"/>
      <c r="M61" s="135"/>
      <c r="N61" s="135"/>
      <c r="O61" s="130"/>
      <c r="P61" s="130"/>
      <c r="Q61" s="135"/>
      <c r="R61" s="130"/>
    </row>
    <row r="62" spans="1:18" ht="15.75" customHeight="1">
      <c r="A62" s="38"/>
      <c r="J62" s="154"/>
      <c r="K62" s="185"/>
      <c r="L62" s="130"/>
      <c r="M62" s="135"/>
      <c r="N62" s="135"/>
      <c r="O62" s="130"/>
      <c r="P62" s="130"/>
      <c r="Q62" s="135"/>
      <c r="R62" s="130"/>
    </row>
    <row r="63" spans="1:18" ht="15.75" customHeight="1">
      <c r="A63" s="56" t="s">
        <v>123</v>
      </c>
      <c r="B63" s="12"/>
      <c r="C63" s="12"/>
      <c r="D63" s="12"/>
      <c r="E63" s="12"/>
      <c r="F63" s="12"/>
      <c r="G63" s="12"/>
      <c r="H63" s="12"/>
      <c r="J63" s="160"/>
      <c r="K63" s="191"/>
      <c r="L63" s="130"/>
      <c r="M63" s="135"/>
      <c r="N63" s="135"/>
      <c r="O63" s="130"/>
      <c r="P63" s="130"/>
      <c r="Q63" s="135"/>
      <c r="R63" s="130"/>
    </row>
    <row r="64" spans="1:18" ht="15.75" customHeight="1">
      <c r="A64" s="251"/>
      <c r="B64" s="251"/>
      <c r="C64" s="251"/>
      <c r="D64" s="251"/>
      <c r="E64" s="251"/>
      <c r="F64" s="251"/>
      <c r="G64" s="251"/>
      <c r="H64" s="251"/>
      <c r="J64" s="160"/>
      <c r="K64" s="185"/>
      <c r="L64" s="130"/>
      <c r="M64" s="135"/>
      <c r="N64" s="135"/>
      <c r="O64" s="130"/>
      <c r="P64" s="130"/>
      <c r="Q64" s="135"/>
      <c r="R64" s="130"/>
    </row>
    <row r="65" spans="1:18" ht="15.75" customHeight="1">
      <c r="A65" s="251" t="s">
        <v>117</v>
      </c>
      <c r="B65" s="251"/>
      <c r="C65" s="251"/>
      <c r="D65" s="251"/>
      <c r="E65" s="251"/>
      <c r="F65" s="251"/>
      <c r="G65" s="251"/>
      <c r="H65" s="251"/>
      <c r="J65" s="160"/>
      <c r="K65" s="185"/>
      <c r="L65" s="130"/>
      <c r="M65" s="135"/>
      <c r="N65" s="135"/>
      <c r="O65" s="130"/>
      <c r="P65" s="130"/>
      <c r="Q65" s="135"/>
      <c r="R65" s="130"/>
    </row>
    <row r="66" spans="1:18" ht="14.25" customHeight="1" thickBot="1">
      <c r="A66" s="251" t="s">
        <v>79</v>
      </c>
      <c r="B66" s="251"/>
      <c r="C66" s="251"/>
      <c r="D66" s="251"/>
      <c r="E66" s="251"/>
      <c r="F66" s="251"/>
      <c r="G66" s="251"/>
      <c r="H66" s="251"/>
      <c r="J66" s="166" t="s">
        <v>116</v>
      </c>
      <c r="K66" s="184"/>
      <c r="L66" s="130"/>
      <c r="M66" s="135"/>
      <c r="N66" s="135"/>
      <c r="O66" s="135"/>
      <c r="P66" s="135"/>
      <c r="Q66" s="135"/>
      <c r="R66" s="130"/>
    </row>
    <row r="67" spans="1:18" ht="14.25" customHeight="1">
      <c r="A67" s="251" t="s">
        <v>80</v>
      </c>
      <c r="B67" s="251"/>
      <c r="C67" s="251"/>
      <c r="D67" s="251"/>
      <c r="E67" s="251"/>
      <c r="F67" s="251"/>
      <c r="G67" s="251"/>
      <c r="H67" s="251"/>
      <c r="J67" s="106"/>
      <c r="K67" s="132"/>
      <c r="L67" s="130"/>
      <c r="M67" s="135"/>
      <c r="N67" s="135"/>
      <c r="O67" s="135"/>
      <c r="P67" s="135"/>
      <c r="Q67" s="135"/>
      <c r="R67" s="130"/>
    </row>
    <row r="68" spans="1:18" ht="14.25" customHeight="1" thickBot="1">
      <c r="A68" s="251"/>
      <c r="B68" s="251"/>
      <c r="C68" s="251"/>
      <c r="D68" s="251"/>
      <c r="E68" s="251"/>
      <c r="F68" s="251"/>
      <c r="G68" s="251"/>
      <c r="H68" s="251"/>
      <c r="J68" s="106"/>
      <c r="K68" s="132"/>
      <c r="L68" s="130"/>
      <c r="M68" s="135"/>
      <c r="N68" s="135"/>
      <c r="O68" s="135"/>
      <c r="P68" s="135"/>
      <c r="Q68" s="135"/>
      <c r="R68" s="130"/>
    </row>
    <row r="69" spans="1:18" ht="14.25" customHeight="1" thickBot="1">
      <c r="A69" s="251"/>
      <c r="B69" s="251"/>
      <c r="C69" s="251"/>
      <c r="D69" s="251"/>
      <c r="E69" s="251"/>
      <c r="F69" s="251"/>
      <c r="G69" s="251"/>
      <c r="H69" s="251"/>
      <c r="J69" s="266" t="s">
        <v>127</v>
      </c>
      <c r="K69" s="271"/>
      <c r="L69" s="267"/>
      <c r="M69" s="266" t="s">
        <v>128</v>
      </c>
      <c r="N69" s="271"/>
      <c r="O69" s="267"/>
      <c r="P69" s="135"/>
      <c r="Q69" s="135"/>
      <c r="R69" s="130"/>
    </row>
    <row r="70" spans="1:18" ht="14.25" customHeight="1">
      <c r="A70" s="251" t="s">
        <v>74</v>
      </c>
      <c r="B70" s="251"/>
      <c r="C70" s="251"/>
      <c r="D70" s="251"/>
      <c r="E70" s="251"/>
      <c r="F70" s="251"/>
      <c r="G70" s="251"/>
      <c r="H70" s="251"/>
      <c r="J70" s="154"/>
      <c r="K70" s="155"/>
      <c r="L70" s="156"/>
      <c r="M70" s="154"/>
      <c r="N70" s="155"/>
      <c r="O70" s="156"/>
      <c r="P70" s="135"/>
      <c r="Q70" s="135"/>
      <c r="R70" s="130"/>
    </row>
    <row r="71" spans="1:18" ht="14.25" customHeight="1">
      <c r="A71" s="251" t="s">
        <v>83</v>
      </c>
      <c r="B71" s="251"/>
      <c r="C71" s="251"/>
      <c r="D71" s="251"/>
      <c r="E71" s="251"/>
      <c r="F71" s="251"/>
      <c r="G71" s="251"/>
      <c r="H71" s="251"/>
      <c r="J71" s="154"/>
      <c r="K71" s="161"/>
      <c r="L71" s="185"/>
      <c r="M71" s="154"/>
      <c r="N71" s="161"/>
      <c r="O71" s="185"/>
      <c r="P71" s="135"/>
      <c r="Q71" s="135"/>
      <c r="R71" s="130"/>
    </row>
    <row r="72" spans="1:18" ht="14.25" customHeight="1">
      <c r="A72" s="251" t="s">
        <v>73</v>
      </c>
      <c r="B72" s="251"/>
      <c r="C72" s="251"/>
      <c r="D72" s="251"/>
      <c r="E72" s="251"/>
      <c r="F72" s="251"/>
      <c r="G72" s="251"/>
      <c r="H72" s="251"/>
      <c r="J72" s="154"/>
      <c r="K72" s="161"/>
      <c r="L72" s="165"/>
      <c r="M72" s="154"/>
      <c r="N72" s="161"/>
      <c r="O72" s="165"/>
      <c r="P72" s="135"/>
      <c r="Q72" s="135"/>
      <c r="R72" s="130"/>
    </row>
    <row r="73" spans="1:18" ht="14.25" customHeight="1">
      <c r="A73" s="251"/>
      <c r="B73" s="251"/>
      <c r="C73" s="251"/>
      <c r="D73" s="251"/>
      <c r="E73" s="251"/>
      <c r="F73" s="251"/>
      <c r="G73" s="251"/>
      <c r="H73" s="251"/>
      <c r="J73" s="154"/>
      <c r="K73" s="155"/>
      <c r="L73" s="156"/>
      <c r="M73" s="154"/>
      <c r="N73" s="155"/>
      <c r="O73" s="156"/>
      <c r="P73" s="135"/>
      <c r="Q73" s="135"/>
      <c r="R73" s="130"/>
    </row>
    <row r="74" spans="1:18" ht="14.25" customHeight="1">
      <c r="A74" s="251" t="s">
        <v>130</v>
      </c>
      <c r="B74" s="251"/>
      <c r="C74" s="251"/>
      <c r="D74" s="251"/>
      <c r="E74" s="251"/>
      <c r="F74" s="251"/>
      <c r="G74" s="251"/>
      <c r="H74" s="251"/>
      <c r="J74" s="154"/>
      <c r="K74" s="155"/>
      <c r="L74" s="192"/>
      <c r="M74" s="154"/>
      <c r="N74" s="155"/>
      <c r="O74" s="192"/>
      <c r="P74" s="135"/>
      <c r="Q74" s="135"/>
      <c r="R74" s="130"/>
    </row>
    <row r="75" spans="1:18" ht="14.25" customHeight="1" thickBot="1">
      <c r="J75" s="292" t="s">
        <v>132</v>
      </c>
      <c r="K75" s="279"/>
      <c r="L75" s="193"/>
      <c r="M75" s="157"/>
      <c r="N75" s="168" t="s">
        <v>134</v>
      </c>
      <c r="O75" s="204"/>
      <c r="P75" s="135"/>
      <c r="Q75" s="135"/>
      <c r="R75" s="130"/>
    </row>
    <row r="76" spans="1:18" ht="14.25" customHeight="1" thickBot="1">
      <c r="J76" s="135"/>
      <c r="K76" s="135"/>
      <c r="L76" s="135"/>
      <c r="M76" s="135"/>
      <c r="N76" s="135"/>
      <c r="O76" s="135"/>
      <c r="P76" s="135"/>
      <c r="Q76" s="135"/>
      <c r="R76" s="130"/>
    </row>
    <row r="77" spans="1:18" ht="14.25" customHeight="1" thickBot="1">
      <c r="J77" s="268" t="s">
        <v>131</v>
      </c>
      <c r="K77" s="269"/>
      <c r="L77" s="269"/>
      <c r="M77" s="270"/>
      <c r="N77" s="130"/>
      <c r="O77" s="130"/>
      <c r="P77" s="135"/>
      <c r="Q77" s="135"/>
      <c r="R77" s="130"/>
    </row>
    <row r="78" spans="1:18" ht="14.25" customHeight="1">
      <c r="J78" s="154"/>
      <c r="K78" s="155"/>
      <c r="L78" s="155"/>
      <c r="M78" s="172"/>
      <c r="N78" s="130"/>
      <c r="O78" s="130"/>
      <c r="P78" s="135"/>
      <c r="Q78" s="135"/>
      <c r="R78" s="130"/>
    </row>
    <row r="79" spans="1:18" ht="14.25" customHeight="1">
      <c r="J79" s="154"/>
      <c r="K79" s="161"/>
      <c r="L79" s="161"/>
      <c r="M79" s="172"/>
      <c r="N79" s="130"/>
      <c r="O79" s="130"/>
      <c r="P79" s="135"/>
      <c r="Q79" s="135"/>
      <c r="R79" s="130"/>
    </row>
    <row r="80" spans="1:18" ht="14.25" customHeight="1">
      <c r="J80" s="154"/>
      <c r="K80" s="161"/>
      <c r="L80" s="161"/>
      <c r="M80" s="172"/>
      <c r="N80" s="130"/>
      <c r="O80" s="130"/>
      <c r="P80" s="135"/>
      <c r="Q80" s="135"/>
      <c r="R80" s="130"/>
    </row>
    <row r="81" spans="10:18" ht="14.25" customHeight="1">
      <c r="J81" s="154"/>
      <c r="K81" s="155"/>
      <c r="L81" s="155"/>
      <c r="M81" s="172"/>
      <c r="N81" s="130"/>
      <c r="O81" s="130"/>
      <c r="P81" s="135"/>
      <c r="Q81" s="135"/>
      <c r="R81" s="130"/>
    </row>
    <row r="82" spans="10:18" ht="14.25" customHeight="1">
      <c r="J82" s="154"/>
      <c r="K82" s="155"/>
      <c r="L82" s="163"/>
      <c r="M82" s="172"/>
      <c r="N82" s="130"/>
      <c r="O82" s="130"/>
      <c r="P82" s="135"/>
      <c r="Q82" s="135"/>
      <c r="R82" s="130"/>
    </row>
    <row r="83" spans="10:18" ht="14.25" customHeight="1" thickBot="1">
      <c r="J83" s="194"/>
      <c r="K83" s="170" t="s">
        <v>142</v>
      </c>
      <c r="L83" s="195" t="s">
        <v>125</v>
      </c>
      <c r="M83" s="193"/>
      <c r="N83" s="116"/>
      <c r="O83" s="116"/>
      <c r="P83" s="135"/>
      <c r="Q83" s="135"/>
      <c r="R83" s="130"/>
    </row>
    <row r="84" spans="10:18" ht="14.25" customHeight="1" thickBot="1">
      <c r="J84" s="130"/>
      <c r="K84" s="130"/>
      <c r="L84" s="135"/>
      <c r="M84" s="135"/>
      <c r="N84" s="130"/>
      <c r="O84" s="130"/>
      <c r="P84" s="135"/>
      <c r="Q84" s="135"/>
      <c r="R84" s="130"/>
    </row>
    <row r="85" spans="10:18" ht="14.25" customHeight="1" thickBot="1">
      <c r="J85" s="272" t="s">
        <v>129</v>
      </c>
      <c r="K85" s="273"/>
      <c r="L85" s="273"/>
      <c r="M85" s="274"/>
      <c r="N85" s="128"/>
      <c r="O85" s="128"/>
      <c r="P85" s="106"/>
      <c r="Q85" s="106"/>
      <c r="R85" s="130"/>
    </row>
    <row r="86" spans="10:18" ht="14.25" customHeight="1">
      <c r="J86" s="154"/>
      <c r="K86" s="155"/>
      <c r="L86" s="155"/>
      <c r="M86" s="172"/>
      <c r="N86" s="136"/>
      <c r="O86" s="136"/>
      <c r="P86" s="116"/>
      <c r="Q86" s="116"/>
      <c r="R86" s="130"/>
    </row>
    <row r="87" spans="10:18" ht="14.25" customHeight="1">
      <c r="J87" s="154"/>
      <c r="K87" s="161"/>
      <c r="L87" s="161"/>
      <c r="M87" s="172"/>
      <c r="N87" s="136"/>
      <c r="O87" s="136"/>
      <c r="P87" s="116"/>
      <c r="Q87" s="116"/>
      <c r="R87" s="130"/>
    </row>
    <row r="88" spans="10:18" ht="14.25" customHeight="1">
      <c r="J88" s="154"/>
      <c r="K88" s="161"/>
      <c r="L88" s="161"/>
      <c r="M88" s="172"/>
      <c r="N88" s="136"/>
      <c r="O88" s="136"/>
      <c r="P88" s="116"/>
      <c r="Q88" s="116"/>
      <c r="R88" s="130"/>
    </row>
    <row r="89" spans="10:18" ht="14.25" customHeight="1">
      <c r="J89" s="154"/>
      <c r="K89" s="155"/>
      <c r="L89" s="155"/>
      <c r="M89" s="172"/>
      <c r="N89" s="136"/>
      <c r="O89" s="136"/>
      <c r="P89" s="116"/>
      <c r="Q89" s="116"/>
      <c r="R89" s="130"/>
    </row>
    <row r="90" spans="10:18" ht="14.25" customHeight="1">
      <c r="J90" s="154"/>
      <c r="K90" s="155"/>
      <c r="L90" s="163"/>
      <c r="M90" s="172"/>
      <c r="N90" s="136"/>
      <c r="O90" s="136"/>
      <c r="P90" s="116"/>
      <c r="Q90" s="116"/>
      <c r="R90" s="130"/>
    </row>
    <row r="91" spans="10:18" ht="14.25" customHeight="1" thickBot="1">
      <c r="J91" s="194"/>
      <c r="K91" s="170" t="s">
        <v>142</v>
      </c>
      <c r="L91" s="195" t="s">
        <v>126</v>
      </c>
      <c r="M91" s="193"/>
      <c r="N91" s="116"/>
      <c r="O91" s="116"/>
      <c r="P91" s="116"/>
      <c r="Q91" s="116"/>
      <c r="R91" s="130"/>
    </row>
    <row r="92" spans="10:18" ht="14.25" customHeight="1" thickBot="1">
      <c r="J92" s="137"/>
      <c r="K92" s="116"/>
      <c r="L92" s="116"/>
      <c r="M92" s="116"/>
      <c r="N92" s="116"/>
      <c r="O92" s="116"/>
      <c r="P92" s="116"/>
      <c r="Q92" s="116"/>
      <c r="R92" s="130"/>
    </row>
    <row r="93" spans="10:18" ht="14.25" customHeight="1" thickBot="1">
      <c r="J93" s="268" t="s">
        <v>133</v>
      </c>
      <c r="K93" s="269"/>
      <c r="L93" s="269"/>
      <c r="M93" s="270"/>
      <c r="N93" s="116"/>
      <c r="O93" s="116"/>
      <c r="P93" s="116"/>
      <c r="Q93" s="116"/>
      <c r="R93" s="130"/>
    </row>
    <row r="94" spans="10:18" ht="14.25" customHeight="1">
      <c r="J94" s="154"/>
      <c r="K94" s="155"/>
      <c r="L94" s="155"/>
      <c r="M94" s="172"/>
      <c r="N94" s="116"/>
      <c r="O94" s="116"/>
      <c r="P94" s="116"/>
      <c r="Q94" s="116"/>
      <c r="R94" s="130"/>
    </row>
    <row r="95" spans="10:18" ht="14.25" customHeight="1">
      <c r="J95" s="154"/>
      <c r="K95" s="178"/>
      <c r="L95" s="161"/>
      <c r="M95" s="172"/>
      <c r="N95" s="116"/>
      <c r="O95" s="116"/>
      <c r="P95" s="116"/>
      <c r="Q95" s="116"/>
      <c r="R95" s="130"/>
    </row>
    <row r="96" spans="10:18" ht="14.25" customHeight="1">
      <c r="J96" s="154"/>
      <c r="K96" s="161"/>
      <c r="L96" s="161"/>
      <c r="M96" s="172"/>
      <c r="N96" s="116"/>
      <c r="O96" s="116"/>
      <c r="P96" s="116"/>
      <c r="Q96" s="116"/>
      <c r="R96" s="130"/>
    </row>
    <row r="97" spans="10:18" ht="14.25" customHeight="1">
      <c r="J97" s="154"/>
      <c r="K97" s="155"/>
      <c r="L97" s="155"/>
      <c r="M97" s="172"/>
      <c r="N97" s="116"/>
      <c r="O97" s="116"/>
      <c r="P97" s="116"/>
      <c r="Q97" s="116"/>
      <c r="R97" s="130"/>
    </row>
    <row r="98" spans="10:18" ht="14.25" customHeight="1">
      <c r="J98" s="154"/>
      <c r="K98" s="155"/>
      <c r="L98" s="163"/>
      <c r="M98" s="172"/>
      <c r="N98" s="116"/>
      <c r="O98" s="116"/>
      <c r="P98" s="116"/>
      <c r="Q98" s="116"/>
      <c r="R98" s="130"/>
    </row>
    <row r="99" spans="10:18" ht="14.25" customHeight="1" thickBot="1">
      <c r="J99" s="194"/>
      <c r="K99" s="170"/>
      <c r="L99" s="195" t="s">
        <v>139</v>
      </c>
      <c r="M99" s="193"/>
      <c r="N99" s="116"/>
      <c r="O99" s="116"/>
      <c r="P99" s="116"/>
      <c r="Q99" s="116"/>
      <c r="R99" s="130"/>
    </row>
    <row r="100" spans="10:18" ht="14.25" customHeight="1">
      <c r="J100" s="61"/>
      <c r="K100" s="85"/>
      <c r="L100" s="85"/>
      <c r="M100" s="61"/>
      <c r="N100" s="61"/>
      <c r="O100" s="61"/>
      <c r="P100" s="61"/>
      <c r="Q100" s="61"/>
    </row>
    <row r="101" spans="10:18" ht="14.25" customHeight="1"/>
    <row r="102" spans="10:18" ht="14.25" customHeight="1"/>
    <row r="103" spans="10:18" ht="14.25" customHeight="1"/>
    <row r="104" spans="10:18" ht="14.25" customHeight="1"/>
    <row r="105" spans="10:18" ht="14.25" customHeight="1"/>
    <row r="106" spans="10:18" ht="14.25" customHeight="1"/>
    <row r="107" spans="10:18" ht="14.25" customHeight="1"/>
    <row r="108" spans="10:18" ht="14.25" customHeight="1"/>
    <row r="109" spans="10:18" ht="14.25" customHeight="1"/>
    <row r="110" spans="10:18" ht="14.25" customHeight="1"/>
    <row r="111" spans="10:18" ht="14.25" customHeight="1"/>
    <row r="112" spans="10:18"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sheetData>
  <mergeCells count="52">
    <mergeCell ref="A26:H26"/>
    <mergeCell ref="A1:G1"/>
    <mergeCell ref="K1:L1"/>
    <mergeCell ref="N1:O1"/>
    <mergeCell ref="Q1:R1"/>
    <mergeCell ref="A3:H6"/>
    <mergeCell ref="J4:Q4"/>
    <mergeCell ref="J6:M6"/>
    <mergeCell ref="B8:F8"/>
    <mergeCell ref="K11:L11"/>
    <mergeCell ref="J13:Q13"/>
    <mergeCell ref="B23:F23"/>
    <mergeCell ref="B24:F24"/>
    <mergeCell ref="A28:H28"/>
    <mergeCell ref="A29:H29"/>
    <mergeCell ref="A30:H30"/>
    <mergeCell ref="A31:H31"/>
    <mergeCell ref="A33:H33"/>
    <mergeCell ref="P43:Q43"/>
    <mergeCell ref="N33:Q33"/>
    <mergeCell ref="A34:H34"/>
    <mergeCell ref="A35:H35"/>
    <mergeCell ref="A36:H36"/>
    <mergeCell ref="A37:H37"/>
    <mergeCell ref="A39:H39"/>
    <mergeCell ref="J33:M33"/>
    <mergeCell ref="A40:H42"/>
    <mergeCell ref="A43:H44"/>
    <mergeCell ref="J43:K43"/>
    <mergeCell ref="L43:M43"/>
    <mergeCell ref="N43:O43"/>
    <mergeCell ref="M69:O69"/>
    <mergeCell ref="A45:H45"/>
    <mergeCell ref="C47:F49"/>
    <mergeCell ref="J59:Q59"/>
    <mergeCell ref="J61:K61"/>
    <mergeCell ref="A64:H64"/>
    <mergeCell ref="A65:H65"/>
    <mergeCell ref="A66:H66"/>
    <mergeCell ref="A67:H67"/>
    <mergeCell ref="A68:H68"/>
    <mergeCell ref="A69:H69"/>
    <mergeCell ref="J69:L69"/>
    <mergeCell ref="J77:M77"/>
    <mergeCell ref="J85:M85"/>
    <mergeCell ref="J93:M93"/>
    <mergeCell ref="A70:H70"/>
    <mergeCell ref="A71:H71"/>
    <mergeCell ref="A72:H72"/>
    <mergeCell ref="A73:H73"/>
    <mergeCell ref="A74:H74"/>
    <mergeCell ref="J75:K75"/>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B2:N1001"/>
  <sheetViews>
    <sheetView topLeftCell="A18" workbookViewId="0">
      <selection activeCell="K66" sqref="K66"/>
    </sheetView>
  </sheetViews>
  <sheetFormatPr baseColWidth="10" defaultColWidth="12.6640625" defaultRowHeight="15" customHeight="1"/>
  <cols>
    <col min="1" max="1" width="2.5" style="7" customWidth="1"/>
    <col min="2" max="2" width="24.33203125" style="7" customWidth="1"/>
    <col min="3" max="3" width="13.83203125" style="7" bestFit="1" customWidth="1"/>
    <col min="4" max="4" width="13.83203125" style="7" customWidth="1"/>
    <col min="5" max="5" width="16.5" style="7" bestFit="1" customWidth="1"/>
    <col min="6" max="7" width="13.83203125" style="7" bestFit="1" customWidth="1"/>
    <col min="8" max="8" width="14.83203125" style="7" bestFit="1" customWidth="1"/>
    <col min="9" max="22" width="10" style="7" customWidth="1"/>
    <col min="23" max="16384" width="12.6640625" style="7"/>
  </cols>
  <sheetData>
    <row r="2" spans="2:14" ht="15" customHeight="1">
      <c r="C2" s="7" t="s">
        <v>17</v>
      </c>
      <c r="D2" s="13" t="s">
        <v>42</v>
      </c>
      <c r="E2" s="7" t="s">
        <v>19</v>
      </c>
      <c r="F2" s="7" t="s">
        <v>20</v>
      </c>
      <c r="G2" s="7" t="s">
        <v>46</v>
      </c>
      <c r="H2" s="7" t="s">
        <v>47</v>
      </c>
      <c r="I2" s="7" t="s">
        <v>49</v>
      </c>
      <c r="K2" s="150"/>
    </row>
    <row r="3" spans="2:14" ht="14.5">
      <c r="B3" s="7" t="s">
        <v>0</v>
      </c>
      <c r="C3" s="14">
        <f>N3</f>
        <v>5530</v>
      </c>
      <c r="D3" s="15">
        <f>C3*$C$17</f>
        <v>85715</v>
      </c>
      <c r="E3" s="15">
        <f>C3*$C$18+$C$19</f>
        <v>37448.5</v>
      </c>
      <c r="F3" s="15">
        <f>C3*C$20</f>
        <v>24055.499999999996</v>
      </c>
      <c r="G3" s="16">
        <f>$C$21</f>
        <v>7500</v>
      </c>
      <c r="H3" s="17">
        <f>D3-E3-F3-G3</f>
        <v>16711.000000000004</v>
      </c>
      <c r="I3" s="17">
        <f>H3/C3</f>
        <v>3.0218806509945759</v>
      </c>
      <c r="K3" s="14"/>
      <c r="L3" s="7">
        <f ca="1">RANDBETWEEN(310,570)</f>
        <v>494</v>
      </c>
      <c r="M3" s="7">
        <v>553</v>
      </c>
      <c r="N3" s="14">
        <f>M3*10</f>
        <v>5530</v>
      </c>
    </row>
    <row r="4" spans="2:14" ht="14.5">
      <c r="B4" s="7" t="s">
        <v>22</v>
      </c>
      <c r="C4" s="14">
        <f t="shared" ref="C4:C14" si="0">N4</f>
        <v>3120</v>
      </c>
      <c r="D4" s="15">
        <f t="shared" ref="D4:D14" si="1">C4*$C$17</f>
        <v>48360</v>
      </c>
      <c r="E4" s="15">
        <f t="shared" ref="E4:E14" si="2">C4*$C$18+$C$19</f>
        <v>23591</v>
      </c>
      <c r="F4" s="15">
        <f t="shared" ref="F4:F14" si="3">C4*C$20</f>
        <v>13571.999999999998</v>
      </c>
      <c r="G4" s="16">
        <f t="shared" ref="G4:G14" si="4">$C$21</f>
        <v>7500</v>
      </c>
      <c r="H4" s="17">
        <f t="shared" ref="H4:H15" si="5">D4-E4-F4-G4</f>
        <v>3697.0000000000018</v>
      </c>
      <c r="I4" s="17">
        <f t="shared" ref="I4:I15" si="6">H4/C4</f>
        <v>1.1849358974358981</v>
      </c>
      <c r="K4" s="14"/>
      <c r="L4" s="145">
        <f t="shared" ref="L4:L14" ca="1" si="7">RANDBETWEEN(310,570)</f>
        <v>331</v>
      </c>
      <c r="M4" s="7">
        <v>312</v>
      </c>
      <c r="N4" s="14">
        <f t="shared" ref="N4:N14" si="8">M4*10</f>
        <v>3120</v>
      </c>
    </row>
    <row r="5" spans="2:14" ht="14.5">
      <c r="B5" s="7" t="s">
        <v>3</v>
      </c>
      <c r="C5" s="14">
        <f t="shared" si="0"/>
        <v>5390</v>
      </c>
      <c r="D5" s="15">
        <f t="shared" si="1"/>
        <v>83545</v>
      </c>
      <c r="E5" s="15">
        <f t="shared" si="2"/>
        <v>36643.5</v>
      </c>
      <c r="F5" s="15">
        <f t="shared" si="3"/>
        <v>23446.499999999996</v>
      </c>
      <c r="G5" s="16">
        <f t="shared" si="4"/>
        <v>7500</v>
      </c>
      <c r="H5" s="17">
        <f t="shared" si="5"/>
        <v>15955.000000000004</v>
      </c>
      <c r="I5" s="17">
        <f t="shared" si="6"/>
        <v>2.9601113172541749</v>
      </c>
      <c r="K5" s="14"/>
      <c r="L5" s="145">
        <f t="shared" ca="1" si="7"/>
        <v>503</v>
      </c>
      <c r="M5" s="7">
        <v>539</v>
      </c>
      <c r="N5" s="14">
        <f t="shared" si="8"/>
        <v>5390</v>
      </c>
    </row>
    <row r="6" spans="2:14" ht="14.5">
      <c r="B6" s="7" t="s">
        <v>5</v>
      </c>
      <c r="C6" s="14">
        <f t="shared" si="0"/>
        <v>4460</v>
      </c>
      <c r="D6" s="15">
        <f t="shared" si="1"/>
        <v>69130</v>
      </c>
      <c r="E6" s="15">
        <f t="shared" si="2"/>
        <v>31296</v>
      </c>
      <c r="F6" s="15">
        <f t="shared" si="3"/>
        <v>19401</v>
      </c>
      <c r="G6" s="16">
        <f t="shared" si="4"/>
        <v>7500</v>
      </c>
      <c r="H6" s="17">
        <f t="shared" si="5"/>
        <v>10933</v>
      </c>
      <c r="I6" s="17">
        <f t="shared" si="6"/>
        <v>2.4513452914798206</v>
      </c>
      <c r="K6" s="14"/>
      <c r="L6" s="145">
        <f t="shared" ca="1" si="7"/>
        <v>343</v>
      </c>
      <c r="M6" s="7">
        <v>446</v>
      </c>
      <c r="N6" s="14">
        <f t="shared" si="8"/>
        <v>4460</v>
      </c>
    </row>
    <row r="7" spans="2:14" ht="14.5">
      <c r="B7" s="7" t="s">
        <v>6</v>
      </c>
      <c r="C7" s="14">
        <f t="shared" si="0"/>
        <v>3450</v>
      </c>
      <c r="D7" s="15">
        <f t="shared" si="1"/>
        <v>53475</v>
      </c>
      <c r="E7" s="15">
        <f t="shared" si="2"/>
        <v>25488.5</v>
      </c>
      <c r="F7" s="15">
        <f t="shared" si="3"/>
        <v>15007.499999999998</v>
      </c>
      <c r="G7" s="16">
        <f t="shared" si="4"/>
        <v>7500</v>
      </c>
      <c r="H7" s="17">
        <f t="shared" si="5"/>
        <v>5479.0000000000018</v>
      </c>
      <c r="I7" s="17">
        <f t="shared" si="6"/>
        <v>1.5881159420289861</v>
      </c>
      <c r="K7" s="14"/>
      <c r="L7" s="145">
        <f t="shared" ca="1" si="7"/>
        <v>408</v>
      </c>
      <c r="M7" s="7">
        <v>345</v>
      </c>
      <c r="N7" s="14">
        <f t="shared" si="8"/>
        <v>3450</v>
      </c>
    </row>
    <row r="8" spans="2:14" ht="14.5">
      <c r="B8" s="7" t="s">
        <v>7</v>
      </c>
      <c r="C8" s="14">
        <f t="shared" si="0"/>
        <v>4120</v>
      </c>
      <c r="D8" s="15">
        <f t="shared" si="1"/>
        <v>63860</v>
      </c>
      <c r="E8" s="15">
        <f t="shared" si="2"/>
        <v>29341</v>
      </c>
      <c r="F8" s="15">
        <f t="shared" si="3"/>
        <v>17922</v>
      </c>
      <c r="G8" s="16">
        <f t="shared" si="4"/>
        <v>7500</v>
      </c>
      <c r="H8" s="17">
        <f t="shared" si="5"/>
        <v>9097</v>
      </c>
      <c r="I8" s="17">
        <f t="shared" si="6"/>
        <v>2.2080097087378641</v>
      </c>
      <c r="K8" s="14"/>
      <c r="L8" s="145">
        <f t="shared" ca="1" si="7"/>
        <v>347</v>
      </c>
      <c r="M8" s="7">
        <v>412</v>
      </c>
      <c r="N8" s="14">
        <f t="shared" si="8"/>
        <v>4120</v>
      </c>
    </row>
    <row r="9" spans="2:14" ht="14.5">
      <c r="B9" s="7" t="s">
        <v>8</v>
      </c>
      <c r="C9" s="14">
        <f t="shared" si="0"/>
        <v>4060</v>
      </c>
      <c r="D9" s="15">
        <f t="shared" si="1"/>
        <v>62930</v>
      </c>
      <c r="E9" s="15">
        <f t="shared" si="2"/>
        <v>28996</v>
      </c>
      <c r="F9" s="15">
        <f t="shared" si="3"/>
        <v>17661</v>
      </c>
      <c r="G9" s="16">
        <f t="shared" si="4"/>
        <v>7500</v>
      </c>
      <c r="H9" s="17">
        <f t="shared" si="5"/>
        <v>8773</v>
      </c>
      <c r="I9" s="17">
        <f t="shared" si="6"/>
        <v>2.1608374384236453</v>
      </c>
      <c r="K9" s="14"/>
      <c r="L9" s="145">
        <f t="shared" ca="1" si="7"/>
        <v>403</v>
      </c>
      <c r="M9" s="7">
        <v>406</v>
      </c>
      <c r="N9" s="14">
        <f t="shared" si="8"/>
        <v>4060</v>
      </c>
    </row>
    <row r="10" spans="2:14" ht="14.5">
      <c r="B10" s="7" t="s">
        <v>25</v>
      </c>
      <c r="C10" s="14">
        <f t="shared" si="0"/>
        <v>3210</v>
      </c>
      <c r="D10" s="15">
        <f t="shared" si="1"/>
        <v>49755</v>
      </c>
      <c r="E10" s="15">
        <f t="shared" si="2"/>
        <v>24108.5</v>
      </c>
      <c r="F10" s="15">
        <f t="shared" si="3"/>
        <v>13963.499999999998</v>
      </c>
      <c r="G10" s="16">
        <f t="shared" si="4"/>
        <v>7500</v>
      </c>
      <c r="H10" s="17">
        <f t="shared" si="5"/>
        <v>4183.0000000000018</v>
      </c>
      <c r="I10" s="17">
        <f t="shared" si="6"/>
        <v>1.3031152647975084</v>
      </c>
      <c r="K10" s="14"/>
      <c r="L10" s="145">
        <f t="shared" ca="1" si="7"/>
        <v>503</v>
      </c>
      <c r="M10" s="7">
        <v>321</v>
      </c>
      <c r="N10" s="14">
        <f t="shared" si="8"/>
        <v>3210</v>
      </c>
    </row>
    <row r="11" spans="2:14" ht="14.5">
      <c r="B11" s="7" t="s">
        <v>11</v>
      </c>
      <c r="C11" s="14">
        <f t="shared" si="0"/>
        <v>3850</v>
      </c>
      <c r="D11" s="15">
        <f t="shared" si="1"/>
        <v>59675</v>
      </c>
      <c r="E11" s="15">
        <f t="shared" si="2"/>
        <v>27788.5</v>
      </c>
      <c r="F11" s="15">
        <f t="shared" si="3"/>
        <v>16747.5</v>
      </c>
      <c r="G11" s="16">
        <f t="shared" si="4"/>
        <v>7500</v>
      </c>
      <c r="H11" s="17">
        <f t="shared" si="5"/>
        <v>7639</v>
      </c>
      <c r="I11" s="17">
        <f t="shared" si="6"/>
        <v>1.9841558441558442</v>
      </c>
      <c r="K11" s="14"/>
      <c r="L11" s="145">
        <f t="shared" ca="1" si="7"/>
        <v>367</v>
      </c>
      <c r="M11" s="7">
        <v>385</v>
      </c>
      <c r="N11" s="14">
        <f t="shared" si="8"/>
        <v>3850</v>
      </c>
    </row>
    <row r="12" spans="2:14" ht="14.5">
      <c r="B12" s="7" t="s">
        <v>15</v>
      </c>
      <c r="C12" s="14">
        <f t="shared" si="0"/>
        <v>4520</v>
      </c>
      <c r="D12" s="15">
        <f t="shared" si="1"/>
        <v>70060</v>
      </c>
      <c r="E12" s="15">
        <f t="shared" si="2"/>
        <v>31641</v>
      </c>
      <c r="F12" s="15">
        <f t="shared" si="3"/>
        <v>19662</v>
      </c>
      <c r="G12" s="16">
        <f t="shared" si="4"/>
        <v>7500</v>
      </c>
      <c r="H12" s="17">
        <f t="shared" si="5"/>
        <v>11257</v>
      </c>
      <c r="I12" s="17">
        <f t="shared" si="6"/>
        <v>2.4904867256637169</v>
      </c>
      <c r="K12" s="14"/>
      <c r="L12" s="145">
        <f t="shared" ca="1" si="7"/>
        <v>393</v>
      </c>
      <c r="M12" s="7">
        <v>452</v>
      </c>
      <c r="N12" s="14">
        <f t="shared" si="8"/>
        <v>4520</v>
      </c>
    </row>
    <row r="13" spans="2:14" ht="14.5">
      <c r="B13" s="7" t="s">
        <v>16</v>
      </c>
      <c r="C13" s="14">
        <f t="shared" si="0"/>
        <v>4490</v>
      </c>
      <c r="D13" s="15">
        <f t="shared" si="1"/>
        <v>69595</v>
      </c>
      <c r="E13" s="15">
        <f t="shared" si="2"/>
        <v>31468.5</v>
      </c>
      <c r="F13" s="15">
        <f t="shared" si="3"/>
        <v>19531.5</v>
      </c>
      <c r="G13" s="16">
        <f t="shared" si="4"/>
        <v>7500</v>
      </c>
      <c r="H13" s="17">
        <f t="shared" si="5"/>
        <v>11095</v>
      </c>
      <c r="I13" s="17">
        <f t="shared" si="6"/>
        <v>2.4710467706013364</v>
      </c>
      <c r="K13" s="14"/>
      <c r="L13" s="145">
        <f t="shared" ca="1" si="7"/>
        <v>455</v>
      </c>
      <c r="M13" s="7">
        <v>449</v>
      </c>
      <c r="N13" s="14">
        <f t="shared" si="8"/>
        <v>4490</v>
      </c>
    </row>
    <row r="14" spans="2:14" ht="14.5">
      <c r="B14" s="7" t="s">
        <v>18</v>
      </c>
      <c r="C14" s="14">
        <f t="shared" si="0"/>
        <v>3270</v>
      </c>
      <c r="D14" s="15">
        <f t="shared" si="1"/>
        <v>50685</v>
      </c>
      <c r="E14" s="15">
        <f t="shared" si="2"/>
        <v>24453.5</v>
      </c>
      <c r="F14" s="15">
        <f t="shared" si="3"/>
        <v>14224.499999999998</v>
      </c>
      <c r="G14" s="16">
        <f t="shared" si="4"/>
        <v>7500</v>
      </c>
      <c r="H14" s="17">
        <f t="shared" si="5"/>
        <v>4507.0000000000018</v>
      </c>
      <c r="I14" s="17">
        <f t="shared" si="6"/>
        <v>1.3782874617737009</v>
      </c>
      <c r="K14" s="14"/>
      <c r="L14" s="145">
        <f t="shared" ca="1" si="7"/>
        <v>543</v>
      </c>
      <c r="M14" s="7">
        <v>327</v>
      </c>
      <c r="N14" s="14">
        <f t="shared" si="8"/>
        <v>3270</v>
      </c>
    </row>
    <row r="15" spans="2:14" ht="14.5">
      <c r="C15" s="14">
        <f>SUM(C3:C14)</f>
        <v>49470</v>
      </c>
      <c r="D15" s="15">
        <f>SUM(D3:D14)</f>
        <v>766785</v>
      </c>
      <c r="E15" s="15">
        <f>SUM(E3:E14)</f>
        <v>352264.5</v>
      </c>
      <c r="F15" s="15">
        <f>SUM(F3:F14)</f>
        <v>215194.49999999997</v>
      </c>
      <c r="G15" s="15">
        <f>SUM(G3:G14)</f>
        <v>90000</v>
      </c>
      <c r="H15" s="17">
        <f t="shared" si="5"/>
        <v>109326.00000000003</v>
      </c>
      <c r="I15" s="17">
        <f t="shared" si="6"/>
        <v>2.2099454214675567</v>
      </c>
      <c r="K15" s="14"/>
      <c r="L15" s="145"/>
      <c r="N15" s="14"/>
    </row>
    <row r="16" spans="2:14" ht="14.5">
      <c r="D16" s="15"/>
      <c r="E16" s="15"/>
      <c r="F16" s="15"/>
      <c r="G16" s="15"/>
    </row>
    <row r="17" spans="2:7" ht="14.5">
      <c r="B17" s="7" t="s">
        <v>44</v>
      </c>
      <c r="C17" s="15">
        <v>15.5</v>
      </c>
      <c r="D17" s="15"/>
    </row>
    <row r="18" spans="2:7" ht="14.5">
      <c r="B18" s="18" t="s">
        <v>23</v>
      </c>
      <c r="C18" s="15">
        <v>5.75</v>
      </c>
      <c r="D18" s="15"/>
    </row>
    <row r="19" spans="2:7" ht="14.5">
      <c r="B19" s="18" t="s">
        <v>45</v>
      </c>
      <c r="C19" s="21">
        <v>5651</v>
      </c>
      <c r="D19" s="15">
        <f>C19*12</f>
        <v>67812</v>
      </c>
    </row>
    <row r="20" spans="2:7" ht="14.5">
      <c r="B20" s="18" t="s">
        <v>24</v>
      </c>
      <c r="C20" s="15">
        <v>4.3499999999999996</v>
      </c>
      <c r="D20" s="15"/>
    </row>
    <row r="21" spans="2:7" ht="14.5">
      <c r="B21" s="18" t="s">
        <v>48</v>
      </c>
      <c r="C21" s="21">
        <v>7500</v>
      </c>
      <c r="D21" s="15">
        <f>C21*12</f>
        <v>90000</v>
      </c>
      <c r="E21" s="17">
        <f>SUM(C3:C14)*C22</f>
        <v>109326.00000000003</v>
      </c>
      <c r="F21" s="16">
        <f>SUM(C3:C14)*(C17-C18-C20)-((C19+C21)*12)</f>
        <v>109326</v>
      </c>
      <c r="G21" s="17">
        <f>SUM(H3:H14)</f>
        <v>109326.00000000001</v>
      </c>
    </row>
    <row r="22" spans="2:7" ht="15.75" customHeight="1">
      <c r="B22" s="7" t="s">
        <v>50</v>
      </c>
      <c r="C22" s="23">
        <f>I15</f>
        <v>2.2099454214675567</v>
      </c>
      <c r="E22" s="152">
        <f>(F21-E21)/12</f>
        <v>-2.4253192047278085E-12</v>
      </c>
    </row>
    <row r="23" spans="2:7" ht="15.75" customHeight="1">
      <c r="B23" s="7" t="s">
        <v>51</v>
      </c>
      <c r="C23" s="14">
        <v>5800</v>
      </c>
    </row>
    <row r="24" spans="2:7" ht="15.75" customHeight="1">
      <c r="B24" s="7" t="s">
        <v>52</v>
      </c>
      <c r="C24" s="20">
        <v>750000</v>
      </c>
    </row>
    <row r="25" spans="2:7" ht="15.75" customHeight="1"/>
    <row r="26" spans="2:7" ht="15.75" customHeight="1"/>
    <row r="27" spans="2:7" ht="15.75" customHeight="1"/>
    <row r="28" spans="2:7" ht="15.75" customHeight="1">
      <c r="B28" s="284" t="s">
        <v>65</v>
      </c>
      <c r="C28" s="284"/>
      <c r="D28" s="284"/>
      <c r="E28" s="284"/>
    </row>
    <row r="29" spans="2:7" ht="15.75" customHeight="1">
      <c r="B29" s="284"/>
      <c r="C29" s="284"/>
      <c r="D29" s="284"/>
      <c r="E29" s="284"/>
    </row>
    <row r="30" spans="2:7" ht="15.75" customHeight="1" thickBot="1">
      <c r="B30" s="287"/>
      <c r="C30" s="287"/>
      <c r="D30" s="287"/>
      <c r="E30" s="287"/>
    </row>
    <row r="31" spans="2:7" ht="15.75" customHeight="1">
      <c r="B31" s="39" t="s">
        <v>61</v>
      </c>
      <c r="C31" s="40"/>
      <c r="D31" s="40"/>
      <c r="E31" s="41">
        <v>13</v>
      </c>
    </row>
    <row r="32" spans="2:7" ht="15.75" customHeight="1">
      <c r="B32" s="42" t="s">
        <v>62</v>
      </c>
      <c r="C32" s="43"/>
      <c r="D32" s="43"/>
      <c r="E32" s="44">
        <v>4200</v>
      </c>
    </row>
    <row r="33" spans="2:7" ht="15.75" customHeight="1">
      <c r="B33" s="42" t="s">
        <v>63</v>
      </c>
      <c r="C33" s="43"/>
      <c r="D33" s="43"/>
      <c r="E33" s="54">
        <v>4.8</v>
      </c>
    </row>
    <row r="34" spans="2:7" ht="15.75" customHeight="1">
      <c r="B34" s="42" t="s">
        <v>53</v>
      </c>
      <c r="C34" s="43"/>
      <c r="D34" s="43"/>
      <c r="E34" s="55">
        <v>14700</v>
      </c>
    </row>
    <row r="35" spans="2:7" ht="15.75" customHeight="1">
      <c r="B35" s="42" t="s">
        <v>54</v>
      </c>
      <c r="C35" s="43"/>
      <c r="D35" s="43"/>
      <c r="E35" s="54">
        <v>4</v>
      </c>
    </row>
    <row r="36" spans="2:7" ht="15.75" customHeight="1">
      <c r="B36" s="42" t="s">
        <v>64</v>
      </c>
      <c r="C36" s="43"/>
      <c r="D36" s="43"/>
      <c r="E36" s="41">
        <v>25</v>
      </c>
    </row>
    <row r="37" spans="2:7" ht="15.75" customHeight="1" thickBot="1">
      <c r="B37" s="42" t="s">
        <v>55</v>
      </c>
      <c r="C37" s="43"/>
      <c r="D37" s="43"/>
      <c r="E37" s="45">
        <f>21500*12</f>
        <v>258000</v>
      </c>
      <c r="F37" s="16">
        <f>E36*E37</f>
        <v>6450000</v>
      </c>
    </row>
    <row r="38" spans="2:7" ht="15.75" customHeight="1">
      <c r="B38" s="46" t="s">
        <v>56</v>
      </c>
      <c r="C38" s="47"/>
      <c r="D38" s="47"/>
      <c r="E38" s="48">
        <v>374000</v>
      </c>
    </row>
    <row r="39" spans="2:7" ht="15.75" customHeight="1">
      <c r="B39" s="42" t="s">
        <v>57</v>
      </c>
      <c r="C39" s="43"/>
      <c r="D39" s="43"/>
      <c r="E39" s="44">
        <v>72000</v>
      </c>
    </row>
    <row r="40" spans="2:7" ht="15.75" customHeight="1">
      <c r="B40" s="42" t="s">
        <v>58</v>
      </c>
      <c r="C40" s="43"/>
      <c r="D40" s="43"/>
      <c r="E40" s="49">
        <v>2021</v>
      </c>
    </row>
    <row r="41" spans="2:7" ht="15.75" customHeight="1">
      <c r="B41" s="42" t="s">
        <v>59</v>
      </c>
      <c r="C41" s="43"/>
      <c r="D41" s="43"/>
      <c r="E41" s="50">
        <v>25</v>
      </c>
    </row>
    <row r="42" spans="2:7" ht="15.75" customHeight="1" thickBot="1">
      <c r="B42" s="51" t="s">
        <v>60</v>
      </c>
      <c r="C42" s="52"/>
      <c r="D42" s="52"/>
      <c r="E42" s="53">
        <v>31000</v>
      </c>
    </row>
    <row r="43" spans="2:7" ht="15.75" customHeight="1">
      <c r="B43" s="7" t="s">
        <v>36</v>
      </c>
      <c r="E43" s="16">
        <f>(E38+E39-E42)/E41</f>
        <v>16600</v>
      </c>
      <c r="F43" s="17"/>
    </row>
    <row r="44" spans="2:7" ht="15.75" customHeight="1">
      <c r="B44" s="7" t="s">
        <v>66</v>
      </c>
      <c r="E44" s="57">
        <v>0.09</v>
      </c>
    </row>
    <row r="45" spans="2:7" ht="15.75" customHeight="1">
      <c r="E45" s="7">
        <f>(E38+E39)*E44</f>
        <v>40140</v>
      </c>
      <c r="G45" s="17"/>
    </row>
    <row r="46" spans="2:7" ht="15.75" customHeight="1">
      <c r="B46" s="7" t="s">
        <v>47</v>
      </c>
      <c r="E46" s="17">
        <f>E37*(E36-E31-E33-E35)-E32-E34-E43-E45</f>
        <v>749960</v>
      </c>
    </row>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B28:E3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4"/>
  <dimension ref="A1:Z933"/>
  <sheetViews>
    <sheetView topLeftCell="A71" workbookViewId="0">
      <selection activeCell="K66" sqref="K66"/>
    </sheetView>
  </sheetViews>
  <sheetFormatPr baseColWidth="10" defaultColWidth="12.6640625" defaultRowHeight="15" customHeight="1"/>
  <cols>
    <col min="1" max="1" width="2.1640625" style="7" customWidth="1"/>
    <col min="2" max="2" width="21.1640625" style="7" bestFit="1" customWidth="1"/>
    <col min="3" max="3" width="14.1640625" style="7" customWidth="1"/>
    <col min="4" max="4" width="22.5" style="7" bestFit="1" customWidth="1"/>
    <col min="5" max="5" width="18" style="7" bestFit="1" customWidth="1"/>
    <col min="6" max="7" width="22.5" style="7" bestFit="1" customWidth="1"/>
    <col min="8" max="8" width="20.83203125" style="7" bestFit="1" customWidth="1"/>
    <col min="9" max="9" width="13.5" style="7" bestFit="1" customWidth="1"/>
    <col min="10" max="14" width="2" style="7" customWidth="1"/>
    <col min="15" max="26" width="10" style="7" customWidth="1"/>
    <col min="27" max="16384" width="12.6640625" style="7"/>
  </cols>
  <sheetData>
    <row r="1" spans="1:26" ht="14.5">
      <c r="A1" s="18"/>
      <c r="B1" s="18"/>
      <c r="C1" s="18"/>
      <c r="D1" s="18"/>
      <c r="E1" s="18"/>
      <c r="F1" s="18"/>
      <c r="G1" s="18"/>
      <c r="H1" s="18"/>
      <c r="I1" s="18"/>
      <c r="J1" s="18"/>
      <c r="K1" s="18"/>
      <c r="L1" s="18"/>
      <c r="M1" s="18"/>
      <c r="N1" s="18"/>
      <c r="O1" s="10"/>
      <c r="P1" s="10"/>
      <c r="Q1" s="10"/>
      <c r="R1" s="18"/>
      <c r="S1" s="18"/>
      <c r="T1" s="18"/>
      <c r="U1" s="18"/>
      <c r="V1" s="18"/>
      <c r="W1" s="18"/>
      <c r="X1" s="18"/>
      <c r="Y1" s="18"/>
      <c r="Z1" s="18"/>
    </row>
    <row r="2" spans="1:26" ht="14.5">
      <c r="A2" s="18"/>
      <c r="J2" s="18"/>
      <c r="K2" s="18"/>
      <c r="L2" s="18"/>
      <c r="M2" s="18"/>
      <c r="N2" s="18"/>
      <c r="O2" s="10"/>
      <c r="P2" s="10"/>
      <c r="Q2" s="10"/>
      <c r="R2" s="18"/>
      <c r="S2" s="18"/>
      <c r="T2" s="18"/>
      <c r="U2" s="18"/>
      <c r="V2" s="18"/>
      <c r="W2" s="18"/>
      <c r="X2" s="18"/>
      <c r="Y2" s="18"/>
      <c r="Z2" s="18"/>
    </row>
    <row r="3" spans="1:26" ht="14.5">
      <c r="A3" s="18"/>
      <c r="B3" s="298" t="s">
        <v>28</v>
      </c>
      <c r="C3" s="298"/>
      <c r="D3" s="298"/>
      <c r="E3" s="298"/>
      <c r="F3" s="298"/>
      <c r="G3" s="298"/>
      <c r="H3" s="298"/>
      <c r="I3" s="298"/>
      <c r="J3" s="18"/>
      <c r="K3" s="18"/>
      <c r="L3" s="18"/>
      <c r="M3" s="18"/>
      <c r="N3" s="18"/>
      <c r="O3" s="10"/>
      <c r="P3" s="10"/>
      <c r="Q3" s="10"/>
      <c r="R3" s="18"/>
      <c r="S3" s="18"/>
      <c r="T3" s="18"/>
      <c r="U3" s="18"/>
      <c r="V3" s="18"/>
      <c r="W3" s="18"/>
      <c r="X3" s="18"/>
      <c r="Y3" s="18"/>
      <c r="Z3" s="18"/>
    </row>
    <row r="4" spans="1:26" thickBot="1">
      <c r="A4" s="18"/>
      <c r="J4" s="18"/>
      <c r="K4" s="18"/>
      <c r="L4" s="18"/>
      <c r="M4" s="18"/>
      <c r="N4" s="18"/>
      <c r="O4" s="18"/>
      <c r="P4" s="18"/>
      <c r="Q4" s="18"/>
      <c r="R4" s="18"/>
      <c r="S4" s="18"/>
      <c r="T4" s="18"/>
      <c r="U4" s="18"/>
      <c r="V4" s="18"/>
      <c r="W4" s="18"/>
      <c r="X4" s="18"/>
      <c r="Y4" s="18"/>
      <c r="Z4" s="18"/>
    </row>
    <row r="5" spans="1:26" thickBot="1">
      <c r="A5" s="18"/>
      <c r="B5" s="308" t="s">
        <v>90</v>
      </c>
      <c r="C5" s="309"/>
      <c r="D5" s="309"/>
      <c r="E5" s="310"/>
      <c r="J5" s="18"/>
      <c r="K5" s="18"/>
      <c r="L5" s="18"/>
      <c r="M5" s="18"/>
      <c r="N5" s="18"/>
      <c r="O5" s="18"/>
      <c r="P5" s="18"/>
      <c r="Q5" s="18"/>
      <c r="R5" s="18"/>
      <c r="S5" s="18"/>
      <c r="T5" s="18"/>
      <c r="U5" s="18"/>
      <c r="V5" s="18"/>
      <c r="W5" s="18"/>
      <c r="X5" s="18"/>
      <c r="Y5" s="18"/>
      <c r="Z5" s="18"/>
    </row>
    <row r="6" spans="1:26" ht="14.5">
      <c r="A6" s="18"/>
      <c r="B6" s="5" t="str">
        <f>Enoncé!D9</f>
        <v>Revenus</v>
      </c>
      <c r="C6" s="58">
        <f>Enoncé!D10</f>
        <v>85715</v>
      </c>
      <c r="D6" s="10"/>
      <c r="E6" s="59"/>
      <c r="J6" s="18"/>
      <c r="K6" s="18"/>
      <c r="L6" s="18"/>
      <c r="M6" s="18"/>
      <c r="N6" s="18"/>
      <c r="O6" s="18"/>
      <c r="P6" s="18"/>
      <c r="Q6" s="18"/>
      <c r="R6" s="18"/>
      <c r="S6" s="18"/>
      <c r="T6" s="18"/>
      <c r="U6" s="18"/>
      <c r="V6" s="18"/>
      <c r="W6" s="18"/>
      <c r="X6" s="18"/>
      <c r="Y6" s="18"/>
      <c r="Z6" s="18"/>
    </row>
    <row r="7" spans="1:26" ht="14.5">
      <c r="A7" s="18"/>
      <c r="B7" s="5" t="str">
        <f>Enoncé!C9</f>
        <v>Unités vendues</v>
      </c>
      <c r="C7" s="60">
        <f>Enoncé!C10</f>
        <v>5530</v>
      </c>
      <c r="D7" s="10"/>
      <c r="E7" s="59"/>
      <c r="J7" s="18"/>
      <c r="K7" s="18"/>
      <c r="L7" s="18"/>
      <c r="M7" s="18"/>
      <c r="N7" s="18"/>
      <c r="O7" s="18"/>
      <c r="P7" s="18"/>
      <c r="Q7" s="18"/>
      <c r="R7" s="18"/>
      <c r="S7" s="18"/>
      <c r="T7" s="18"/>
      <c r="U7" s="18"/>
      <c r="V7" s="18"/>
      <c r="W7" s="18"/>
      <c r="X7" s="18"/>
      <c r="Y7" s="18"/>
      <c r="Z7" s="18"/>
    </row>
    <row r="8" spans="1:26" ht="14.5">
      <c r="A8" s="18"/>
      <c r="B8" s="5"/>
      <c r="C8" s="10"/>
      <c r="D8" s="10"/>
      <c r="E8" s="59"/>
      <c r="J8" s="18"/>
      <c r="K8" s="18"/>
      <c r="L8" s="18"/>
      <c r="M8" s="18"/>
      <c r="N8" s="18"/>
      <c r="O8" s="18"/>
      <c r="P8" s="18"/>
      <c r="Q8" s="18"/>
      <c r="R8" s="18"/>
      <c r="S8" s="18"/>
      <c r="T8" s="18"/>
      <c r="U8" s="18"/>
      <c r="V8" s="18"/>
      <c r="W8" s="18"/>
      <c r="X8" s="18"/>
      <c r="Y8" s="18"/>
      <c r="Z8" s="18"/>
    </row>
    <row r="9" spans="1:26" ht="14.5">
      <c r="A9" s="18"/>
      <c r="B9" s="5"/>
      <c r="C9" s="10"/>
      <c r="D9" s="10"/>
      <c r="E9" s="59"/>
      <c r="J9" s="18"/>
      <c r="K9" s="18"/>
      <c r="L9" s="18"/>
      <c r="M9" s="18"/>
      <c r="N9" s="18"/>
      <c r="O9" s="18"/>
      <c r="P9" s="18"/>
      <c r="Q9" s="18"/>
      <c r="R9" s="18"/>
      <c r="S9" s="18"/>
      <c r="T9" s="18"/>
      <c r="U9" s="18"/>
      <c r="V9" s="18"/>
      <c r="W9" s="18"/>
      <c r="X9" s="18"/>
      <c r="Y9" s="18"/>
      <c r="Z9" s="18"/>
    </row>
    <row r="10" spans="1:26" thickBot="1">
      <c r="A10" s="10"/>
      <c r="B10" s="30"/>
      <c r="C10" s="312" t="s">
        <v>44</v>
      </c>
      <c r="D10" s="312"/>
      <c r="E10" s="78">
        <f>C6/C7</f>
        <v>15.5</v>
      </c>
      <c r="J10" s="18"/>
      <c r="K10" s="18"/>
      <c r="L10" s="18"/>
      <c r="M10" s="18"/>
      <c r="N10" s="18"/>
      <c r="O10" s="18"/>
      <c r="P10" s="18"/>
      <c r="Q10" s="18"/>
      <c r="R10" s="18"/>
      <c r="S10" s="18"/>
      <c r="T10" s="18"/>
      <c r="U10" s="18"/>
      <c r="V10" s="18"/>
      <c r="W10" s="18"/>
      <c r="X10" s="18"/>
      <c r="Y10" s="18"/>
      <c r="Z10" s="18"/>
    </row>
    <row r="11" spans="1:26" thickBot="1">
      <c r="A11" s="61"/>
      <c r="J11" s="18"/>
      <c r="K11" s="18"/>
      <c r="L11" s="18"/>
      <c r="M11" s="18"/>
      <c r="N11" s="18"/>
      <c r="O11" s="18"/>
      <c r="P11" s="18"/>
      <c r="Q11" s="18"/>
      <c r="R11" s="18"/>
      <c r="S11" s="18"/>
      <c r="T11" s="18"/>
      <c r="U11" s="18"/>
      <c r="V11" s="18"/>
      <c r="W11" s="18"/>
      <c r="X11" s="18"/>
      <c r="Y11" s="18"/>
      <c r="Z11" s="18"/>
    </row>
    <row r="12" spans="1:26" thickBot="1">
      <c r="A12" s="10"/>
      <c r="B12" s="299" t="s">
        <v>91</v>
      </c>
      <c r="C12" s="304"/>
      <c r="D12" s="304"/>
      <c r="E12" s="304"/>
      <c r="F12" s="304"/>
      <c r="G12" s="304"/>
      <c r="H12" s="304"/>
      <c r="I12" s="300"/>
      <c r="J12" s="18"/>
      <c r="K12" s="18"/>
      <c r="L12" s="18"/>
      <c r="M12" s="18"/>
      <c r="N12" s="18"/>
      <c r="O12" s="18"/>
      <c r="P12" s="18"/>
      <c r="Q12" s="18"/>
      <c r="R12" s="18"/>
      <c r="S12" s="18"/>
      <c r="T12" s="18"/>
      <c r="U12" s="18"/>
      <c r="V12" s="18"/>
      <c r="W12" s="18"/>
      <c r="X12" s="18"/>
      <c r="Y12" s="18"/>
      <c r="Z12" s="18"/>
    </row>
    <row r="13" spans="1:26" ht="14.5">
      <c r="A13" s="18"/>
      <c r="B13" s="5"/>
      <c r="C13" s="10" t="s">
        <v>10</v>
      </c>
      <c r="D13" s="10" t="s">
        <v>12</v>
      </c>
      <c r="E13" s="10" t="s">
        <v>13</v>
      </c>
      <c r="F13" s="10" t="s">
        <v>14</v>
      </c>
      <c r="G13" s="10"/>
      <c r="H13" s="10"/>
      <c r="I13" s="59"/>
      <c r="J13" s="18"/>
      <c r="K13" s="18"/>
      <c r="L13" s="18"/>
      <c r="M13" s="18"/>
      <c r="N13" s="18"/>
      <c r="O13" s="18"/>
      <c r="P13" s="18"/>
      <c r="Q13" s="18"/>
      <c r="R13" s="18"/>
      <c r="S13" s="18"/>
      <c r="T13" s="18"/>
      <c r="U13" s="18"/>
      <c r="V13" s="18"/>
      <c r="W13" s="18"/>
      <c r="X13" s="18"/>
      <c r="Y13" s="18"/>
      <c r="Z13" s="18"/>
    </row>
    <row r="14" spans="1:26" ht="14.5">
      <c r="A14" s="18"/>
      <c r="B14" s="5" t="s">
        <v>0</v>
      </c>
      <c r="C14" s="14">
        <f>Feuil2!C3</f>
        <v>5530</v>
      </c>
      <c r="D14" s="15">
        <f>Feuil2!E3</f>
        <v>37448.5</v>
      </c>
      <c r="E14" s="10">
        <f t="shared" ref="E14:E25" si="0">C14*C14</f>
        <v>30580900</v>
      </c>
      <c r="F14" s="10">
        <f t="shared" ref="F14:F25" si="1">C14*D14</f>
        <v>207090205</v>
      </c>
      <c r="G14" s="10"/>
      <c r="H14" s="10"/>
      <c r="I14" s="59"/>
      <c r="J14" s="18"/>
      <c r="K14" s="18"/>
      <c r="L14" s="18"/>
      <c r="M14" s="18"/>
      <c r="N14" s="18"/>
      <c r="O14" s="18"/>
      <c r="P14" s="18"/>
      <c r="Q14" s="18"/>
      <c r="R14" s="18"/>
      <c r="S14" s="18"/>
      <c r="T14" s="18"/>
      <c r="U14" s="18"/>
      <c r="V14" s="18"/>
      <c r="W14" s="18"/>
      <c r="X14" s="18"/>
      <c r="Y14" s="18"/>
      <c r="Z14" s="18"/>
    </row>
    <row r="15" spans="1:26" ht="15.75" customHeight="1">
      <c r="A15" s="18"/>
      <c r="B15" s="5" t="s">
        <v>1</v>
      </c>
      <c r="C15" s="14">
        <f>Feuil2!C4</f>
        <v>3120</v>
      </c>
      <c r="D15" s="15">
        <f>Feuil2!E4</f>
        <v>23591</v>
      </c>
      <c r="E15" s="10">
        <f t="shared" si="0"/>
        <v>9734400</v>
      </c>
      <c r="F15" s="10">
        <f t="shared" si="1"/>
        <v>73603920</v>
      </c>
      <c r="G15" s="10"/>
      <c r="H15" s="10"/>
      <c r="I15" s="59"/>
      <c r="J15" s="18"/>
      <c r="K15" s="18"/>
      <c r="L15" s="18"/>
      <c r="M15" s="18"/>
      <c r="N15" s="18"/>
      <c r="O15" s="18"/>
      <c r="P15" s="18"/>
      <c r="Q15" s="18"/>
      <c r="R15" s="18"/>
      <c r="S15" s="18"/>
      <c r="T15" s="18"/>
      <c r="U15" s="18"/>
      <c r="V15" s="18"/>
      <c r="W15" s="18"/>
      <c r="X15" s="18"/>
      <c r="Y15" s="18"/>
      <c r="Z15" s="18"/>
    </row>
    <row r="16" spans="1:26" ht="15.75" customHeight="1">
      <c r="A16" s="18"/>
      <c r="B16" s="5" t="s">
        <v>3</v>
      </c>
      <c r="C16" s="14">
        <f>Feuil2!C5</f>
        <v>5390</v>
      </c>
      <c r="D16" s="15">
        <f>Feuil2!E5</f>
        <v>36643.5</v>
      </c>
      <c r="E16" s="10">
        <f t="shared" si="0"/>
        <v>29052100</v>
      </c>
      <c r="F16" s="10">
        <f t="shared" si="1"/>
        <v>197508465</v>
      </c>
      <c r="G16" s="10"/>
      <c r="H16" s="10"/>
      <c r="I16" s="59"/>
      <c r="J16" s="18"/>
      <c r="K16" s="18"/>
      <c r="L16" s="18"/>
      <c r="M16" s="18"/>
      <c r="N16" s="18"/>
      <c r="O16" s="18"/>
      <c r="P16" s="18"/>
      <c r="Q16" s="18"/>
      <c r="R16" s="18"/>
      <c r="S16" s="18"/>
      <c r="T16" s="18"/>
      <c r="U16" s="18"/>
      <c r="V16" s="18"/>
      <c r="W16" s="18"/>
      <c r="X16" s="18"/>
      <c r="Y16" s="18"/>
      <c r="Z16" s="18"/>
    </row>
    <row r="17" spans="1:26" ht="15.75" customHeight="1">
      <c r="A17" s="18"/>
      <c r="B17" s="5" t="s">
        <v>5</v>
      </c>
      <c r="C17" s="14">
        <f>Feuil2!C6</f>
        <v>4460</v>
      </c>
      <c r="D17" s="15">
        <f>Feuil2!E6</f>
        <v>31296</v>
      </c>
      <c r="E17" s="10">
        <f t="shared" si="0"/>
        <v>19891600</v>
      </c>
      <c r="F17" s="10">
        <f t="shared" si="1"/>
        <v>139580160</v>
      </c>
      <c r="G17" s="10"/>
      <c r="H17" s="10"/>
      <c r="I17" s="59"/>
      <c r="J17" s="18"/>
      <c r="K17" s="18"/>
      <c r="L17" s="18"/>
      <c r="M17" s="18"/>
      <c r="N17" s="18"/>
      <c r="O17" s="18"/>
      <c r="P17" s="18"/>
      <c r="Q17" s="18"/>
      <c r="R17" s="18"/>
      <c r="S17" s="18"/>
      <c r="T17" s="18"/>
      <c r="U17" s="18"/>
      <c r="V17" s="18"/>
      <c r="W17" s="18"/>
      <c r="X17" s="18"/>
      <c r="Y17" s="18"/>
      <c r="Z17" s="18"/>
    </row>
    <row r="18" spans="1:26" ht="15.75" customHeight="1">
      <c r="A18" s="18"/>
      <c r="B18" s="5" t="s">
        <v>6</v>
      </c>
      <c r="C18" s="14">
        <f>Feuil2!C7</f>
        <v>3450</v>
      </c>
      <c r="D18" s="15">
        <f>Feuil2!E7</f>
        <v>25488.5</v>
      </c>
      <c r="E18" s="10">
        <f t="shared" si="0"/>
        <v>11902500</v>
      </c>
      <c r="F18" s="10">
        <f t="shared" si="1"/>
        <v>87935325</v>
      </c>
      <c r="G18" s="10"/>
      <c r="H18" s="10"/>
      <c r="I18" s="59"/>
      <c r="J18" s="18"/>
      <c r="K18" s="18"/>
      <c r="L18" s="18"/>
      <c r="M18" s="18"/>
      <c r="N18" s="18"/>
      <c r="O18" s="18"/>
      <c r="P18" s="18"/>
      <c r="Q18" s="18"/>
      <c r="R18" s="18"/>
      <c r="S18" s="18"/>
      <c r="T18" s="18"/>
      <c r="U18" s="18"/>
      <c r="V18" s="18"/>
      <c r="W18" s="18"/>
      <c r="X18" s="18"/>
      <c r="Y18" s="18"/>
      <c r="Z18" s="18"/>
    </row>
    <row r="19" spans="1:26" ht="15.75" customHeight="1">
      <c r="A19" s="18"/>
      <c r="B19" s="5" t="s">
        <v>7</v>
      </c>
      <c r="C19" s="14">
        <f>Feuil2!C8</f>
        <v>4120</v>
      </c>
      <c r="D19" s="15">
        <f>Feuil2!E8</f>
        <v>29341</v>
      </c>
      <c r="E19" s="10">
        <f t="shared" si="0"/>
        <v>16974400</v>
      </c>
      <c r="F19" s="10">
        <f t="shared" si="1"/>
        <v>120884920</v>
      </c>
      <c r="G19" s="10"/>
      <c r="H19" s="10"/>
      <c r="I19" s="59"/>
      <c r="J19" s="18"/>
      <c r="K19" s="18"/>
      <c r="L19" s="18"/>
      <c r="M19" s="18"/>
      <c r="N19" s="18"/>
      <c r="O19" s="18"/>
      <c r="P19" s="18"/>
      <c r="Q19" s="18"/>
      <c r="R19" s="18"/>
      <c r="S19" s="18"/>
      <c r="T19" s="18"/>
      <c r="U19" s="18"/>
      <c r="V19" s="18"/>
      <c r="W19" s="18"/>
      <c r="X19" s="18"/>
      <c r="Y19" s="18"/>
      <c r="Z19" s="18"/>
    </row>
    <row r="20" spans="1:26" ht="15.75" customHeight="1">
      <c r="A20" s="18"/>
      <c r="B20" s="5" t="s">
        <v>8</v>
      </c>
      <c r="C20" s="14">
        <f>Feuil2!C9</f>
        <v>4060</v>
      </c>
      <c r="D20" s="15">
        <f>Feuil2!E9</f>
        <v>28996</v>
      </c>
      <c r="E20" s="10">
        <f t="shared" si="0"/>
        <v>16483600</v>
      </c>
      <c r="F20" s="10">
        <f t="shared" si="1"/>
        <v>117723760</v>
      </c>
      <c r="G20" s="10"/>
      <c r="H20" s="10"/>
      <c r="I20" s="59"/>
      <c r="J20" s="18"/>
      <c r="K20" s="18"/>
      <c r="L20" s="18"/>
      <c r="M20" s="18"/>
      <c r="N20" s="18"/>
      <c r="O20" s="18"/>
      <c r="P20" s="18"/>
      <c r="Q20" s="18"/>
      <c r="R20" s="18"/>
      <c r="S20" s="18"/>
      <c r="T20" s="18"/>
      <c r="U20" s="18"/>
      <c r="V20" s="18"/>
      <c r="W20" s="18"/>
      <c r="X20" s="18"/>
      <c r="Y20" s="18"/>
      <c r="Z20" s="18"/>
    </row>
    <row r="21" spans="1:26" ht="15.75" customHeight="1">
      <c r="A21" s="18"/>
      <c r="B21" s="5" t="s">
        <v>9</v>
      </c>
      <c r="C21" s="14">
        <f>Feuil2!C10</f>
        <v>3210</v>
      </c>
      <c r="D21" s="15">
        <f>Feuil2!E10</f>
        <v>24108.5</v>
      </c>
      <c r="E21" s="10">
        <f t="shared" si="0"/>
        <v>10304100</v>
      </c>
      <c r="F21" s="10">
        <f t="shared" si="1"/>
        <v>77388285</v>
      </c>
      <c r="G21" s="10"/>
      <c r="H21" s="10"/>
      <c r="I21" s="59"/>
      <c r="J21" s="18"/>
      <c r="K21" s="18"/>
      <c r="L21" s="18"/>
      <c r="M21" s="18"/>
      <c r="N21" s="18"/>
      <c r="O21" s="18"/>
      <c r="P21" s="18"/>
      <c r="Q21" s="18"/>
      <c r="R21" s="18"/>
      <c r="S21" s="18"/>
      <c r="T21" s="18"/>
      <c r="U21" s="18"/>
      <c r="V21" s="18"/>
      <c r="W21" s="18"/>
      <c r="X21" s="18"/>
      <c r="Y21" s="18"/>
      <c r="Z21" s="18"/>
    </row>
    <row r="22" spans="1:26" ht="15.75" customHeight="1">
      <c r="A22" s="18"/>
      <c r="B22" s="5" t="s">
        <v>11</v>
      </c>
      <c r="C22" s="14">
        <f>Feuil2!C11</f>
        <v>3850</v>
      </c>
      <c r="D22" s="15">
        <f>Feuil2!E11</f>
        <v>27788.5</v>
      </c>
      <c r="E22" s="10">
        <f t="shared" si="0"/>
        <v>14822500</v>
      </c>
      <c r="F22" s="10">
        <f t="shared" si="1"/>
        <v>106985725</v>
      </c>
      <c r="G22" s="10"/>
      <c r="H22" s="10"/>
      <c r="I22" s="59"/>
      <c r="J22" s="18"/>
      <c r="K22" s="18"/>
      <c r="L22" s="18"/>
      <c r="M22" s="18"/>
      <c r="N22" s="18"/>
      <c r="O22" s="18"/>
      <c r="P22" s="18"/>
      <c r="Q22" s="18"/>
      <c r="R22" s="18"/>
      <c r="S22" s="18"/>
      <c r="T22" s="18"/>
      <c r="U22" s="18"/>
      <c r="V22" s="18"/>
      <c r="W22" s="18"/>
      <c r="X22" s="18"/>
      <c r="Y22" s="18"/>
      <c r="Z22" s="18"/>
    </row>
    <row r="23" spans="1:26" ht="15.75" customHeight="1">
      <c r="A23" s="18"/>
      <c r="B23" s="5" t="s">
        <v>15</v>
      </c>
      <c r="C23" s="14">
        <f>Feuil2!C12</f>
        <v>4520</v>
      </c>
      <c r="D23" s="15">
        <f>Feuil2!E12</f>
        <v>31641</v>
      </c>
      <c r="E23" s="10">
        <f t="shared" si="0"/>
        <v>20430400</v>
      </c>
      <c r="F23" s="10">
        <f t="shared" si="1"/>
        <v>143017320</v>
      </c>
      <c r="G23" s="10"/>
      <c r="H23" s="10"/>
      <c r="I23" s="59"/>
      <c r="J23" s="18"/>
      <c r="K23" s="18"/>
      <c r="L23" s="18"/>
      <c r="M23" s="18"/>
      <c r="N23" s="18"/>
      <c r="O23" s="18"/>
      <c r="P23" s="18"/>
      <c r="Q23" s="18"/>
      <c r="R23" s="18"/>
      <c r="S23" s="18"/>
      <c r="T23" s="18"/>
      <c r="U23" s="18"/>
      <c r="V23" s="18"/>
      <c r="W23" s="18"/>
      <c r="X23" s="18"/>
      <c r="Y23" s="18"/>
      <c r="Z23" s="18"/>
    </row>
    <row r="24" spans="1:26" ht="15.75" customHeight="1">
      <c r="A24" s="18"/>
      <c r="B24" s="5" t="s">
        <v>16</v>
      </c>
      <c r="C24" s="14">
        <f>Feuil2!C13</f>
        <v>4490</v>
      </c>
      <c r="D24" s="15">
        <f>Feuil2!E13</f>
        <v>31468.5</v>
      </c>
      <c r="E24" s="10">
        <f t="shared" si="0"/>
        <v>20160100</v>
      </c>
      <c r="F24" s="10">
        <f t="shared" si="1"/>
        <v>141293565</v>
      </c>
      <c r="G24" s="10"/>
      <c r="H24" s="10"/>
      <c r="I24" s="59"/>
      <c r="J24" s="18"/>
      <c r="K24" s="18"/>
      <c r="L24" s="18"/>
      <c r="M24" s="18"/>
      <c r="N24" s="18"/>
      <c r="O24" s="18"/>
      <c r="P24" s="18"/>
      <c r="Q24" s="18"/>
      <c r="R24" s="18"/>
      <c r="S24" s="18"/>
      <c r="T24" s="18"/>
      <c r="U24" s="18"/>
      <c r="V24" s="18"/>
      <c r="W24" s="18"/>
      <c r="X24" s="18"/>
      <c r="Y24" s="18"/>
      <c r="Z24" s="18"/>
    </row>
    <row r="25" spans="1:26" ht="15.75" customHeight="1">
      <c r="A25" s="18"/>
      <c r="B25" s="5" t="s">
        <v>18</v>
      </c>
      <c r="C25" s="14">
        <f>Feuil2!C14</f>
        <v>3270</v>
      </c>
      <c r="D25" s="15">
        <f>Feuil2!E14</f>
        <v>24453.5</v>
      </c>
      <c r="E25" s="10">
        <f t="shared" si="0"/>
        <v>10692900</v>
      </c>
      <c r="F25" s="10">
        <f t="shared" si="1"/>
        <v>79962945</v>
      </c>
      <c r="G25" s="10"/>
      <c r="H25" s="10"/>
      <c r="I25" s="59"/>
      <c r="J25" s="18"/>
      <c r="K25" s="18"/>
      <c r="L25" s="18"/>
      <c r="M25" s="18"/>
      <c r="N25" s="18"/>
      <c r="O25" s="18"/>
      <c r="P25" s="18"/>
      <c r="Q25" s="18"/>
      <c r="R25" s="18"/>
      <c r="S25" s="18"/>
      <c r="T25" s="18"/>
      <c r="U25" s="18"/>
      <c r="V25" s="18"/>
      <c r="W25" s="18"/>
      <c r="X25" s="18"/>
      <c r="Y25" s="18"/>
      <c r="Z25" s="18"/>
    </row>
    <row r="26" spans="1:26" ht="15.75" customHeight="1">
      <c r="A26" s="18"/>
      <c r="B26" s="5" t="s">
        <v>4</v>
      </c>
      <c r="C26" s="14">
        <f>SUM(C14:C25)</f>
        <v>49470</v>
      </c>
      <c r="D26" s="15">
        <f>SUM(D14:D25)</f>
        <v>352264.5</v>
      </c>
      <c r="E26" s="63">
        <f>SUM(E14:E25)</f>
        <v>211029500</v>
      </c>
      <c r="F26" s="63">
        <f>SUM(F14:F25)</f>
        <v>1492974595</v>
      </c>
      <c r="G26" s="10"/>
      <c r="H26" s="10"/>
      <c r="I26" s="59"/>
      <c r="J26" s="18"/>
      <c r="K26" s="18"/>
      <c r="L26" s="18"/>
      <c r="M26" s="18"/>
      <c r="N26" s="18"/>
      <c r="O26" s="18"/>
      <c r="P26" s="18"/>
      <c r="Q26" s="18"/>
      <c r="R26" s="18"/>
      <c r="S26" s="18"/>
      <c r="T26" s="18"/>
      <c r="U26" s="18"/>
      <c r="V26" s="18"/>
      <c r="W26" s="18"/>
      <c r="X26" s="18"/>
      <c r="Y26" s="18"/>
      <c r="Z26" s="18"/>
    </row>
    <row r="27" spans="1:26" ht="15.75" customHeight="1">
      <c r="A27" s="18"/>
      <c r="B27" s="64"/>
      <c r="C27" s="65"/>
      <c r="D27" s="65"/>
      <c r="E27" s="65"/>
      <c r="F27" s="10"/>
      <c r="G27" s="10"/>
      <c r="H27" s="10"/>
      <c r="I27" s="59"/>
      <c r="J27" s="18"/>
      <c r="K27" s="18"/>
      <c r="L27" s="18"/>
      <c r="M27" s="18"/>
      <c r="N27" s="18"/>
      <c r="O27" s="18"/>
      <c r="P27" s="18"/>
      <c r="Q27" s="18"/>
      <c r="R27" s="18"/>
      <c r="S27" s="18"/>
      <c r="T27" s="18"/>
      <c r="U27" s="18"/>
      <c r="V27" s="18"/>
      <c r="W27" s="18"/>
      <c r="X27" s="18"/>
      <c r="Y27" s="18"/>
      <c r="Z27" s="18"/>
    </row>
    <row r="28" spans="1:26" ht="15.75" customHeight="1">
      <c r="A28" s="18"/>
      <c r="B28" s="66"/>
      <c r="C28" s="67"/>
      <c r="D28" s="61"/>
      <c r="E28" s="67"/>
      <c r="F28" s="61"/>
      <c r="G28" s="61"/>
      <c r="H28" s="61"/>
      <c r="I28" s="68"/>
      <c r="J28" s="18"/>
      <c r="K28" s="18"/>
      <c r="L28" s="18"/>
      <c r="M28" s="18"/>
      <c r="N28" s="18"/>
      <c r="O28" s="18"/>
      <c r="P28" s="18"/>
      <c r="Q28" s="18"/>
      <c r="R28" s="18"/>
      <c r="S28" s="18"/>
      <c r="T28" s="18"/>
      <c r="U28" s="18"/>
      <c r="V28" s="18"/>
      <c r="W28" s="18"/>
      <c r="X28" s="18"/>
      <c r="Y28" s="18"/>
      <c r="Z28" s="18"/>
    </row>
    <row r="29" spans="1:26" ht="15.75" customHeight="1">
      <c r="A29" s="18"/>
      <c r="B29" s="66"/>
      <c r="C29" s="67"/>
      <c r="D29" s="61"/>
      <c r="E29" s="67"/>
      <c r="F29" s="61"/>
      <c r="G29" s="61"/>
      <c r="H29" s="61"/>
      <c r="I29" s="68"/>
      <c r="J29" s="18"/>
      <c r="K29" s="18"/>
      <c r="L29" s="18"/>
      <c r="M29" s="18"/>
      <c r="N29" s="18"/>
      <c r="O29" s="18"/>
      <c r="P29" s="18"/>
      <c r="Q29" s="18"/>
      <c r="R29" s="18"/>
      <c r="S29" s="18"/>
      <c r="T29" s="18"/>
      <c r="U29" s="18"/>
      <c r="V29" s="18"/>
      <c r="W29" s="18"/>
      <c r="X29" s="18"/>
      <c r="Y29" s="18"/>
      <c r="Z29" s="18"/>
    </row>
    <row r="30" spans="1:26" ht="15.75" customHeight="1" thickBot="1">
      <c r="A30" s="18"/>
      <c r="B30" s="69" t="s">
        <v>96</v>
      </c>
      <c r="C30" s="70">
        <f>(COUNT(C14:C25)*F26-C26*D26)/(COUNT(C14:C25)*E26-C26^2)</f>
        <v>5.75</v>
      </c>
      <c r="D30" s="71" t="s">
        <v>97</v>
      </c>
      <c r="E30" s="70">
        <f>(E26*D26-C26*F26)/(COUNT(C14:C25)*E26-C26^2)*12</f>
        <v>67812</v>
      </c>
      <c r="F30" s="72"/>
      <c r="G30" s="72"/>
      <c r="H30" s="72"/>
      <c r="I30" s="73"/>
      <c r="J30" s="18"/>
      <c r="K30" s="18"/>
      <c r="L30" s="18"/>
      <c r="M30" s="18"/>
      <c r="N30" s="18"/>
      <c r="O30" s="18"/>
      <c r="P30" s="18"/>
      <c r="Q30" s="18"/>
      <c r="R30" s="18"/>
      <c r="S30" s="18"/>
      <c r="T30" s="18"/>
      <c r="U30" s="18"/>
      <c r="V30" s="18"/>
      <c r="W30" s="18"/>
      <c r="X30" s="18"/>
      <c r="Y30" s="18"/>
      <c r="Z30" s="18"/>
    </row>
    <row r="31" spans="1:26" ht="15.75" customHeight="1" thickBot="1">
      <c r="A31" s="18"/>
      <c r="J31" s="18"/>
      <c r="K31" s="18"/>
      <c r="L31" s="18"/>
      <c r="M31" s="18"/>
      <c r="N31" s="18"/>
      <c r="O31" s="18"/>
      <c r="P31" s="18"/>
      <c r="Q31" s="18"/>
      <c r="R31" s="18"/>
      <c r="S31" s="18"/>
      <c r="T31" s="18"/>
      <c r="U31" s="18"/>
      <c r="V31" s="18"/>
      <c r="W31" s="18"/>
      <c r="X31" s="18"/>
      <c r="Y31" s="18"/>
      <c r="Z31" s="18"/>
    </row>
    <row r="32" spans="1:26" ht="15.75" customHeight="1" thickBot="1">
      <c r="A32" s="18"/>
      <c r="B32" s="299" t="s">
        <v>92</v>
      </c>
      <c r="C32" s="304"/>
      <c r="D32" s="304"/>
      <c r="E32" s="300"/>
      <c r="F32" s="301" t="s">
        <v>93</v>
      </c>
      <c r="G32" s="302"/>
      <c r="H32" s="302"/>
      <c r="I32" s="303"/>
      <c r="J32" s="18"/>
      <c r="K32" s="18"/>
      <c r="L32" s="18"/>
      <c r="M32" s="18"/>
      <c r="N32" s="18"/>
      <c r="O32" s="18"/>
      <c r="P32" s="18"/>
      <c r="Q32" s="18"/>
      <c r="R32" s="18"/>
      <c r="S32" s="18"/>
      <c r="T32" s="18"/>
      <c r="U32" s="18"/>
      <c r="V32" s="18"/>
      <c r="W32" s="18"/>
      <c r="X32" s="18"/>
      <c r="Y32" s="18"/>
      <c r="Z32" s="18"/>
    </row>
    <row r="33" spans="1:26" ht="15.75" customHeight="1">
      <c r="A33" s="18"/>
      <c r="B33" s="5"/>
      <c r="C33" s="10" t="s">
        <v>10</v>
      </c>
      <c r="D33" s="10" t="s">
        <v>12</v>
      </c>
      <c r="E33" s="59"/>
      <c r="F33" s="124" t="s">
        <v>44</v>
      </c>
      <c r="G33" s="125">
        <f>Feuil2!C17</f>
        <v>15.5</v>
      </c>
      <c r="H33" s="126"/>
      <c r="I33" s="127"/>
      <c r="J33" s="18"/>
      <c r="K33" s="18"/>
      <c r="L33" s="18"/>
      <c r="M33" s="18"/>
      <c r="N33" s="18"/>
      <c r="O33" s="18"/>
      <c r="P33" s="18"/>
      <c r="Q33" s="18"/>
      <c r="R33" s="18"/>
      <c r="S33" s="18"/>
      <c r="T33" s="18"/>
      <c r="U33" s="18"/>
      <c r="V33" s="18"/>
      <c r="W33" s="18"/>
      <c r="X33" s="18"/>
      <c r="Y33" s="18"/>
      <c r="Z33" s="18"/>
    </row>
    <row r="34" spans="1:26" ht="15.75" customHeight="1">
      <c r="A34" s="18"/>
      <c r="B34" s="5" t="s">
        <v>94</v>
      </c>
      <c r="C34" s="14">
        <f>MIN(Feuil2!C3:C14)</f>
        <v>3120</v>
      </c>
      <c r="D34" s="58">
        <f>MIN(Feuil2!F3:F14)</f>
        <v>13571.999999999998</v>
      </c>
      <c r="E34" s="59"/>
      <c r="F34" s="5" t="s">
        <v>118</v>
      </c>
      <c r="G34" s="113">
        <f>C26</f>
        <v>49470</v>
      </c>
      <c r="H34" s="58"/>
      <c r="I34" s="59"/>
      <c r="J34" s="18"/>
      <c r="K34" s="18"/>
      <c r="L34" s="18"/>
      <c r="M34" s="18"/>
      <c r="N34" s="18"/>
      <c r="O34" s="18"/>
      <c r="P34" s="18"/>
      <c r="Q34" s="18"/>
      <c r="R34" s="18"/>
      <c r="S34" s="18"/>
      <c r="T34" s="18"/>
      <c r="U34" s="18"/>
      <c r="V34" s="18"/>
      <c r="W34" s="18"/>
      <c r="X34" s="18"/>
      <c r="Y34" s="18"/>
      <c r="Z34" s="18"/>
    </row>
    <row r="35" spans="1:26" ht="15.75" customHeight="1">
      <c r="A35" s="18"/>
      <c r="B35" s="5" t="s">
        <v>95</v>
      </c>
      <c r="C35" s="14">
        <f>MAX(Feuil2!C3:C14)</f>
        <v>5530</v>
      </c>
      <c r="D35" s="58">
        <f>MAX(Feuil2!F3:F14)</f>
        <v>24055.499999999996</v>
      </c>
      <c r="E35" s="59"/>
      <c r="F35" s="5" t="s">
        <v>101</v>
      </c>
      <c r="G35" s="15">
        <f>G33*G34</f>
        <v>766785</v>
      </c>
      <c r="H35" s="10"/>
      <c r="I35" s="59"/>
      <c r="J35" s="18"/>
      <c r="K35" s="18"/>
      <c r="L35" s="18"/>
      <c r="M35" s="18"/>
      <c r="N35" s="18"/>
      <c r="O35" s="18"/>
      <c r="P35" s="18"/>
      <c r="Q35" s="18"/>
      <c r="R35" s="18"/>
      <c r="S35" s="18"/>
      <c r="T35" s="18"/>
      <c r="U35" s="18"/>
      <c r="V35" s="18"/>
      <c r="W35" s="18"/>
      <c r="X35" s="18"/>
      <c r="Y35" s="18"/>
      <c r="Z35" s="18"/>
    </row>
    <row r="36" spans="1:26" ht="15.75" customHeight="1">
      <c r="A36" s="18"/>
      <c r="B36" s="5"/>
      <c r="C36" s="10"/>
      <c r="D36" s="10"/>
      <c r="E36" s="59"/>
      <c r="F36" s="64" t="s">
        <v>136</v>
      </c>
      <c r="G36" s="122">
        <f>Feuil2!C22</f>
        <v>2.2099454214675567</v>
      </c>
      <c r="H36" s="58"/>
      <c r="I36" s="59"/>
      <c r="J36" s="18"/>
      <c r="K36" s="18"/>
      <c r="L36" s="18"/>
      <c r="M36" s="18"/>
      <c r="N36" s="18"/>
      <c r="O36" s="18"/>
      <c r="P36" s="18"/>
      <c r="Q36" s="18"/>
      <c r="R36" s="18"/>
      <c r="S36" s="18"/>
      <c r="T36" s="18"/>
      <c r="U36" s="18"/>
      <c r="V36" s="18"/>
      <c r="W36" s="18"/>
      <c r="X36" s="18"/>
      <c r="Y36" s="18"/>
      <c r="Z36" s="18"/>
    </row>
    <row r="37" spans="1:26" ht="15.75" customHeight="1">
      <c r="A37" s="18"/>
      <c r="B37" s="5"/>
      <c r="C37" s="10"/>
      <c r="D37" s="65"/>
      <c r="E37" s="82"/>
      <c r="F37" s="5" t="s">
        <v>30</v>
      </c>
      <c r="G37" s="15">
        <f>C26*C30</f>
        <v>284452.5</v>
      </c>
      <c r="H37" s="10"/>
      <c r="I37" s="59"/>
      <c r="J37" s="18"/>
      <c r="K37" s="18"/>
      <c r="L37" s="18"/>
      <c r="M37" s="18"/>
      <c r="N37" s="18"/>
      <c r="O37" s="18"/>
      <c r="P37" s="18"/>
      <c r="Q37" s="18"/>
      <c r="R37" s="18"/>
      <c r="S37" s="18"/>
      <c r="T37" s="18"/>
      <c r="U37" s="18"/>
      <c r="V37" s="18"/>
      <c r="W37" s="18"/>
      <c r="X37" s="18"/>
      <c r="Y37" s="18"/>
      <c r="Z37" s="18"/>
    </row>
    <row r="38" spans="1:26" ht="15.75" customHeight="1" thickBot="1">
      <c r="A38" s="18"/>
      <c r="B38" s="30"/>
      <c r="C38" s="62"/>
      <c r="D38" s="71" t="s">
        <v>27</v>
      </c>
      <c r="E38" s="78">
        <f>(D35-D34)/(C35-C34)</f>
        <v>4.3499999999999996</v>
      </c>
      <c r="F38" s="5" t="s">
        <v>31</v>
      </c>
      <c r="G38" s="15">
        <f>C26*E38</f>
        <v>215194.49999999997</v>
      </c>
      <c r="H38" s="65"/>
      <c r="I38" s="82"/>
      <c r="J38" s="18"/>
      <c r="K38" s="18"/>
      <c r="L38" s="18"/>
      <c r="M38" s="18"/>
      <c r="N38" s="18"/>
      <c r="O38" s="18"/>
      <c r="P38" s="18"/>
      <c r="Q38" s="18"/>
      <c r="R38" s="18"/>
      <c r="S38" s="18"/>
      <c r="T38" s="18"/>
      <c r="U38" s="18"/>
      <c r="V38" s="18"/>
      <c r="W38" s="18"/>
      <c r="X38" s="18"/>
      <c r="Y38" s="18"/>
      <c r="Z38" s="18"/>
    </row>
    <row r="39" spans="1:26" ht="15.75" customHeight="1">
      <c r="A39" s="18"/>
      <c r="E39" s="65"/>
      <c r="F39" s="5" t="s">
        <v>26</v>
      </c>
      <c r="G39" s="15">
        <f>E30</f>
        <v>67812</v>
      </c>
      <c r="H39" s="65"/>
      <c r="I39" s="82"/>
      <c r="J39" s="18"/>
      <c r="K39" s="18"/>
      <c r="L39" s="18"/>
      <c r="M39" s="18"/>
      <c r="N39" s="18"/>
      <c r="O39" s="18"/>
      <c r="P39" s="18"/>
      <c r="Q39" s="18"/>
      <c r="R39" s="18"/>
      <c r="S39" s="18"/>
      <c r="T39" s="18"/>
      <c r="U39" s="18"/>
      <c r="V39" s="18"/>
      <c r="W39" s="18"/>
      <c r="X39" s="18"/>
      <c r="Y39" s="18"/>
      <c r="Z39" s="18"/>
    </row>
    <row r="40" spans="1:26" ht="15.75" customHeight="1" thickBot="1">
      <c r="A40" s="18"/>
      <c r="E40" s="65"/>
      <c r="F40" s="30" t="s">
        <v>32</v>
      </c>
      <c r="G40" s="70">
        <f>-1*(C26*G36-G35+G37+G38+G39)</f>
        <v>90000.000000000029</v>
      </c>
      <c r="H40" s="62"/>
      <c r="I40" s="75"/>
      <c r="J40" s="18"/>
      <c r="K40" s="18"/>
      <c r="L40" s="18"/>
      <c r="M40" s="18"/>
      <c r="N40" s="18"/>
      <c r="O40" s="18"/>
      <c r="P40" s="18"/>
      <c r="Q40" s="18"/>
      <c r="R40" s="18"/>
      <c r="S40" s="18"/>
      <c r="T40" s="18"/>
      <c r="U40" s="18"/>
      <c r="V40" s="18"/>
      <c r="W40" s="18"/>
      <c r="X40" s="18"/>
      <c r="Y40" s="18"/>
      <c r="Z40" s="18"/>
    </row>
    <row r="41" spans="1:26" ht="15.75" customHeight="1" thickBot="1">
      <c r="A41" s="18"/>
      <c r="J41" s="18"/>
      <c r="K41" s="18"/>
      <c r="L41" s="18"/>
      <c r="M41" s="18"/>
      <c r="N41" s="18"/>
      <c r="O41" s="18"/>
      <c r="P41" s="18"/>
      <c r="Q41" s="18"/>
      <c r="R41" s="18"/>
      <c r="S41" s="18"/>
      <c r="T41" s="18"/>
      <c r="U41" s="18"/>
      <c r="V41" s="18"/>
      <c r="W41" s="18"/>
      <c r="X41" s="18"/>
      <c r="Y41" s="18"/>
      <c r="Z41" s="18"/>
    </row>
    <row r="42" spans="1:26" ht="15.75" customHeight="1" thickBot="1">
      <c r="A42" s="18"/>
      <c r="B42" s="299" t="s">
        <v>111</v>
      </c>
      <c r="C42" s="300"/>
      <c r="D42" s="299" t="s">
        <v>105</v>
      </c>
      <c r="E42" s="300"/>
      <c r="F42" s="299" t="s">
        <v>106</v>
      </c>
      <c r="G42" s="300"/>
      <c r="H42" s="299" t="s">
        <v>107</v>
      </c>
      <c r="I42" s="300"/>
      <c r="J42" s="32"/>
      <c r="K42" s="32"/>
      <c r="L42" s="32"/>
      <c r="M42" s="32"/>
      <c r="N42" s="32"/>
      <c r="O42" s="32"/>
      <c r="P42" s="18"/>
      <c r="Q42" s="18"/>
      <c r="R42" s="18"/>
      <c r="S42" s="18"/>
      <c r="T42" s="18"/>
      <c r="U42" s="18"/>
      <c r="V42" s="18"/>
      <c r="W42" s="18"/>
      <c r="X42" s="18"/>
      <c r="Y42" s="18"/>
      <c r="Z42" s="18"/>
    </row>
    <row r="43" spans="1:26" ht="15.75" customHeight="1">
      <c r="A43" s="18"/>
      <c r="B43" s="5" t="s">
        <v>44</v>
      </c>
      <c r="C43" s="34">
        <f>Feuil2!C17</f>
        <v>15.5</v>
      </c>
      <c r="D43" s="5" t="str">
        <f>B43</f>
        <v>Prix de vente unitaire</v>
      </c>
      <c r="E43" s="34">
        <f>C43</f>
        <v>15.5</v>
      </c>
      <c r="F43" s="5" t="s">
        <v>103</v>
      </c>
      <c r="G43" s="89">
        <f>Feuil2!C23*12</f>
        <v>69600</v>
      </c>
      <c r="H43" s="5" t="s">
        <v>108</v>
      </c>
      <c r="I43" s="91">
        <f>Feuil2!C24</f>
        <v>750000</v>
      </c>
      <c r="J43" s="18"/>
      <c r="K43" s="18"/>
      <c r="L43" s="18"/>
      <c r="M43" s="18"/>
      <c r="N43" s="18"/>
      <c r="O43" s="18"/>
      <c r="P43" s="18"/>
      <c r="Q43" s="18"/>
      <c r="R43" s="18"/>
      <c r="S43" s="18"/>
      <c r="T43" s="18"/>
      <c r="U43" s="18"/>
      <c r="V43" s="18"/>
      <c r="W43" s="18"/>
      <c r="X43" s="18"/>
      <c r="Y43" s="18"/>
      <c r="Z43" s="18"/>
    </row>
    <row r="44" spans="1:26" ht="15.75" customHeight="1">
      <c r="A44" s="18"/>
      <c r="B44" s="5" t="s">
        <v>124</v>
      </c>
      <c r="C44" s="86">
        <f>C30+E38</f>
        <v>10.1</v>
      </c>
      <c r="D44" s="5" t="str">
        <f>B44</f>
        <v>Frais variables unitaire totaux</v>
      </c>
      <c r="E44" s="34">
        <f>C44</f>
        <v>10.1</v>
      </c>
      <c r="F44" s="64" t="s">
        <v>102</v>
      </c>
      <c r="G44" s="90">
        <f>C43*G43</f>
        <v>1078800</v>
      </c>
      <c r="H44" s="5" t="str">
        <f>D44</f>
        <v>Frais variables unitaire totaux</v>
      </c>
      <c r="I44" s="96">
        <f>E44</f>
        <v>10.1</v>
      </c>
      <c r="J44" s="18"/>
      <c r="K44" s="18"/>
      <c r="L44" s="18"/>
      <c r="M44" s="18"/>
      <c r="N44" s="18"/>
      <c r="O44" s="18"/>
      <c r="P44" s="18"/>
      <c r="Q44" s="18"/>
      <c r="R44" s="18"/>
      <c r="S44" s="18"/>
      <c r="T44" s="18"/>
      <c r="U44" s="18"/>
      <c r="V44" s="18"/>
      <c r="W44" s="18"/>
      <c r="X44" s="18"/>
      <c r="Y44" s="18"/>
      <c r="Z44" s="18"/>
    </row>
    <row r="45" spans="1:26" ht="15.75" customHeight="1">
      <c r="A45" s="18"/>
      <c r="B45" s="5"/>
      <c r="C45" s="59"/>
      <c r="D45" s="5" t="s">
        <v>98</v>
      </c>
      <c r="E45" s="76">
        <f>E30+G40</f>
        <v>157812.00000000003</v>
      </c>
      <c r="F45" s="5" t="s">
        <v>33</v>
      </c>
      <c r="G45" s="91">
        <f>E47*C43</f>
        <v>452978.88888888893</v>
      </c>
      <c r="H45" s="5" t="str">
        <f>D45</f>
        <v>Frais fixes totaux</v>
      </c>
      <c r="I45" s="100">
        <f>E45</f>
        <v>157812.00000000003</v>
      </c>
      <c r="J45" s="18"/>
      <c r="K45" s="18"/>
      <c r="L45" s="18"/>
      <c r="M45" s="18"/>
      <c r="N45" s="18"/>
      <c r="O45" s="18"/>
      <c r="P45" s="18"/>
      <c r="Q45" s="18"/>
      <c r="R45" s="18"/>
      <c r="S45" s="18"/>
      <c r="T45" s="18"/>
      <c r="U45" s="18"/>
      <c r="V45" s="18"/>
      <c r="W45" s="18"/>
      <c r="X45" s="18"/>
      <c r="Y45" s="18"/>
      <c r="Z45" s="18"/>
    </row>
    <row r="46" spans="1:26" ht="15.75" customHeight="1">
      <c r="A46" s="18"/>
      <c r="B46" s="5"/>
      <c r="C46" s="59"/>
      <c r="D46" s="5"/>
      <c r="E46" s="59"/>
      <c r="F46" s="83" t="s">
        <v>34</v>
      </c>
      <c r="G46" s="92">
        <f>G44-G45</f>
        <v>625821.11111111101</v>
      </c>
      <c r="H46" s="64" t="s">
        <v>109</v>
      </c>
      <c r="I46" s="101">
        <f>C26</f>
        <v>49470</v>
      </c>
      <c r="J46" s="18"/>
      <c r="K46" s="18"/>
      <c r="L46" s="18"/>
      <c r="M46" s="18"/>
      <c r="N46" s="18"/>
      <c r="O46" s="18"/>
      <c r="P46" s="18"/>
      <c r="Q46" s="18"/>
      <c r="R46" s="18"/>
      <c r="S46" s="18"/>
      <c r="T46" s="18"/>
      <c r="U46" s="18"/>
      <c r="V46" s="18"/>
      <c r="W46" s="18"/>
      <c r="X46" s="18"/>
      <c r="Y46" s="18"/>
      <c r="Z46" s="18"/>
    </row>
    <row r="47" spans="1:26" ht="15.75" customHeight="1">
      <c r="A47" s="18"/>
      <c r="B47" s="66" t="s">
        <v>137</v>
      </c>
      <c r="C47" s="87">
        <f>C43-C44</f>
        <v>5.4</v>
      </c>
      <c r="D47" s="5" t="s">
        <v>99</v>
      </c>
      <c r="E47" s="77">
        <f>E45/(E43-E44)</f>
        <v>29224.444444444449</v>
      </c>
      <c r="F47" s="5"/>
      <c r="G47" s="59"/>
      <c r="H47" s="64"/>
      <c r="I47" s="82"/>
      <c r="J47" s="18"/>
      <c r="K47" s="18"/>
      <c r="L47" s="18"/>
      <c r="M47" s="18"/>
      <c r="N47" s="18"/>
      <c r="O47" s="18"/>
      <c r="P47" s="18"/>
      <c r="Q47" s="18"/>
      <c r="R47" s="18"/>
      <c r="S47" s="18"/>
      <c r="T47" s="18"/>
      <c r="U47" s="18"/>
      <c r="V47" s="18"/>
      <c r="W47" s="18"/>
      <c r="X47" s="18"/>
      <c r="Y47" s="18"/>
      <c r="Z47" s="18"/>
    </row>
    <row r="48" spans="1:26" ht="15.75" customHeight="1">
      <c r="A48" s="18"/>
      <c r="B48" s="66" t="s">
        <v>41</v>
      </c>
      <c r="C48" s="88">
        <f>C47/C43</f>
        <v>0.34838709677419355</v>
      </c>
      <c r="D48" s="5"/>
      <c r="E48" s="34"/>
      <c r="F48" s="5" t="s">
        <v>103</v>
      </c>
      <c r="G48" s="89">
        <f>G43</f>
        <v>69600</v>
      </c>
      <c r="H48" s="5"/>
      <c r="I48" s="91"/>
      <c r="J48" s="18"/>
      <c r="K48" s="18"/>
      <c r="L48" s="18"/>
      <c r="M48" s="18"/>
      <c r="N48" s="18"/>
      <c r="O48" s="18"/>
      <c r="P48" s="18"/>
      <c r="Q48" s="18"/>
      <c r="R48" s="18"/>
      <c r="S48" s="18"/>
      <c r="T48" s="18"/>
      <c r="U48" s="18"/>
      <c r="V48" s="18"/>
      <c r="W48" s="18"/>
      <c r="X48" s="18"/>
      <c r="Y48" s="18"/>
      <c r="Z48" s="18"/>
    </row>
    <row r="49" spans="1:26" ht="15.75" customHeight="1" thickBot="1">
      <c r="A49" s="18"/>
      <c r="B49" s="30"/>
      <c r="C49" s="75"/>
      <c r="D49" s="5"/>
      <c r="E49" s="59"/>
      <c r="F49" s="5" t="s">
        <v>99</v>
      </c>
      <c r="G49" s="89">
        <f>E47</f>
        <v>29224.444444444449</v>
      </c>
      <c r="H49" s="69" t="s">
        <v>110</v>
      </c>
      <c r="I49" s="102">
        <f>((I46*I44+I45)+I43)/I46</f>
        <v>28.450758035172832</v>
      </c>
      <c r="J49" s="18"/>
      <c r="K49" s="18"/>
      <c r="L49" s="18"/>
      <c r="M49" s="18"/>
      <c r="N49" s="18"/>
      <c r="O49" s="18"/>
      <c r="P49" s="18"/>
      <c r="Q49" s="18"/>
      <c r="R49" s="18"/>
      <c r="S49" s="18"/>
      <c r="T49" s="18"/>
      <c r="U49" s="18"/>
      <c r="V49" s="18"/>
      <c r="W49" s="18"/>
      <c r="X49" s="18"/>
      <c r="Y49" s="18"/>
      <c r="Z49" s="18"/>
    </row>
    <row r="50" spans="1:26" ht="15.75" customHeight="1">
      <c r="A50" s="18"/>
      <c r="D50" s="5"/>
      <c r="E50" s="59"/>
      <c r="F50" s="83" t="s">
        <v>138</v>
      </c>
      <c r="G50" s="77">
        <f>G48-G49</f>
        <v>40375.555555555547</v>
      </c>
      <c r="J50" s="18"/>
      <c r="K50" s="18"/>
      <c r="L50" s="18"/>
      <c r="M50" s="18"/>
      <c r="N50" s="18"/>
      <c r="O50" s="18"/>
      <c r="P50" s="18"/>
      <c r="Q50" s="18"/>
      <c r="R50" s="18"/>
      <c r="S50" s="18"/>
      <c r="T50" s="18"/>
      <c r="U50" s="18"/>
      <c r="V50" s="18"/>
      <c r="W50" s="18"/>
      <c r="X50" s="18"/>
      <c r="Y50" s="18"/>
      <c r="Z50" s="18"/>
    </row>
    <row r="51" spans="1:26" ht="15.75" customHeight="1" thickBot="1">
      <c r="A51" s="18"/>
      <c r="D51" s="30" t="s">
        <v>100</v>
      </c>
      <c r="E51" s="78">
        <f>E47*E43</f>
        <v>452978.88888888893</v>
      </c>
      <c r="F51" s="5"/>
      <c r="G51" s="59"/>
      <c r="J51" s="18"/>
      <c r="K51" s="18"/>
      <c r="L51" s="18"/>
      <c r="M51" s="18"/>
      <c r="N51" s="18"/>
      <c r="O51" s="18"/>
      <c r="P51" s="18"/>
      <c r="Q51" s="18"/>
      <c r="R51" s="18"/>
      <c r="S51" s="18"/>
      <c r="T51" s="18"/>
      <c r="U51" s="18"/>
      <c r="V51" s="18"/>
      <c r="W51" s="18"/>
      <c r="X51" s="18"/>
      <c r="Y51" s="18"/>
      <c r="Z51" s="18"/>
    </row>
    <row r="52" spans="1:26" ht="15.75" customHeight="1">
      <c r="A52" s="18"/>
      <c r="F52" s="84" t="s">
        <v>104</v>
      </c>
      <c r="G52" s="89">
        <f>G50</f>
        <v>40375.555555555547</v>
      </c>
      <c r="H52" s="61"/>
      <c r="I52" s="61"/>
      <c r="J52" s="18"/>
      <c r="K52" s="18"/>
      <c r="L52" s="18"/>
      <c r="M52" s="18"/>
      <c r="N52" s="18"/>
      <c r="O52" s="18"/>
      <c r="P52" s="18"/>
      <c r="Q52" s="18"/>
      <c r="R52" s="18"/>
      <c r="S52" s="18"/>
      <c r="T52" s="18"/>
      <c r="U52" s="18"/>
      <c r="V52" s="18"/>
      <c r="W52" s="18"/>
      <c r="X52" s="18"/>
      <c r="Y52" s="18"/>
      <c r="Z52" s="18"/>
    </row>
    <row r="53" spans="1:26" ht="15.75" customHeight="1">
      <c r="A53" s="18"/>
      <c r="F53" s="5" t="s">
        <v>103</v>
      </c>
      <c r="G53" s="89">
        <f>G48</f>
        <v>69600</v>
      </c>
      <c r="H53" s="61"/>
      <c r="I53" s="97"/>
      <c r="J53" s="18"/>
      <c r="K53" s="18"/>
      <c r="L53" s="18"/>
      <c r="M53" s="18"/>
      <c r="N53" s="18"/>
      <c r="O53" s="18"/>
      <c r="P53" s="18"/>
      <c r="Q53" s="18"/>
      <c r="R53" s="18"/>
      <c r="S53" s="18"/>
      <c r="T53" s="18"/>
      <c r="U53" s="18"/>
      <c r="V53" s="18"/>
      <c r="W53" s="18"/>
      <c r="X53" s="18"/>
      <c r="Y53" s="18"/>
      <c r="Z53" s="18"/>
    </row>
    <row r="54" spans="1:26" ht="15.75" customHeight="1">
      <c r="A54" s="18"/>
      <c r="F54" s="83" t="s">
        <v>35</v>
      </c>
      <c r="G54" s="93">
        <f>G52/G53</f>
        <v>0.58010855683269469</v>
      </c>
      <c r="H54" s="61"/>
      <c r="I54" s="97"/>
      <c r="J54" s="18"/>
      <c r="K54" s="18"/>
      <c r="L54" s="18"/>
      <c r="M54" s="18"/>
      <c r="N54" s="18"/>
      <c r="O54" s="18"/>
      <c r="P54" s="18"/>
      <c r="Q54" s="18"/>
      <c r="R54" s="18"/>
      <c r="S54" s="18"/>
      <c r="T54" s="18"/>
      <c r="U54" s="18"/>
      <c r="V54" s="18"/>
      <c r="W54" s="18"/>
      <c r="X54" s="18"/>
      <c r="Y54" s="18"/>
      <c r="Z54" s="18"/>
    </row>
    <row r="55" spans="1:26" ht="15.75" customHeight="1" thickBot="1">
      <c r="A55" s="18"/>
      <c r="F55" s="30"/>
      <c r="G55" s="75"/>
      <c r="H55" s="98"/>
      <c r="I55" s="99"/>
      <c r="J55" s="18"/>
      <c r="K55" s="18"/>
      <c r="L55" s="18"/>
      <c r="M55" s="18"/>
      <c r="N55" s="18"/>
      <c r="O55" s="18"/>
      <c r="P55" s="18"/>
      <c r="Q55" s="18"/>
      <c r="R55" s="18"/>
      <c r="S55" s="18"/>
      <c r="T55" s="18"/>
      <c r="U55" s="18"/>
      <c r="V55" s="18"/>
      <c r="W55" s="18"/>
      <c r="X55" s="18"/>
      <c r="Y55" s="18"/>
      <c r="Z55" s="18"/>
    </row>
    <row r="56" spans="1:26" ht="15.75" customHeight="1">
      <c r="A56" s="18"/>
      <c r="I56" s="61"/>
      <c r="J56" s="18"/>
      <c r="K56" s="18"/>
      <c r="L56" s="18"/>
      <c r="M56" s="18"/>
      <c r="N56" s="18"/>
      <c r="O56" s="18"/>
      <c r="P56" s="18"/>
      <c r="Q56" s="18"/>
      <c r="R56" s="18"/>
      <c r="S56" s="18"/>
      <c r="T56" s="18"/>
      <c r="U56" s="18"/>
      <c r="V56" s="18"/>
      <c r="W56" s="18"/>
      <c r="X56" s="18"/>
      <c r="Y56" s="18"/>
      <c r="Z56" s="18"/>
    </row>
    <row r="57" spans="1:26" ht="15.75" customHeight="1">
      <c r="A57" s="18"/>
      <c r="J57" s="18"/>
      <c r="K57" s="18"/>
      <c r="L57" s="18"/>
      <c r="M57" s="18"/>
      <c r="N57" s="18"/>
      <c r="O57" s="18"/>
      <c r="P57" s="18"/>
      <c r="Q57" s="18"/>
      <c r="R57" s="18"/>
      <c r="S57" s="18"/>
      <c r="T57" s="18"/>
      <c r="U57" s="18"/>
      <c r="V57" s="18"/>
      <c r="W57" s="18"/>
      <c r="X57" s="18"/>
      <c r="Y57" s="18"/>
      <c r="Z57" s="18"/>
    </row>
    <row r="58" spans="1:26" ht="15.75" customHeight="1">
      <c r="A58" s="311" t="s">
        <v>29</v>
      </c>
      <c r="B58" s="311"/>
      <c r="C58" s="311"/>
      <c r="D58" s="311"/>
      <c r="E58" s="311"/>
      <c r="F58" s="311"/>
      <c r="G58" s="311"/>
      <c r="H58" s="311"/>
      <c r="I58" s="311"/>
      <c r="J58" s="18"/>
      <c r="K58" s="18"/>
      <c r="L58" s="18"/>
      <c r="M58" s="18"/>
      <c r="N58" s="18"/>
      <c r="O58" s="18"/>
      <c r="P58" s="18"/>
      <c r="Q58" s="18"/>
      <c r="R58" s="18"/>
      <c r="S58" s="18"/>
      <c r="T58" s="18"/>
      <c r="U58" s="18"/>
      <c r="V58" s="18"/>
      <c r="W58" s="18"/>
      <c r="X58" s="18"/>
      <c r="Y58" s="18"/>
      <c r="Z58" s="18"/>
    </row>
    <row r="59" spans="1:26" ht="15.75" customHeight="1" thickBot="1">
      <c r="A59" s="18"/>
      <c r="D59" s="18"/>
      <c r="E59" s="18"/>
      <c r="F59" s="18"/>
      <c r="I59" s="18"/>
      <c r="J59" s="18"/>
      <c r="K59" s="18"/>
      <c r="L59" s="18"/>
      <c r="M59" s="18"/>
      <c r="N59" s="18"/>
      <c r="O59" s="18"/>
      <c r="P59" s="18"/>
      <c r="Q59" s="18"/>
      <c r="R59" s="18"/>
      <c r="S59" s="18"/>
      <c r="T59" s="18"/>
      <c r="U59" s="18"/>
      <c r="V59" s="18"/>
      <c r="W59" s="18"/>
      <c r="X59" s="18"/>
      <c r="Y59" s="18"/>
      <c r="Z59" s="18"/>
    </row>
    <row r="60" spans="1:26" ht="15.75" customHeight="1" thickBot="1">
      <c r="A60" s="18"/>
      <c r="B60" s="299" t="s">
        <v>113</v>
      </c>
      <c r="C60" s="300"/>
      <c r="E60" s="18"/>
      <c r="F60" s="18"/>
      <c r="I60" s="18"/>
      <c r="J60" s="18"/>
      <c r="K60" s="18"/>
      <c r="L60" s="18"/>
      <c r="M60" s="18"/>
      <c r="N60" s="18"/>
      <c r="O60" s="18"/>
      <c r="P60" s="18"/>
      <c r="Q60" s="18"/>
      <c r="R60" s="18"/>
      <c r="S60" s="18"/>
      <c r="T60" s="18"/>
      <c r="U60" s="18"/>
      <c r="V60" s="18"/>
      <c r="W60" s="18"/>
      <c r="X60" s="18"/>
      <c r="Y60" s="18"/>
      <c r="Z60" s="18"/>
    </row>
    <row r="61" spans="1:26" ht="15.75" customHeight="1">
      <c r="A61" s="18"/>
      <c r="B61" s="5" t="s">
        <v>114</v>
      </c>
      <c r="C61" s="91">
        <f>Feuil2!E38+Feuil2!E39</f>
        <v>446000</v>
      </c>
      <c r="E61" s="18"/>
      <c r="F61" s="18"/>
      <c r="I61" s="18"/>
      <c r="J61" s="18"/>
      <c r="K61" s="18"/>
      <c r="L61" s="18"/>
      <c r="M61" s="18"/>
      <c r="N61" s="18"/>
      <c r="O61" s="18"/>
      <c r="P61" s="18"/>
      <c r="Q61" s="18"/>
      <c r="R61" s="18"/>
      <c r="S61" s="18"/>
      <c r="T61" s="18"/>
      <c r="U61" s="18"/>
      <c r="V61" s="18"/>
      <c r="W61" s="18"/>
      <c r="X61" s="18"/>
      <c r="Y61" s="18"/>
      <c r="Z61" s="18"/>
    </row>
    <row r="62" spans="1:26" ht="15.75" customHeight="1">
      <c r="A62" s="18"/>
      <c r="B62" s="64" t="s">
        <v>115</v>
      </c>
      <c r="C62" s="104">
        <f>Feuil2!E44</f>
        <v>0.09</v>
      </c>
      <c r="E62" s="18"/>
      <c r="F62" s="18"/>
      <c r="I62" s="18"/>
      <c r="J62" s="18"/>
      <c r="K62" s="18"/>
      <c r="L62" s="18"/>
      <c r="M62" s="18"/>
      <c r="N62" s="18"/>
      <c r="O62" s="18"/>
      <c r="P62" s="18"/>
      <c r="Q62" s="18"/>
      <c r="R62" s="18"/>
      <c r="S62" s="18"/>
      <c r="T62" s="18"/>
      <c r="U62" s="18"/>
      <c r="V62" s="18"/>
      <c r="W62" s="18"/>
      <c r="X62" s="18"/>
      <c r="Y62" s="18"/>
      <c r="Z62" s="18"/>
    </row>
    <row r="63" spans="1:26" ht="15.75" customHeight="1">
      <c r="A63" s="18"/>
      <c r="B63" s="64"/>
      <c r="C63" s="91"/>
      <c r="E63" s="18"/>
      <c r="F63" s="18"/>
      <c r="I63" s="18"/>
      <c r="J63" s="18"/>
      <c r="K63" s="18"/>
      <c r="L63" s="18"/>
      <c r="M63" s="18"/>
      <c r="N63" s="18"/>
      <c r="O63" s="18"/>
      <c r="P63" s="18"/>
      <c r="Q63" s="18"/>
      <c r="R63" s="18"/>
      <c r="S63" s="18"/>
      <c r="T63" s="18"/>
      <c r="U63" s="18"/>
      <c r="V63" s="18"/>
      <c r="W63" s="18"/>
      <c r="X63" s="18"/>
      <c r="Y63" s="18"/>
      <c r="Z63" s="18"/>
    </row>
    <row r="64" spans="1:26" ht="15.75" customHeight="1">
      <c r="A64" s="18"/>
      <c r="B64" s="64"/>
      <c r="C64" s="91"/>
      <c r="E64" s="18"/>
      <c r="F64" s="18"/>
      <c r="I64" s="18"/>
      <c r="J64" s="18"/>
      <c r="K64" s="18"/>
      <c r="L64" s="18"/>
      <c r="M64" s="18"/>
      <c r="N64" s="18"/>
      <c r="O64" s="18"/>
      <c r="P64" s="18"/>
      <c r="Q64" s="18"/>
      <c r="R64" s="18"/>
      <c r="S64" s="18"/>
      <c r="T64" s="18"/>
      <c r="U64" s="18"/>
      <c r="V64" s="18"/>
      <c r="W64" s="18"/>
      <c r="X64" s="18"/>
      <c r="Y64" s="18"/>
      <c r="Z64" s="18"/>
    </row>
    <row r="65" spans="1:26" ht="15.75" customHeight="1" thickBot="1">
      <c r="A65" s="18"/>
      <c r="B65" s="69" t="s">
        <v>116</v>
      </c>
      <c r="C65" s="129">
        <f>C61*C62</f>
        <v>40140</v>
      </c>
      <c r="E65" s="18"/>
      <c r="F65" s="18"/>
      <c r="G65" s="18"/>
      <c r="H65" s="18"/>
      <c r="I65" s="18"/>
      <c r="J65" s="18"/>
      <c r="K65" s="18"/>
      <c r="L65" s="18"/>
      <c r="M65" s="18"/>
      <c r="N65" s="18"/>
      <c r="O65" s="18"/>
      <c r="P65" s="18"/>
      <c r="Q65" s="18"/>
      <c r="R65" s="18"/>
      <c r="S65" s="18"/>
      <c r="T65" s="18"/>
      <c r="U65" s="18"/>
      <c r="V65" s="18"/>
      <c r="W65" s="18"/>
      <c r="X65" s="18"/>
      <c r="Y65" s="18"/>
      <c r="Z65" s="18"/>
    </row>
    <row r="66" spans="1:26" ht="15.75" customHeight="1">
      <c r="A66" s="18"/>
      <c r="B66" s="10"/>
      <c r="C66" s="80"/>
      <c r="E66" s="18"/>
      <c r="F66" s="18"/>
      <c r="G66" s="18"/>
      <c r="H66" s="18"/>
      <c r="I66" s="18"/>
      <c r="J66" s="18"/>
      <c r="K66" s="18"/>
      <c r="L66" s="18"/>
      <c r="M66" s="18"/>
      <c r="N66" s="18"/>
      <c r="O66" s="18"/>
      <c r="P66" s="18"/>
      <c r="Q66" s="18"/>
      <c r="R66" s="18"/>
      <c r="S66" s="18"/>
      <c r="T66" s="18"/>
      <c r="U66" s="18"/>
      <c r="V66" s="18"/>
      <c r="W66" s="18"/>
      <c r="X66" s="18"/>
      <c r="Y66" s="18"/>
      <c r="Z66" s="18"/>
    </row>
    <row r="67" spans="1:26" ht="15.75" customHeight="1" thickBot="1">
      <c r="A67" s="18"/>
      <c r="B67" s="10"/>
      <c r="C67" s="80"/>
      <c r="E67" s="18"/>
      <c r="F67" s="18"/>
      <c r="G67" s="18"/>
      <c r="H67" s="18"/>
      <c r="I67" s="18"/>
      <c r="J67" s="18"/>
      <c r="K67" s="18"/>
      <c r="L67" s="18"/>
      <c r="M67" s="18"/>
      <c r="N67" s="18"/>
      <c r="O67" s="18"/>
      <c r="P67" s="18"/>
      <c r="Q67" s="18"/>
      <c r="R67" s="18"/>
      <c r="S67" s="18"/>
      <c r="T67" s="18"/>
      <c r="U67" s="18"/>
      <c r="V67" s="18"/>
      <c r="W67" s="18"/>
      <c r="X67" s="18"/>
      <c r="Y67" s="18"/>
      <c r="Z67" s="18"/>
    </row>
    <row r="68" spans="1:26" ht="15.75" customHeight="1" thickBot="1">
      <c r="A68" s="18"/>
      <c r="B68" s="299" t="s">
        <v>127</v>
      </c>
      <c r="C68" s="304"/>
      <c r="D68" s="300"/>
      <c r="E68" s="299" t="s">
        <v>128</v>
      </c>
      <c r="F68" s="304"/>
      <c r="G68" s="300"/>
      <c r="H68" s="18"/>
      <c r="I68" s="18"/>
      <c r="J68" s="18"/>
      <c r="K68" s="18"/>
      <c r="L68" s="18"/>
      <c r="M68" s="18"/>
      <c r="N68" s="18"/>
      <c r="O68" s="18"/>
      <c r="P68" s="18"/>
      <c r="Q68" s="18"/>
      <c r="R68" s="18"/>
      <c r="S68" s="18"/>
      <c r="T68" s="18"/>
      <c r="U68" s="18"/>
      <c r="V68" s="18"/>
      <c r="W68" s="18"/>
      <c r="X68" s="18"/>
      <c r="Y68" s="18"/>
      <c r="Z68" s="18"/>
    </row>
    <row r="69" spans="1:26" ht="15.75" customHeight="1">
      <c r="A69" s="18"/>
      <c r="B69" s="105"/>
      <c r="C69" s="106" t="s">
        <v>119</v>
      </c>
      <c r="D69" s="110" t="s">
        <v>120</v>
      </c>
      <c r="E69" s="105"/>
      <c r="F69" s="106" t="s">
        <v>119</v>
      </c>
      <c r="G69" s="110" t="s">
        <v>120</v>
      </c>
      <c r="H69" s="18"/>
      <c r="I69" s="18"/>
      <c r="J69" s="18"/>
      <c r="K69" s="18"/>
      <c r="L69" s="18"/>
      <c r="M69" s="18"/>
      <c r="N69" s="18"/>
      <c r="O69" s="18"/>
      <c r="P69" s="18"/>
      <c r="Q69" s="18"/>
      <c r="R69" s="18"/>
      <c r="S69" s="18"/>
      <c r="T69" s="18"/>
      <c r="U69" s="18"/>
      <c r="V69" s="18"/>
      <c r="W69" s="18"/>
      <c r="X69" s="18"/>
      <c r="Y69" s="18"/>
      <c r="Z69" s="18"/>
    </row>
    <row r="70" spans="1:26" ht="15.75" customHeight="1">
      <c r="A70" s="18"/>
      <c r="B70" s="105" t="s">
        <v>44</v>
      </c>
      <c r="C70" s="65"/>
      <c r="D70" s="103">
        <f>Feuil2!E36</f>
        <v>25</v>
      </c>
      <c r="E70" s="105" t="s">
        <v>44</v>
      </c>
      <c r="F70" s="65"/>
      <c r="G70" s="103">
        <f>D70</f>
        <v>25</v>
      </c>
      <c r="H70" s="18"/>
      <c r="I70" s="18"/>
      <c r="J70" s="18"/>
      <c r="K70" s="18"/>
      <c r="L70" s="18"/>
      <c r="M70" s="18"/>
      <c r="N70" s="18"/>
      <c r="O70" s="18"/>
      <c r="P70" s="18"/>
      <c r="Q70" s="18"/>
      <c r="R70" s="18"/>
      <c r="S70" s="18"/>
      <c r="T70" s="18"/>
      <c r="U70" s="18"/>
      <c r="V70" s="18"/>
      <c r="W70" s="18"/>
      <c r="X70" s="18"/>
      <c r="Y70" s="18"/>
      <c r="Z70" s="18"/>
    </row>
    <row r="71" spans="1:26" ht="15.75" customHeight="1">
      <c r="A71" s="18"/>
      <c r="B71" s="105" t="s">
        <v>121</v>
      </c>
      <c r="C71" s="65"/>
      <c r="D71" s="94">
        <f>Feuil2!E37</f>
        <v>258000</v>
      </c>
      <c r="E71" s="105" t="s">
        <v>121</v>
      </c>
      <c r="F71" s="65"/>
      <c r="G71" s="94">
        <f>D71</f>
        <v>258000</v>
      </c>
      <c r="H71" s="18"/>
      <c r="I71" s="18"/>
      <c r="J71" s="18"/>
      <c r="K71" s="18"/>
      <c r="L71" s="18"/>
      <c r="M71" s="18"/>
      <c r="N71" s="18"/>
      <c r="O71" s="18"/>
      <c r="P71" s="18"/>
      <c r="Q71" s="18"/>
      <c r="R71" s="18"/>
      <c r="S71" s="18"/>
      <c r="T71" s="18"/>
      <c r="U71" s="18"/>
      <c r="V71" s="18"/>
      <c r="W71" s="18"/>
      <c r="X71" s="18"/>
      <c r="Y71" s="18"/>
      <c r="Z71" s="18"/>
    </row>
    <row r="72" spans="1:26" ht="15.75" customHeight="1">
      <c r="A72" s="18"/>
      <c r="B72" s="105" t="s">
        <v>122</v>
      </c>
      <c r="C72" s="58">
        <f>G35</f>
        <v>766785</v>
      </c>
      <c r="D72" s="34">
        <f>D70*D71</f>
        <v>6450000</v>
      </c>
      <c r="E72" s="105" t="s">
        <v>122</v>
      </c>
      <c r="F72" s="58">
        <f>C72</f>
        <v>766785</v>
      </c>
      <c r="G72" s="34">
        <f>G70*G71</f>
        <v>6450000</v>
      </c>
      <c r="H72" s="18"/>
      <c r="I72" s="18"/>
      <c r="J72" s="18"/>
      <c r="K72" s="18"/>
      <c r="L72" s="18"/>
      <c r="M72" s="18"/>
      <c r="N72" s="18"/>
      <c r="O72" s="18"/>
      <c r="P72" s="18"/>
      <c r="Q72" s="18"/>
      <c r="R72" s="18"/>
      <c r="S72" s="18"/>
      <c r="T72" s="18"/>
      <c r="U72" s="18"/>
      <c r="V72" s="18"/>
      <c r="W72" s="18"/>
      <c r="X72" s="18"/>
      <c r="Y72" s="18"/>
      <c r="Z72" s="18"/>
    </row>
    <row r="73" spans="1:26" ht="15.75" customHeight="1">
      <c r="A73" s="18"/>
      <c r="B73" s="105"/>
      <c r="C73" s="106"/>
      <c r="D73" s="111"/>
      <c r="E73" s="105"/>
      <c r="F73" s="106"/>
      <c r="G73" s="111"/>
      <c r="H73" s="18"/>
      <c r="I73" s="18"/>
      <c r="J73" s="18"/>
      <c r="K73" s="18"/>
      <c r="L73" s="18"/>
      <c r="M73" s="18"/>
      <c r="N73" s="18"/>
      <c r="O73" s="18"/>
      <c r="P73" s="18"/>
      <c r="Q73" s="18"/>
      <c r="R73" s="18"/>
      <c r="S73" s="18"/>
      <c r="T73" s="18"/>
      <c r="U73" s="18"/>
      <c r="V73" s="18"/>
      <c r="W73" s="18"/>
      <c r="X73" s="18"/>
      <c r="Y73" s="18"/>
      <c r="Z73" s="18"/>
    </row>
    <row r="74" spans="1:26" ht="15.75" customHeight="1" thickBot="1">
      <c r="A74" s="18"/>
      <c r="B74" s="108"/>
      <c r="C74" s="109"/>
      <c r="D74" s="112">
        <f>D72-C72</f>
        <v>5683215</v>
      </c>
      <c r="E74" s="108"/>
      <c r="F74" s="109"/>
      <c r="G74" s="112">
        <v>0</v>
      </c>
      <c r="H74" s="18"/>
      <c r="I74" s="18"/>
      <c r="J74" s="18"/>
      <c r="K74" s="18"/>
      <c r="L74" s="18"/>
      <c r="M74" s="18"/>
      <c r="N74" s="18"/>
      <c r="O74" s="18"/>
      <c r="P74" s="18"/>
      <c r="Q74" s="18"/>
      <c r="R74" s="18"/>
      <c r="S74" s="18"/>
      <c r="T74" s="18"/>
      <c r="U74" s="18"/>
      <c r="V74" s="18"/>
      <c r="W74" s="18"/>
      <c r="X74" s="18"/>
      <c r="Y74" s="18"/>
      <c r="Z74" s="18"/>
    </row>
    <row r="75" spans="1:26" ht="15.75" customHeight="1" thickBo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75" customHeight="1" thickBot="1">
      <c r="A76" s="18"/>
      <c r="B76" s="305" t="s">
        <v>131</v>
      </c>
      <c r="C76" s="306"/>
      <c r="D76" s="306"/>
      <c r="E76" s="307"/>
      <c r="H76" s="18"/>
      <c r="I76" s="18"/>
      <c r="J76" s="18"/>
      <c r="K76" s="18"/>
      <c r="L76" s="18"/>
      <c r="M76" s="18"/>
      <c r="N76" s="18"/>
      <c r="O76" s="18"/>
      <c r="P76" s="18"/>
      <c r="Q76" s="18"/>
      <c r="R76" s="18"/>
      <c r="S76" s="18"/>
      <c r="T76" s="18"/>
      <c r="U76" s="18"/>
      <c r="V76" s="18"/>
      <c r="W76" s="18"/>
      <c r="X76" s="18"/>
      <c r="Y76" s="18"/>
      <c r="Z76" s="18"/>
    </row>
    <row r="77" spans="1:26" ht="15.75" customHeight="1">
      <c r="A77" s="18"/>
      <c r="B77" s="105"/>
      <c r="C77" s="106" t="s">
        <v>119</v>
      </c>
      <c r="D77" s="106" t="s">
        <v>120</v>
      </c>
      <c r="E77" s="82"/>
      <c r="H77" s="18"/>
      <c r="I77" s="18"/>
      <c r="J77" s="18"/>
      <c r="K77" s="18"/>
      <c r="L77" s="18"/>
      <c r="M77" s="18"/>
      <c r="N77" s="18"/>
      <c r="O77" s="18"/>
      <c r="P77" s="18"/>
      <c r="Q77" s="18"/>
      <c r="R77" s="18"/>
      <c r="S77" s="18"/>
      <c r="T77" s="18"/>
      <c r="U77" s="18"/>
      <c r="V77" s="18"/>
      <c r="W77" s="18"/>
      <c r="X77" s="18"/>
      <c r="Y77" s="18"/>
      <c r="Z77" s="18"/>
    </row>
    <row r="78" spans="1:26" ht="15.75" customHeight="1">
      <c r="A78" s="18"/>
      <c r="B78" s="105" t="s">
        <v>121</v>
      </c>
      <c r="C78" s="113">
        <f>C26</f>
        <v>49470</v>
      </c>
      <c r="D78" s="113">
        <f>D71</f>
        <v>258000</v>
      </c>
      <c r="E78" s="82"/>
      <c r="H78" s="18"/>
      <c r="I78" s="18"/>
      <c r="J78" s="18"/>
      <c r="K78" s="18"/>
      <c r="L78" s="18"/>
      <c r="M78" s="18"/>
      <c r="N78" s="18"/>
      <c r="O78" s="18"/>
      <c r="P78" s="18"/>
      <c r="Q78" s="18"/>
      <c r="R78" s="18"/>
      <c r="S78" s="18"/>
      <c r="T78" s="18"/>
      <c r="U78" s="18"/>
      <c r="V78" s="18"/>
      <c r="W78" s="18"/>
      <c r="X78" s="18"/>
      <c r="Y78" s="18"/>
      <c r="Z78" s="18"/>
    </row>
    <row r="79" spans="1:26" ht="15.75" customHeight="1">
      <c r="A79" s="18"/>
      <c r="B79" s="5" t="s">
        <v>124</v>
      </c>
      <c r="C79" s="19">
        <f>C44</f>
        <v>10.1</v>
      </c>
      <c r="D79" s="19">
        <f>Feuil2!E31+Feuil2!E33+Feuil2!E35</f>
        <v>21.8</v>
      </c>
      <c r="E79" s="82"/>
      <c r="H79" s="18"/>
      <c r="I79" s="18"/>
      <c r="J79" s="18"/>
      <c r="K79" s="18"/>
      <c r="L79" s="18"/>
      <c r="M79" s="18"/>
      <c r="N79" s="18"/>
      <c r="O79" s="18"/>
      <c r="P79" s="18"/>
      <c r="Q79" s="18"/>
      <c r="R79" s="18"/>
      <c r="S79" s="18"/>
      <c r="T79" s="18"/>
      <c r="U79" s="18"/>
      <c r="V79" s="18"/>
      <c r="W79" s="18"/>
      <c r="X79" s="18"/>
      <c r="Y79" s="18"/>
      <c r="Z79" s="18"/>
    </row>
    <row r="80" spans="1:26" ht="15.75" customHeight="1">
      <c r="A80" s="18"/>
      <c r="B80" s="105" t="s">
        <v>81</v>
      </c>
      <c r="C80" s="58">
        <f>C78*C79</f>
        <v>499647</v>
      </c>
      <c r="D80" s="58">
        <f>D78*D79</f>
        <v>5624400</v>
      </c>
      <c r="E80" s="86">
        <f>D80-C80</f>
        <v>5124753</v>
      </c>
      <c r="H80" s="18"/>
      <c r="I80" s="18"/>
      <c r="J80" s="18"/>
      <c r="K80" s="18"/>
      <c r="L80" s="18"/>
      <c r="M80" s="18"/>
      <c r="N80" s="18"/>
      <c r="O80" s="18"/>
      <c r="P80" s="18"/>
      <c r="Q80" s="18"/>
      <c r="R80" s="18"/>
      <c r="S80" s="18"/>
      <c r="T80" s="18"/>
      <c r="U80" s="18"/>
      <c r="V80" s="18"/>
      <c r="W80" s="18"/>
      <c r="X80" s="18"/>
      <c r="Y80" s="18"/>
      <c r="Z80" s="18"/>
    </row>
    <row r="81" spans="1:26" ht="15.75" customHeight="1">
      <c r="A81" s="18"/>
      <c r="B81" s="105" t="s">
        <v>98</v>
      </c>
      <c r="C81" s="58">
        <f>E45</f>
        <v>157812.00000000003</v>
      </c>
      <c r="D81" s="123">
        <f>Feuil2!E32+Feuil2!E34+Feuil2!E43+C65</f>
        <v>75640</v>
      </c>
      <c r="E81" s="86">
        <f>D81-C81</f>
        <v>-82172.000000000029</v>
      </c>
      <c r="H81" s="18"/>
      <c r="I81" s="18"/>
      <c r="J81" s="18"/>
      <c r="K81" s="18"/>
      <c r="L81" s="18"/>
      <c r="M81" s="18"/>
      <c r="N81" s="18"/>
      <c r="O81" s="18"/>
      <c r="P81" s="18"/>
      <c r="Q81" s="18"/>
      <c r="R81" s="18"/>
      <c r="S81" s="18"/>
      <c r="T81" s="18"/>
      <c r="U81" s="18"/>
      <c r="V81" s="18"/>
      <c r="W81" s="18"/>
      <c r="X81" s="18"/>
      <c r="Y81" s="18"/>
      <c r="Z81" s="18"/>
    </row>
    <row r="82" spans="1:26" ht="15.75" customHeight="1" thickBot="1">
      <c r="A82" s="18"/>
      <c r="B82" s="115"/>
      <c r="C82" s="114"/>
      <c r="D82" s="119" t="s">
        <v>125</v>
      </c>
      <c r="E82" s="112">
        <f>-E81</f>
        <v>82172.000000000029</v>
      </c>
      <c r="F82" s="116"/>
      <c r="G82" s="117"/>
      <c r="H82" s="18"/>
      <c r="I82" s="18"/>
      <c r="J82" s="18"/>
      <c r="K82" s="18"/>
      <c r="L82" s="18"/>
      <c r="M82" s="18"/>
      <c r="N82" s="18"/>
      <c r="O82" s="18"/>
      <c r="P82" s="18"/>
      <c r="Q82" s="18"/>
      <c r="R82" s="18"/>
      <c r="S82" s="18"/>
      <c r="T82" s="18"/>
      <c r="U82" s="18"/>
      <c r="V82" s="18"/>
      <c r="W82" s="18"/>
      <c r="X82" s="18"/>
      <c r="Y82" s="18"/>
      <c r="Z82" s="18"/>
    </row>
    <row r="83" spans="1:26" ht="15.75" customHeight="1" thickBot="1">
      <c r="A83" s="18"/>
      <c r="D83" s="18"/>
      <c r="E83" s="18"/>
      <c r="H83" s="18"/>
      <c r="I83" s="18"/>
      <c r="J83" s="18"/>
      <c r="K83" s="18"/>
      <c r="L83" s="18"/>
      <c r="M83" s="18"/>
      <c r="N83" s="18"/>
      <c r="O83" s="18"/>
      <c r="P83" s="18"/>
      <c r="Q83" s="18"/>
      <c r="R83" s="18"/>
      <c r="S83" s="18"/>
      <c r="T83" s="18"/>
      <c r="U83" s="18"/>
      <c r="V83" s="18"/>
      <c r="W83" s="18"/>
      <c r="X83" s="18"/>
      <c r="Y83" s="18"/>
      <c r="Z83" s="18"/>
    </row>
    <row r="84" spans="1:26" s="65" customFormat="1" ht="15.75" customHeight="1" thickBot="1">
      <c r="A84" s="10"/>
      <c r="B84" s="305" t="s">
        <v>129</v>
      </c>
      <c r="C84" s="306"/>
      <c r="D84" s="306"/>
      <c r="E84" s="307"/>
      <c r="H84" s="10"/>
      <c r="I84" s="10"/>
      <c r="J84" s="10"/>
      <c r="K84" s="10"/>
      <c r="L84" s="10"/>
      <c r="M84" s="10"/>
      <c r="N84" s="10"/>
      <c r="O84" s="10"/>
      <c r="P84" s="10"/>
      <c r="Q84" s="10"/>
      <c r="R84" s="10"/>
      <c r="S84" s="10"/>
      <c r="T84" s="10"/>
      <c r="U84" s="10"/>
      <c r="V84" s="10"/>
      <c r="W84" s="10"/>
      <c r="X84" s="10"/>
      <c r="Y84" s="10"/>
      <c r="Z84" s="10"/>
    </row>
    <row r="85" spans="1:26" s="85" customFormat="1" ht="15.75" customHeight="1">
      <c r="A85" s="61"/>
      <c r="B85" s="105"/>
      <c r="C85" s="106" t="s">
        <v>119</v>
      </c>
      <c r="D85" s="106" t="s">
        <v>120</v>
      </c>
      <c r="E85" s="82"/>
      <c r="H85" s="61"/>
      <c r="I85" s="61"/>
      <c r="J85" s="61"/>
      <c r="K85" s="61"/>
      <c r="L85" s="61"/>
      <c r="M85" s="61"/>
      <c r="N85" s="61"/>
      <c r="O85" s="61"/>
      <c r="P85" s="61"/>
      <c r="Q85" s="61"/>
      <c r="R85" s="61"/>
      <c r="S85" s="61"/>
      <c r="T85" s="61"/>
      <c r="U85" s="61"/>
      <c r="V85" s="61"/>
      <c r="W85" s="61"/>
      <c r="X85" s="61"/>
      <c r="Y85" s="61"/>
      <c r="Z85" s="61"/>
    </row>
    <row r="86" spans="1:26" s="85" customFormat="1" ht="15.75" customHeight="1">
      <c r="A86" s="61"/>
      <c r="B86" s="105" t="s">
        <v>121</v>
      </c>
      <c r="C86" s="113">
        <f>C78</f>
        <v>49470</v>
      </c>
      <c r="D86" s="113">
        <f>D78</f>
        <v>258000</v>
      </c>
      <c r="E86" s="82"/>
      <c r="H86" s="61"/>
      <c r="I86" s="61"/>
      <c r="J86" s="61"/>
      <c r="K86" s="61"/>
      <c r="L86" s="61"/>
      <c r="M86" s="61"/>
      <c r="N86" s="61"/>
      <c r="O86" s="61"/>
      <c r="P86" s="61"/>
      <c r="Q86" s="61"/>
      <c r="R86" s="61"/>
      <c r="S86" s="61"/>
      <c r="T86" s="61"/>
      <c r="U86" s="61"/>
      <c r="V86" s="61"/>
      <c r="W86" s="61"/>
      <c r="X86" s="61"/>
      <c r="Y86" s="61"/>
      <c r="Z86" s="61"/>
    </row>
    <row r="87" spans="1:26" s="85" customFormat="1" ht="15.75" customHeight="1">
      <c r="A87" s="61"/>
      <c r="B87" s="5" t="s">
        <v>124</v>
      </c>
      <c r="C87" s="19">
        <f>C79</f>
        <v>10.1</v>
      </c>
      <c r="D87" s="19">
        <f>D79</f>
        <v>21.8</v>
      </c>
      <c r="E87" s="82"/>
      <c r="H87" s="61"/>
      <c r="I87" s="61"/>
      <c r="J87" s="61"/>
      <c r="K87" s="61"/>
      <c r="L87" s="61"/>
      <c r="M87" s="61"/>
      <c r="N87" s="61"/>
      <c r="O87" s="61"/>
      <c r="P87" s="61"/>
      <c r="Q87" s="61"/>
      <c r="R87" s="61"/>
      <c r="S87" s="61"/>
      <c r="T87" s="61"/>
      <c r="U87" s="61"/>
      <c r="V87" s="61"/>
      <c r="W87" s="61"/>
      <c r="X87" s="61"/>
      <c r="Y87" s="61"/>
      <c r="Z87" s="61"/>
    </row>
    <row r="88" spans="1:26" s="85" customFormat="1" ht="15.75" customHeight="1">
      <c r="A88" s="61"/>
      <c r="B88" s="105" t="s">
        <v>81</v>
      </c>
      <c r="C88" s="58">
        <f>C86*C87</f>
        <v>499647</v>
      </c>
      <c r="D88" s="58">
        <f>D86*D87</f>
        <v>5624400</v>
      </c>
      <c r="E88" s="86">
        <f>D88-C88</f>
        <v>5124753</v>
      </c>
      <c r="H88" s="61"/>
      <c r="I88" s="61"/>
      <c r="J88" s="61"/>
      <c r="K88" s="61"/>
      <c r="L88" s="61"/>
      <c r="M88" s="61"/>
      <c r="N88" s="61"/>
      <c r="O88" s="61"/>
      <c r="P88" s="61"/>
      <c r="Q88" s="61"/>
      <c r="R88" s="61"/>
      <c r="S88" s="61"/>
      <c r="T88" s="61"/>
      <c r="U88" s="61"/>
      <c r="V88" s="61"/>
      <c r="W88" s="61"/>
      <c r="X88" s="61"/>
      <c r="Y88" s="61"/>
      <c r="Z88" s="61"/>
    </row>
    <row r="89" spans="1:26" s="85" customFormat="1" ht="15.75" customHeight="1">
      <c r="A89" s="61"/>
      <c r="B89" s="105" t="s">
        <v>98</v>
      </c>
      <c r="C89" s="79">
        <f>C81</f>
        <v>157812.00000000003</v>
      </c>
      <c r="D89" s="118">
        <f>D81</f>
        <v>75640</v>
      </c>
      <c r="E89" s="86">
        <f>D89-C89</f>
        <v>-82172.000000000029</v>
      </c>
      <c r="H89" s="61"/>
      <c r="I89" s="61"/>
      <c r="J89" s="61"/>
      <c r="K89" s="61"/>
      <c r="L89" s="61"/>
      <c r="M89" s="61"/>
      <c r="N89" s="61"/>
      <c r="O89" s="61"/>
      <c r="P89" s="61"/>
      <c r="Q89" s="61"/>
      <c r="R89" s="61"/>
      <c r="S89" s="61"/>
      <c r="T89" s="61"/>
      <c r="U89" s="61"/>
      <c r="V89" s="61"/>
      <c r="W89" s="61"/>
      <c r="X89" s="61"/>
      <c r="Y89" s="61"/>
      <c r="Z89" s="61"/>
    </row>
    <row r="90" spans="1:26" s="85" customFormat="1" ht="15.75" customHeight="1" thickBot="1">
      <c r="A90" s="61"/>
      <c r="B90" s="115"/>
      <c r="C90" s="114"/>
      <c r="D90" s="119" t="s">
        <v>126</v>
      </c>
      <c r="E90" s="112">
        <f>E88</f>
        <v>5124753</v>
      </c>
      <c r="F90" s="61"/>
      <c r="G90" s="61"/>
      <c r="H90" s="61"/>
      <c r="I90" s="61"/>
      <c r="J90" s="61"/>
      <c r="K90" s="61"/>
      <c r="L90" s="61"/>
      <c r="M90" s="61"/>
      <c r="N90" s="61"/>
      <c r="O90" s="61"/>
      <c r="P90" s="61"/>
      <c r="Q90" s="61"/>
      <c r="R90" s="61"/>
      <c r="S90" s="61"/>
      <c r="T90" s="61"/>
      <c r="U90" s="61"/>
      <c r="V90" s="61"/>
      <c r="W90" s="61"/>
      <c r="X90" s="61"/>
      <c r="Y90" s="61"/>
      <c r="Z90" s="61"/>
    </row>
    <row r="91" spans="1:26" s="85" customFormat="1" ht="15.75" customHeight="1" thickBot="1">
      <c r="A91" s="61"/>
      <c r="B91" s="120"/>
      <c r="C91" s="121"/>
      <c r="D91" s="61"/>
      <c r="E91" s="61"/>
      <c r="F91" s="61"/>
      <c r="G91" s="61"/>
      <c r="H91" s="61"/>
      <c r="I91" s="61"/>
      <c r="J91" s="61"/>
      <c r="K91" s="61"/>
      <c r="L91" s="61"/>
      <c r="M91" s="61"/>
      <c r="N91" s="61"/>
      <c r="O91" s="61"/>
      <c r="P91" s="61"/>
      <c r="Q91" s="61"/>
      <c r="R91" s="61"/>
      <c r="S91" s="61"/>
      <c r="T91" s="61"/>
      <c r="U91" s="61"/>
      <c r="V91" s="61"/>
      <c r="W91" s="61"/>
      <c r="X91" s="61"/>
      <c r="Y91" s="61"/>
      <c r="Z91" s="61"/>
    </row>
    <row r="92" spans="1:26" s="85" customFormat="1" ht="15.75" customHeight="1" thickBot="1">
      <c r="A92" s="61"/>
      <c r="B92" s="305" t="s">
        <v>133</v>
      </c>
      <c r="C92" s="306"/>
      <c r="D92" s="306"/>
      <c r="E92" s="307"/>
      <c r="F92" s="61"/>
      <c r="G92" s="61"/>
      <c r="H92" s="61"/>
      <c r="I92" s="61"/>
      <c r="J92" s="61"/>
      <c r="K92" s="61"/>
      <c r="L92" s="61"/>
      <c r="M92" s="61"/>
      <c r="N92" s="61"/>
      <c r="O92" s="61"/>
      <c r="P92" s="61"/>
      <c r="Q92" s="61"/>
      <c r="R92" s="61"/>
      <c r="S92" s="61"/>
      <c r="T92" s="61"/>
      <c r="U92" s="61"/>
      <c r="V92" s="61"/>
      <c r="W92" s="61"/>
      <c r="X92" s="61"/>
      <c r="Y92" s="61"/>
      <c r="Z92" s="61"/>
    </row>
    <row r="93" spans="1:26" s="85" customFormat="1" ht="15.75" customHeight="1">
      <c r="A93" s="61"/>
      <c r="B93" s="105"/>
      <c r="C93" s="106"/>
      <c r="D93" s="106"/>
      <c r="E93" s="82"/>
      <c r="F93" s="61"/>
      <c r="G93" s="61"/>
      <c r="H93" s="61"/>
      <c r="I93" s="61"/>
      <c r="J93" s="61"/>
      <c r="K93" s="61"/>
      <c r="L93" s="61"/>
      <c r="M93" s="61"/>
      <c r="N93" s="61"/>
      <c r="O93" s="61"/>
      <c r="P93" s="61"/>
      <c r="Q93" s="61"/>
      <c r="R93" s="61"/>
      <c r="S93" s="61"/>
      <c r="T93" s="61"/>
      <c r="U93" s="61"/>
      <c r="V93" s="61"/>
      <c r="W93" s="61"/>
      <c r="X93" s="61"/>
      <c r="Y93" s="61"/>
      <c r="Z93" s="61"/>
    </row>
    <row r="94" spans="1:26" s="85" customFormat="1" ht="15.75" customHeight="1">
      <c r="A94" s="61"/>
      <c r="B94" s="105" t="s">
        <v>132</v>
      </c>
      <c r="C94" s="122">
        <f>D74</f>
        <v>5683215</v>
      </c>
      <c r="D94" s="113"/>
      <c r="E94" s="82"/>
      <c r="F94" s="61"/>
      <c r="G94" s="61"/>
      <c r="H94" s="61"/>
      <c r="I94" s="61"/>
      <c r="J94" s="61"/>
      <c r="K94" s="61"/>
      <c r="L94" s="61"/>
      <c r="M94" s="61"/>
      <c r="N94" s="61"/>
      <c r="O94" s="61"/>
      <c r="P94" s="61"/>
      <c r="Q94" s="61"/>
      <c r="R94" s="61"/>
      <c r="S94" s="61"/>
      <c r="T94" s="61"/>
      <c r="U94" s="61"/>
      <c r="V94" s="61"/>
      <c r="W94" s="61"/>
      <c r="X94" s="61"/>
      <c r="Y94" s="61"/>
      <c r="Z94" s="61"/>
    </row>
    <row r="95" spans="1:26" s="85" customFormat="1" ht="15.75" customHeight="1">
      <c r="A95" s="61"/>
      <c r="B95" s="5" t="s">
        <v>134</v>
      </c>
      <c r="C95" s="19">
        <f>G74</f>
        <v>0</v>
      </c>
      <c r="D95" s="19"/>
      <c r="E95" s="82"/>
      <c r="F95" s="61"/>
      <c r="G95" s="61"/>
      <c r="H95" s="61"/>
      <c r="I95" s="61"/>
      <c r="J95" s="61"/>
      <c r="K95" s="61"/>
      <c r="L95" s="61"/>
      <c r="M95" s="61"/>
      <c r="N95" s="61"/>
      <c r="O95" s="61"/>
      <c r="P95" s="61"/>
      <c r="Q95" s="61"/>
      <c r="R95" s="61"/>
      <c r="S95" s="61"/>
      <c r="T95" s="61"/>
      <c r="U95" s="61"/>
      <c r="V95" s="61"/>
      <c r="W95" s="61"/>
      <c r="X95" s="61"/>
      <c r="Y95" s="61"/>
      <c r="Z95" s="61"/>
    </row>
    <row r="96" spans="1:26" s="85" customFormat="1" ht="15.75" customHeight="1">
      <c r="A96" s="61"/>
      <c r="B96" s="105" t="s">
        <v>125</v>
      </c>
      <c r="C96" s="58">
        <f>E82</f>
        <v>82172.000000000029</v>
      </c>
      <c r="D96" s="58"/>
      <c r="E96" s="86"/>
      <c r="F96" s="61"/>
      <c r="G96" s="61"/>
      <c r="H96" s="61"/>
      <c r="I96" s="61"/>
      <c r="J96" s="61"/>
      <c r="K96" s="61"/>
      <c r="L96" s="61"/>
      <c r="M96" s="61"/>
      <c r="N96" s="61"/>
      <c r="O96" s="61"/>
      <c r="P96" s="61"/>
      <c r="Q96" s="61"/>
      <c r="R96" s="61"/>
      <c r="S96" s="61"/>
      <c r="T96" s="61"/>
      <c r="U96" s="61"/>
      <c r="V96" s="61"/>
      <c r="W96" s="61"/>
      <c r="X96" s="61"/>
      <c r="Y96" s="61"/>
      <c r="Z96" s="61"/>
    </row>
    <row r="97" spans="1:26" s="85" customFormat="1" ht="15.75" customHeight="1">
      <c r="A97" s="61"/>
      <c r="B97" s="105" t="s">
        <v>135</v>
      </c>
      <c r="C97" s="58">
        <f>E90</f>
        <v>5124753</v>
      </c>
      <c r="D97" s="118"/>
      <c r="E97" s="86"/>
      <c r="F97" s="61"/>
      <c r="G97" s="61"/>
      <c r="H97" s="61"/>
      <c r="I97" s="61"/>
      <c r="J97" s="61"/>
      <c r="K97" s="61"/>
      <c r="L97" s="61"/>
      <c r="M97" s="61"/>
      <c r="N97" s="61"/>
      <c r="O97" s="61"/>
      <c r="P97" s="61"/>
      <c r="Q97" s="61"/>
      <c r="R97" s="61"/>
      <c r="S97" s="61"/>
      <c r="T97" s="61"/>
      <c r="U97" s="61"/>
      <c r="V97" s="61"/>
      <c r="W97" s="61"/>
      <c r="X97" s="61"/>
      <c r="Y97" s="61"/>
      <c r="Z97" s="61"/>
    </row>
    <row r="98" spans="1:26" s="85" customFormat="1" ht="15.75" customHeight="1" thickBot="1">
      <c r="A98" s="61"/>
      <c r="B98" s="115"/>
      <c r="C98" s="114"/>
      <c r="D98" s="119"/>
      <c r="E98" s="112">
        <f>C94-C95+C96-C97</f>
        <v>640634</v>
      </c>
      <c r="F98" s="61"/>
      <c r="G98" s="61"/>
      <c r="H98" s="61"/>
      <c r="I98" s="61"/>
      <c r="J98" s="61"/>
      <c r="K98" s="61"/>
      <c r="L98" s="61"/>
      <c r="M98" s="61"/>
      <c r="N98" s="61"/>
      <c r="O98" s="61"/>
      <c r="P98" s="61"/>
      <c r="Q98" s="61"/>
      <c r="R98" s="61"/>
      <c r="S98" s="61"/>
      <c r="T98" s="61"/>
      <c r="U98" s="61"/>
      <c r="V98" s="61"/>
      <c r="W98" s="61"/>
      <c r="X98" s="61"/>
      <c r="Y98" s="61"/>
      <c r="Z98" s="61"/>
    </row>
    <row r="99" spans="1:26" s="85" customFormat="1" ht="15.75" customHeight="1">
      <c r="A99" s="61"/>
      <c r="B99" s="61"/>
      <c r="E99" s="61"/>
      <c r="F99" s="61"/>
      <c r="G99" s="61"/>
      <c r="H99" s="61"/>
      <c r="I99" s="61"/>
      <c r="J99" s="61"/>
      <c r="K99" s="61"/>
      <c r="L99" s="61"/>
      <c r="M99" s="61"/>
      <c r="N99" s="61"/>
      <c r="O99" s="61"/>
      <c r="P99" s="61"/>
      <c r="Q99" s="61"/>
      <c r="R99" s="61"/>
      <c r="S99" s="61"/>
      <c r="T99" s="61"/>
      <c r="U99" s="61"/>
      <c r="V99" s="61"/>
      <c r="W99" s="61"/>
      <c r="X99" s="61"/>
      <c r="Y99" s="61"/>
      <c r="Z99" s="61"/>
    </row>
    <row r="100" spans="1:26" s="85" customFormat="1" ht="15.75" customHeight="1">
      <c r="A100" s="61"/>
      <c r="B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s="85" customFormat="1" ht="15.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s="85" customFormat="1" ht="15.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spans="1:26"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sheetData>
  <mergeCells count="17">
    <mergeCell ref="B76:E76"/>
    <mergeCell ref="B84:E84"/>
    <mergeCell ref="B92:E92"/>
    <mergeCell ref="B12:I12"/>
    <mergeCell ref="B5:E5"/>
    <mergeCell ref="A58:I58"/>
    <mergeCell ref="B60:C60"/>
    <mergeCell ref="B68:D68"/>
    <mergeCell ref="E68:G68"/>
    <mergeCell ref="C10:D10"/>
    <mergeCell ref="B3:I3"/>
    <mergeCell ref="H42:I42"/>
    <mergeCell ref="F42:G42"/>
    <mergeCell ref="D42:E42"/>
    <mergeCell ref="B42:C42"/>
    <mergeCell ref="F32:I32"/>
    <mergeCell ref="B32:E32"/>
  </mergeCell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4EDB-846D-3D4D-9985-2D6C166A2D24}">
  <sheetPr codeName="Feuil5"/>
  <dimension ref="B1:C1"/>
  <sheetViews>
    <sheetView workbookViewId="0">
      <selection activeCell="K66" sqref="K66"/>
    </sheetView>
  </sheetViews>
  <sheetFormatPr baseColWidth="10" defaultColWidth="10.83203125" defaultRowHeight="14.5"/>
  <cols>
    <col min="1" max="1" width="10.83203125" style="7"/>
    <col min="2" max="2" width="22.5" style="7" bestFit="1" customWidth="1"/>
    <col min="3" max="3" width="13.83203125" style="7" bestFit="1" customWidth="1"/>
    <col min="4" max="4" width="15.6640625" style="7" bestFit="1" customWidth="1"/>
    <col min="5" max="16384" width="10.83203125" style="7"/>
  </cols>
  <sheetData>
    <row r="1" spans="2:3">
      <c r="B1" s="151">
        <f>Enoncé!Q1</f>
        <v>0</v>
      </c>
      <c r="C1" s="7">
        <f>Feuil5!I24</f>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D197A-43B8-8648-A90B-DD40C4D7F9E3}">
  <dimension ref="A1:K25"/>
  <sheetViews>
    <sheetView workbookViewId="0">
      <selection activeCell="K66" sqref="K66"/>
    </sheetView>
  </sheetViews>
  <sheetFormatPr baseColWidth="10" defaultColWidth="10.83203125" defaultRowHeight="14.5"/>
  <cols>
    <col min="1" max="1" width="10.83203125" style="145"/>
    <col min="2" max="2" width="22.5" style="145" bestFit="1" customWidth="1"/>
    <col min="3" max="3" width="13.83203125" style="145" bestFit="1" customWidth="1"/>
    <col min="4" max="4" width="15.6640625" style="145" bestFit="1" customWidth="1"/>
    <col min="5" max="16384" width="10.83203125" style="145"/>
  </cols>
  <sheetData>
    <row r="1" spans="1:11">
      <c r="C1" s="145" t="s">
        <v>140</v>
      </c>
      <c r="D1" s="145" t="s">
        <v>141</v>
      </c>
      <c r="F1" s="145" t="s">
        <v>143</v>
      </c>
      <c r="G1" s="145">
        <v>0.1</v>
      </c>
    </row>
    <row r="2" spans="1:11">
      <c r="A2" s="145" t="s">
        <v>2</v>
      </c>
      <c r="F2" s="145" t="s">
        <v>143</v>
      </c>
      <c r="G2" s="145">
        <v>0.3</v>
      </c>
      <c r="H2" s="146" t="s">
        <v>144</v>
      </c>
      <c r="K2" s="145" t="s">
        <v>148</v>
      </c>
    </row>
    <row r="3" spans="1:11">
      <c r="A3" s="65">
        <v>1</v>
      </c>
      <c r="B3" s="128" t="s">
        <v>44</v>
      </c>
      <c r="C3" s="122">
        <f>Enoncé!M11</f>
        <v>15.5</v>
      </c>
      <c r="D3" s="17">
        <f>Feuil3!E10</f>
        <v>15.5</v>
      </c>
      <c r="E3" s="145">
        <f t="shared" ref="E3:E12" si="0">IF(C3/(D3+0.0000001)&gt;0.998,1,0)</f>
        <v>1</v>
      </c>
      <c r="F3" s="145">
        <f t="shared" ref="F3:F12" si="1">IF(C3/(D3+0.0000001)&lt;1.002,1,0)</f>
        <v>1</v>
      </c>
      <c r="G3" s="145">
        <f>IF(E3+F3=2,1,0)</f>
        <v>1</v>
      </c>
      <c r="H3" s="145">
        <f>G3*$G$1</f>
        <v>0.1</v>
      </c>
      <c r="I3" s="145">
        <f>IFERROR(H3,0)</f>
        <v>0.1</v>
      </c>
      <c r="K3" s="145">
        <f>$G$1</f>
        <v>0.1</v>
      </c>
    </row>
    <row r="4" spans="1:11">
      <c r="A4" s="65">
        <v>2</v>
      </c>
      <c r="B4" s="107" t="s">
        <v>96</v>
      </c>
      <c r="C4" s="16">
        <f>Enoncé!K31</f>
        <v>5.75</v>
      </c>
      <c r="D4" s="17">
        <f>Feuil3!C30</f>
        <v>5.75</v>
      </c>
      <c r="E4" s="145">
        <f t="shared" si="0"/>
        <v>1</v>
      </c>
      <c r="F4" s="145">
        <f t="shared" si="1"/>
        <v>1</v>
      </c>
      <c r="G4" s="145">
        <f t="shared" ref="G4:G15" si="2">IF(E4+F4=2,1,0)</f>
        <v>1</v>
      </c>
      <c r="H4" s="145">
        <f>G4*$G$2</f>
        <v>0.3</v>
      </c>
      <c r="I4" s="145">
        <f t="shared" ref="I4:I23" si="3">IFERROR(H4,0)</f>
        <v>0.3</v>
      </c>
      <c r="K4" s="145">
        <f>$G$2</f>
        <v>0.3</v>
      </c>
    </row>
    <row r="5" spans="1:11">
      <c r="A5" s="65"/>
      <c r="B5" s="107" t="s">
        <v>97</v>
      </c>
      <c r="C5" s="122">
        <f>Enoncé!M31</f>
        <v>67812</v>
      </c>
      <c r="D5" s="17">
        <f>Feuil3!E30</f>
        <v>67812</v>
      </c>
      <c r="E5" s="145">
        <f t="shared" si="0"/>
        <v>1</v>
      </c>
      <c r="F5" s="145">
        <f t="shared" si="1"/>
        <v>1</v>
      </c>
      <c r="G5" s="145">
        <f t="shared" si="2"/>
        <v>1</v>
      </c>
      <c r="H5" s="145">
        <f>G5*$G$2</f>
        <v>0.3</v>
      </c>
      <c r="I5" s="145">
        <f t="shared" si="3"/>
        <v>0.3</v>
      </c>
      <c r="K5" s="145">
        <f t="shared" ref="K5:K23" si="4">$G$2</f>
        <v>0.3</v>
      </c>
    </row>
    <row r="6" spans="1:11">
      <c r="A6" s="65">
        <v>3</v>
      </c>
      <c r="B6" s="107" t="s">
        <v>27</v>
      </c>
      <c r="C6" s="122">
        <f>Enoncé!M39</f>
        <v>4.3499999999999996</v>
      </c>
      <c r="D6" s="17">
        <f>Feuil3!E38</f>
        <v>4.3499999999999996</v>
      </c>
      <c r="E6" s="145">
        <f t="shared" si="0"/>
        <v>1</v>
      </c>
      <c r="F6" s="145">
        <f t="shared" si="1"/>
        <v>1</v>
      </c>
      <c r="G6" s="145">
        <f t="shared" si="2"/>
        <v>1</v>
      </c>
      <c r="H6" s="145">
        <f t="shared" ref="H6:H23" si="5">G6*$G$2</f>
        <v>0.3</v>
      </c>
      <c r="I6" s="145">
        <f t="shared" si="3"/>
        <v>0.3</v>
      </c>
      <c r="K6" s="145">
        <f t="shared" si="4"/>
        <v>0.3</v>
      </c>
    </row>
    <row r="7" spans="1:11">
      <c r="A7" s="65">
        <v>4</v>
      </c>
      <c r="B7" s="106" t="s">
        <v>32</v>
      </c>
      <c r="C7" s="122">
        <f>Enoncé!O41</f>
        <v>89997.300000000047</v>
      </c>
      <c r="D7" s="17">
        <f>-1*(Feuil3!G34*Feuil3!G36-Feuil3!G35+(Enoncé!K31+Enoncé!M39)*Feuil3!G34+Enoncé!M31)</f>
        <v>90000</v>
      </c>
      <c r="E7" s="145">
        <f t="shared" si="0"/>
        <v>1</v>
      </c>
      <c r="F7" s="145">
        <f t="shared" si="1"/>
        <v>1</v>
      </c>
      <c r="G7" s="145">
        <f t="shared" si="2"/>
        <v>1</v>
      </c>
      <c r="H7" s="145">
        <f t="shared" si="5"/>
        <v>0.3</v>
      </c>
      <c r="I7" s="145">
        <f t="shared" si="3"/>
        <v>0.3</v>
      </c>
      <c r="K7" s="145">
        <f t="shared" si="4"/>
        <v>0.3</v>
      </c>
    </row>
    <row r="8" spans="1:11">
      <c r="A8" s="65">
        <v>5</v>
      </c>
      <c r="B8" s="134" t="s">
        <v>137</v>
      </c>
      <c r="C8" s="122">
        <f>Enoncé!K48</f>
        <v>5.4</v>
      </c>
      <c r="D8" s="17">
        <f>C3-C4-C6</f>
        <v>5.4</v>
      </c>
      <c r="E8" s="145">
        <f t="shared" si="0"/>
        <v>1</v>
      </c>
      <c r="F8" s="145">
        <f t="shared" si="1"/>
        <v>1</v>
      </c>
      <c r="G8" s="145">
        <f t="shared" si="2"/>
        <v>1</v>
      </c>
      <c r="H8" s="145">
        <f t="shared" si="5"/>
        <v>0.3</v>
      </c>
      <c r="I8" s="145">
        <f t="shared" si="3"/>
        <v>0.3</v>
      </c>
      <c r="K8" s="145">
        <f t="shared" si="4"/>
        <v>0.3</v>
      </c>
    </row>
    <row r="9" spans="1:11">
      <c r="A9" s="65"/>
      <c r="B9" s="134" t="s">
        <v>41</v>
      </c>
      <c r="C9" s="139">
        <f>Enoncé!K49</f>
        <v>0.34838709677419355</v>
      </c>
      <c r="D9" s="203">
        <f>C8/(C3)</f>
        <v>0.34838709677419355</v>
      </c>
      <c r="E9" s="145">
        <f t="shared" si="0"/>
        <v>1</v>
      </c>
      <c r="F9" s="145">
        <f t="shared" si="1"/>
        <v>1</v>
      </c>
      <c r="G9" s="145">
        <f t="shared" si="2"/>
        <v>1</v>
      </c>
      <c r="H9" s="145">
        <f t="shared" si="5"/>
        <v>0.3</v>
      </c>
      <c r="I9" s="145">
        <f t="shared" si="3"/>
        <v>0.3</v>
      </c>
      <c r="K9" s="145">
        <f t="shared" si="4"/>
        <v>0.3</v>
      </c>
    </row>
    <row r="10" spans="1:11">
      <c r="A10" s="65">
        <v>6</v>
      </c>
      <c r="B10" s="106" t="s">
        <v>99</v>
      </c>
      <c r="C10" s="140">
        <f>Enoncé!M48</f>
        <v>29223.944444444453</v>
      </c>
      <c r="D10" s="128">
        <f>(C5+C7)/(C3-C4-C6)</f>
        <v>29223.944444444453</v>
      </c>
      <c r="E10" s="149">
        <f t="shared" si="0"/>
        <v>1</v>
      </c>
      <c r="F10" s="149">
        <f t="shared" si="1"/>
        <v>1</v>
      </c>
      <c r="G10" s="145">
        <f t="shared" si="2"/>
        <v>1</v>
      </c>
      <c r="H10" s="145">
        <f t="shared" si="5"/>
        <v>0.3</v>
      </c>
      <c r="I10" s="145">
        <f t="shared" si="3"/>
        <v>0.3</v>
      </c>
      <c r="K10" s="145">
        <f t="shared" si="4"/>
        <v>0.3</v>
      </c>
    </row>
    <row r="11" spans="1:11">
      <c r="A11" s="65"/>
      <c r="B11" s="106" t="s">
        <v>100</v>
      </c>
      <c r="C11" s="81">
        <f>Enoncé!M52</f>
        <v>452971.13888888899</v>
      </c>
      <c r="D11" s="95">
        <f>C10*C3</f>
        <v>452971.13888888899</v>
      </c>
      <c r="E11" s="149">
        <f t="shared" si="0"/>
        <v>1</v>
      </c>
      <c r="F11" s="149">
        <f t="shared" si="1"/>
        <v>1</v>
      </c>
      <c r="G11" s="145">
        <f t="shared" si="2"/>
        <v>1</v>
      </c>
      <c r="H11" s="145">
        <f t="shared" si="5"/>
        <v>0.3</v>
      </c>
      <c r="I11" s="145">
        <f t="shared" si="3"/>
        <v>0.3</v>
      </c>
      <c r="K11" s="145">
        <f t="shared" si="4"/>
        <v>0.3</v>
      </c>
    </row>
    <row r="12" spans="1:11">
      <c r="A12" s="65">
        <v>7</v>
      </c>
      <c r="B12" s="107" t="s">
        <v>34</v>
      </c>
      <c r="C12" s="81">
        <f>Enoncé!O47</f>
        <v>625828.86111111101</v>
      </c>
      <c r="D12" s="20">
        <f>Feuil3!G43*Feuil5!C3-C11</f>
        <v>625828.86111111101</v>
      </c>
      <c r="E12" s="149">
        <f t="shared" si="0"/>
        <v>1</v>
      </c>
      <c r="F12" s="149">
        <f t="shared" si="1"/>
        <v>1</v>
      </c>
      <c r="G12" s="145">
        <f t="shared" si="2"/>
        <v>1</v>
      </c>
      <c r="H12" s="145">
        <f t="shared" si="5"/>
        <v>0.3</v>
      </c>
      <c r="I12" s="145">
        <f t="shared" si="3"/>
        <v>0.3</v>
      </c>
      <c r="K12" s="145">
        <f t="shared" si="4"/>
        <v>0.3</v>
      </c>
    </row>
    <row r="13" spans="1:11">
      <c r="A13" s="65"/>
      <c r="B13" s="107" t="s">
        <v>138</v>
      </c>
      <c r="C13" s="140">
        <f>Enoncé!O51</f>
        <v>40376.055555555547</v>
      </c>
      <c r="D13" s="140">
        <f>Feuil3!G43-C10</f>
        <v>40376.055555555547</v>
      </c>
      <c r="E13" s="145">
        <f>IF(C13/D13&gt;0.999,1,0)</f>
        <v>1</v>
      </c>
      <c r="F13" s="145">
        <f>IF(C13/(D13+0.0000001)&lt;1.001,1,0)</f>
        <v>1</v>
      </c>
      <c r="G13" s="145">
        <f t="shared" si="2"/>
        <v>1</v>
      </c>
      <c r="H13" s="145">
        <f t="shared" si="5"/>
        <v>0.3</v>
      </c>
      <c r="I13" s="145">
        <f t="shared" si="3"/>
        <v>0.3</v>
      </c>
      <c r="K13" s="145">
        <f t="shared" si="4"/>
        <v>0.3</v>
      </c>
    </row>
    <row r="14" spans="1:11">
      <c r="A14" s="65"/>
      <c r="B14" s="107" t="s">
        <v>35</v>
      </c>
      <c r="C14" s="139">
        <f>Enoncé!O55</f>
        <v>0.58011574074074068</v>
      </c>
      <c r="D14" s="141">
        <f>C13/Feuil3!G43</f>
        <v>0.58011574074074057</v>
      </c>
      <c r="E14" s="145">
        <f>IF(C14/(D14+0.0000001)&gt;0.9995,1,0)</f>
        <v>1</v>
      </c>
      <c r="F14" s="145">
        <f>IF(C14/(D14+0.0000001)&lt;1.0005,1,0)</f>
        <v>1</v>
      </c>
      <c r="G14" s="145">
        <f t="shared" si="2"/>
        <v>1</v>
      </c>
      <c r="H14" s="145">
        <f t="shared" si="5"/>
        <v>0.3</v>
      </c>
      <c r="I14" s="145">
        <f t="shared" si="3"/>
        <v>0.3</v>
      </c>
      <c r="K14" s="145">
        <f t="shared" si="4"/>
        <v>0.3</v>
      </c>
    </row>
    <row r="15" spans="1:11">
      <c r="A15" s="65">
        <v>8</v>
      </c>
      <c r="B15" s="107" t="s">
        <v>110</v>
      </c>
      <c r="C15" s="65">
        <f>Enoncé!Q50</f>
        <v>28.45070345664039</v>
      </c>
      <c r="D15" s="16">
        <f>(Feuil3!I46*(Feuil5!C4+Feuil5!C6)+Feuil5!C7+Feuil5!C5+Feuil3!I43)/Feuil3!I46</f>
        <v>28.45070345664039</v>
      </c>
      <c r="E15" s="145">
        <f t="shared" ref="E15" si="6">IF(C15/D15&gt;0.998,1,0)</f>
        <v>1</v>
      </c>
      <c r="F15" s="145">
        <f>IF(C15/(D15+0.0000001)&lt;1.002,1,0)</f>
        <v>1</v>
      </c>
      <c r="G15" s="145">
        <f t="shared" si="2"/>
        <v>1</v>
      </c>
      <c r="H15" s="145">
        <f t="shared" si="5"/>
        <v>0.3</v>
      </c>
      <c r="I15" s="145">
        <f t="shared" si="3"/>
        <v>0.3</v>
      </c>
      <c r="K15" s="145">
        <f t="shared" si="4"/>
        <v>0.3</v>
      </c>
    </row>
    <row r="16" spans="1:11">
      <c r="A16" s="65"/>
      <c r="B16" s="65"/>
      <c r="C16" s="65"/>
    </row>
    <row r="17" spans="1:11">
      <c r="A17" s="74" t="s">
        <v>21</v>
      </c>
      <c r="B17" s="107"/>
      <c r="C17" s="74"/>
    </row>
    <row r="18" spans="1:11">
      <c r="A18" s="74">
        <v>1</v>
      </c>
      <c r="B18" s="107" t="s">
        <v>116</v>
      </c>
      <c r="C18" s="142">
        <f>Enoncé!K66</f>
        <v>40140</v>
      </c>
      <c r="D18" s="16">
        <f>Feuil3!C65</f>
        <v>40140</v>
      </c>
      <c r="E18" s="145">
        <f>IF(C18/(D18)=1,1,0)</f>
        <v>1</v>
      </c>
      <c r="F18" s="145">
        <f>IF(C18/(D18)&lt;=1,1,0)</f>
        <v>1</v>
      </c>
      <c r="G18" s="145">
        <f t="shared" ref="G18:G23" si="7">IF(E18+F18=2,1,0)</f>
        <v>1</v>
      </c>
      <c r="H18" s="145">
        <f t="shared" si="5"/>
        <v>0.3</v>
      </c>
      <c r="I18" s="145">
        <f t="shared" si="3"/>
        <v>0.3</v>
      </c>
      <c r="K18" s="145">
        <f t="shared" si="4"/>
        <v>0.3</v>
      </c>
    </row>
    <row r="19" spans="1:11">
      <c r="A19" s="74">
        <v>2</v>
      </c>
      <c r="B19" s="107" t="s">
        <v>132</v>
      </c>
      <c r="C19" s="142">
        <f>Enoncé!L75</f>
        <v>5683215</v>
      </c>
      <c r="D19" s="16">
        <f>Feuil3!D72-Feuil5!C3*Feuil3!C26</f>
        <v>5683215</v>
      </c>
      <c r="E19" s="145">
        <f>IF(C19/(D19)&gt;0.9998,1,0)</f>
        <v>1</v>
      </c>
      <c r="F19" s="145">
        <f>IF(C19/(D19)&lt;1.0002,1,0)</f>
        <v>1</v>
      </c>
      <c r="G19" s="145">
        <f t="shared" si="7"/>
        <v>1</v>
      </c>
      <c r="H19" s="145">
        <f t="shared" si="5"/>
        <v>0.3</v>
      </c>
      <c r="I19" s="145">
        <f t="shared" si="3"/>
        <v>0.3</v>
      </c>
      <c r="K19" s="145">
        <f t="shared" si="4"/>
        <v>0.3</v>
      </c>
    </row>
    <row r="20" spans="1:11">
      <c r="A20" s="74">
        <v>3</v>
      </c>
      <c r="B20" s="107" t="s">
        <v>134</v>
      </c>
      <c r="C20" s="142">
        <f>Enoncé!O75</f>
        <v>0</v>
      </c>
      <c r="D20" s="16">
        <v>0</v>
      </c>
      <c r="E20" s="145">
        <f>IF(C20=D20,1,0)</f>
        <v>1</v>
      </c>
      <c r="F20" s="145">
        <f>IF(C20=D20,1,0)</f>
        <v>1</v>
      </c>
      <c r="G20" s="145">
        <f t="shared" si="7"/>
        <v>1</v>
      </c>
      <c r="H20" s="145">
        <f t="shared" si="5"/>
        <v>0.3</v>
      </c>
      <c r="I20" s="145">
        <f t="shared" si="3"/>
        <v>0.3</v>
      </c>
      <c r="K20" s="145">
        <f t="shared" si="4"/>
        <v>0.3</v>
      </c>
    </row>
    <row r="21" spans="1:11">
      <c r="A21" s="98">
        <v>4</v>
      </c>
      <c r="B21" s="134" t="s">
        <v>125</v>
      </c>
      <c r="C21" s="142">
        <f>Enoncé!M83</f>
        <v>82169.300000000047</v>
      </c>
      <c r="D21" s="17">
        <f>-1*(Feuil3!D81-Feuil5!C5-Feuil5!C7)</f>
        <v>82169.300000000047</v>
      </c>
      <c r="E21" s="145">
        <f>IF(C21/(D21)&gt;0.9998,1,0)</f>
        <v>1</v>
      </c>
      <c r="F21" s="145">
        <f>IF(C21/(D21)&lt;1.0002,1,0)</f>
        <v>1</v>
      </c>
      <c r="G21" s="145">
        <f t="shared" si="7"/>
        <v>1</v>
      </c>
      <c r="H21" s="145">
        <f t="shared" si="5"/>
        <v>0.3</v>
      </c>
      <c r="I21" s="145">
        <f t="shared" si="3"/>
        <v>0.3</v>
      </c>
      <c r="K21" s="145">
        <f t="shared" si="4"/>
        <v>0.3</v>
      </c>
    </row>
    <row r="22" spans="1:11">
      <c r="A22" s="98">
        <v>5</v>
      </c>
      <c r="B22" s="134" t="s">
        <v>126</v>
      </c>
      <c r="C22" s="142">
        <f>Enoncé!M91</f>
        <v>5124753</v>
      </c>
      <c r="D22" s="16">
        <f>Feuil3!D88-(Feuil3!C86*(Feuil5!C4+Feuil5!C6))</f>
        <v>5124753</v>
      </c>
      <c r="E22" s="145">
        <f>IF(C22/(D22)&gt;0.9998,1,0)</f>
        <v>1</v>
      </c>
      <c r="F22" s="145">
        <f>IF(C22/(D22)&lt;1.0002,1,0)</f>
        <v>1</v>
      </c>
      <c r="G22" s="145">
        <f t="shared" si="7"/>
        <v>1</v>
      </c>
      <c r="H22" s="145">
        <f t="shared" si="5"/>
        <v>0.3</v>
      </c>
      <c r="I22" s="145">
        <f t="shared" si="3"/>
        <v>0.3</v>
      </c>
      <c r="K22" s="145">
        <f t="shared" si="4"/>
        <v>0.3</v>
      </c>
    </row>
    <row r="23" spans="1:11">
      <c r="A23" s="98">
        <v>6</v>
      </c>
      <c r="B23" s="134" t="s">
        <v>139</v>
      </c>
      <c r="C23" s="142">
        <f>Enoncé!M99</f>
        <v>640631.29999999981</v>
      </c>
      <c r="D23" s="16">
        <f>C19-C22+C21</f>
        <v>640631.30000000005</v>
      </c>
      <c r="E23" s="145">
        <f>IF(C23/(D23)&gt;0.9998,1,0)</f>
        <v>1</v>
      </c>
      <c r="F23" s="145">
        <f>IF(C23/(D23)&lt;1.0002,1,0)</f>
        <v>1</v>
      </c>
      <c r="G23" s="145">
        <f t="shared" si="7"/>
        <v>1</v>
      </c>
      <c r="H23" s="145">
        <f t="shared" si="5"/>
        <v>0.3</v>
      </c>
      <c r="I23" s="145">
        <f t="shared" si="3"/>
        <v>0.3</v>
      </c>
      <c r="K23" s="145">
        <f t="shared" si="4"/>
        <v>0.3</v>
      </c>
    </row>
    <row r="24" spans="1:11">
      <c r="G24" s="143" t="s">
        <v>145</v>
      </c>
      <c r="H24" s="143">
        <f>K25+SUM(H3:H23)</f>
        <v>20</v>
      </c>
      <c r="I24" s="143">
        <f>K25+SUM(I3:I23)</f>
        <v>20</v>
      </c>
      <c r="K24" s="145">
        <f>SUM(K3:K23)</f>
        <v>5.4999999999999982</v>
      </c>
    </row>
    <row r="25" spans="1:11">
      <c r="K25" s="145">
        <f>20-K24</f>
        <v>14.500000000000002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Directives</vt:lpstr>
      <vt:lpstr>Enoncé</vt:lpstr>
      <vt:lpstr>Enoncé (2)</vt:lpstr>
      <vt:lpstr>Feuil2</vt:lpstr>
      <vt:lpstr>Feuil3</vt:lpstr>
      <vt:lpstr>Feuil4</vt:lpstr>
      <vt:lpstr>Feuil5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Y. Aksoy</dc:creator>
  <cp:lastModifiedBy>Salha Hemed</cp:lastModifiedBy>
  <cp:lastPrinted>2020-02-13T15:58:53Z</cp:lastPrinted>
  <dcterms:created xsi:type="dcterms:W3CDTF">2020-01-04T16:15:50Z</dcterms:created>
  <dcterms:modified xsi:type="dcterms:W3CDTF">2020-12-11T06:49:51Z</dcterms:modified>
</cp:coreProperties>
</file>