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https://d.docs.live.net/2787b8cdc92dffbb/Automne 2020 (Session 5-2)/Économie/TP/TP6/"/>
    </mc:Choice>
  </mc:AlternateContent>
  <xr:revisionPtr revIDLastSave="6" documentId="8_{ACC39D4C-879A-429E-89EE-D2533DD947E8}" xr6:coauthVersionLast="45" xr6:coauthVersionMax="45" xr10:uidLastSave="{ED52F64C-EE4D-4BCD-9E3C-002118A9576E}"/>
  <bookViews>
    <workbookView xWindow="-110" yWindow="-110" windowWidth="22780" windowHeight="14660" activeTab="1" xr2:uid="{00000000-000D-0000-FFFF-FFFF00000000}"/>
  </bookViews>
  <sheets>
    <sheet name="Directives" sheetId="14" r:id="rId1"/>
    <sheet name="Ennoncé" sheetId="12" r:id="rId2"/>
    <sheet name="Note" sheetId="13" state="hidden"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96" i="12" l="1"/>
  <c r="U6" i="12" l="1"/>
  <c r="T6" i="12"/>
  <c r="U5" i="12"/>
  <c r="T5" i="12"/>
  <c r="U4" i="12"/>
  <c r="T4" i="12"/>
  <c r="Q82" i="12" l="1"/>
  <c r="S82" i="12"/>
  <c r="T82" i="12"/>
  <c r="U82" i="12"/>
  <c r="M82" i="12"/>
  <c r="V82" i="12" s="1"/>
  <c r="M53" i="12"/>
  <c r="K77" i="12"/>
  <c r="K78" i="12"/>
  <c r="K76" i="12"/>
  <c r="K71" i="12"/>
  <c r="K72" i="12"/>
  <c r="K73" i="12"/>
  <c r="K70" i="12"/>
  <c r="K65" i="12"/>
  <c r="K66" i="12"/>
  <c r="K67" i="12"/>
  <c r="K64" i="12"/>
  <c r="K58" i="12"/>
  <c r="K59" i="12"/>
  <c r="K60" i="12"/>
  <c r="K61" i="12"/>
  <c r="K57" i="12"/>
  <c r="K54" i="12"/>
  <c r="K53" i="12"/>
  <c r="P46" i="12"/>
  <c r="M46" i="12"/>
  <c r="Q46" i="12" s="1"/>
  <c r="V46" i="12" l="1"/>
  <c r="U46" i="12"/>
  <c r="T46" i="12"/>
  <c r="R82" i="12"/>
  <c r="R46" i="12"/>
  <c r="N46" i="12"/>
  <c r="P82" i="12"/>
  <c r="O46" i="12"/>
  <c r="S46" i="12"/>
  <c r="N82" i="12"/>
  <c r="O82" i="12"/>
  <c r="N31" i="12"/>
  <c r="N67" i="12" s="1"/>
  <c r="N28" i="12"/>
  <c r="R22" i="12"/>
  <c r="R24" i="12" s="1"/>
  <c r="M23" i="12"/>
  <c r="M59" i="12" s="1"/>
  <c r="M22" i="12"/>
  <c r="M21" i="12"/>
  <c r="T18" i="12"/>
  <c r="T54" i="12" s="1"/>
  <c r="U18" i="12"/>
  <c r="U54" i="12" s="1"/>
  <c r="V18" i="12"/>
  <c r="V54" i="12" s="1"/>
  <c r="S18" i="12"/>
  <c r="S54" i="12" s="1"/>
  <c r="P18" i="12"/>
  <c r="P54" i="12" s="1"/>
  <c r="Q18" i="12"/>
  <c r="Q54" i="12" s="1"/>
  <c r="R18" i="12"/>
  <c r="R54" i="12" s="1"/>
  <c r="O18" i="12"/>
  <c r="O54" i="12" s="1"/>
  <c r="N7" i="12"/>
  <c r="N6" i="12"/>
  <c r="P11" i="12" s="1"/>
  <c r="V35" i="12" s="1"/>
  <c r="V71" i="12" s="1"/>
  <c r="O10" i="12"/>
  <c r="N5" i="12"/>
  <c r="N4" i="12"/>
  <c r="N3" i="12"/>
  <c r="L5" i="12"/>
  <c r="L9" i="12"/>
  <c r="L12" i="12" s="1"/>
  <c r="O12" i="12" s="1"/>
  <c r="L10" i="12"/>
  <c r="L4" i="12"/>
  <c r="L6" i="12" s="1"/>
  <c r="L7" i="12" s="1"/>
  <c r="P10" i="12" s="1"/>
  <c r="V34" i="12" s="1"/>
  <c r="V70" i="12" s="1"/>
  <c r="T16" i="12"/>
  <c r="T52" i="12" s="1"/>
  <c r="T53" i="12" s="1"/>
  <c r="T56" i="12" s="1"/>
  <c r="U16" i="12"/>
  <c r="U52" i="12" s="1"/>
  <c r="U53" i="12" s="1"/>
  <c r="U56" i="12" s="1"/>
  <c r="V16" i="12"/>
  <c r="V52" i="12" s="1"/>
  <c r="V53" i="12" s="1"/>
  <c r="V56" i="12" s="1"/>
  <c r="S16" i="12"/>
  <c r="S52" i="12" s="1"/>
  <c r="S53" i="12" s="1"/>
  <c r="S56" i="12" s="1"/>
  <c r="P16" i="12"/>
  <c r="P52" i="12" s="1"/>
  <c r="P53" i="12" s="1"/>
  <c r="P56" i="12" s="1"/>
  <c r="Q16" i="12"/>
  <c r="Q52" i="12" s="1"/>
  <c r="Q53" i="12" s="1"/>
  <c r="Q56" i="12" s="1"/>
  <c r="R16" i="12"/>
  <c r="R52" i="12" s="1"/>
  <c r="R53" i="12" s="1"/>
  <c r="R56" i="12" s="1"/>
  <c r="O16" i="12"/>
  <c r="O52" i="12" s="1"/>
  <c r="O53" i="12" s="1"/>
  <c r="O56" i="12" s="1"/>
  <c r="N30" i="12" l="1"/>
  <c r="N66" i="12" s="1"/>
  <c r="N8" i="12"/>
  <c r="P12" i="12" s="1"/>
  <c r="Q17" i="12"/>
  <c r="Q20" i="12" s="1"/>
  <c r="N64" i="12"/>
  <c r="L11" i="12"/>
  <c r="O11" i="12" s="1"/>
  <c r="U8" i="12"/>
  <c r="U7" i="12"/>
  <c r="O58" i="12"/>
  <c r="O60" i="12" s="1"/>
  <c r="O22" i="12"/>
  <c r="O24" i="12" s="1"/>
  <c r="P17" i="12"/>
  <c r="P20" i="12" s="1"/>
  <c r="Q22" i="12"/>
  <c r="Q24" i="12" s="1"/>
  <c r="O17" i="12"/>
  <c r="O20" i="12" s="1"/>
  <c r="M57" i="12"/>
  <c r="O21" i="12"/>
  <c r="Q21" i="12"/>
  <c r="V17" i="12"/>
  <c r="V20" i="12" s="1"/>
  <c r="V21" i="12" s="1"/>
  <c r="M58" i="12"/>
  <c r="P22" i="12"/>
  <c r="P24" i="12" s="1"/>
  <c r="U17" i="12"/>
  <c r="U20" i="12" s="1"/>
  <c r="U59" i="12"/>
  <c r="U61" i="12" s="1"/>
  <c r="V59" i="12"/>
  <c r="V61" i="12" s="1"/>
  <c r="S59" i="12"/>
  <c r="S61" i="12" s="1"/>
  <c r="P59" i="12"/>
  <c r="P61" i="12" s="1"/>
  <c r="Q59" i="12"/>
  <c r="Q61" i="12" s="1"/>
  <c r="R59" i="12"/>
  <c r="R61" i="12" s="1"/>
  <c r="V22" i="12"/>
  <c r="V24" i="12" s="1"/>
  <c r="U23" i="12"/>
  <c r="U25" i="12" s="1"/>
  <c r="T17" i="12"/>
  <c r="T20" i="12" s="1"/>
  <c r="U22" i="12"/>
  <c r="U24" i="12" s="1"/>
  <c r="S17" i="12"/>
  <c r="S20" i="12" s="1"/>
  <c r="U21" i="12"/>
  <c r="T22" i="12"/>
  <c r="T24" i="12" s="1"/>
  <c r="S23" i="12"/>
  <c r="S25" i="12" s="1"/>
  <c r="R17" i="12"/>
  <c r="R20" i="12" s="1"/>
  <c r="T21" i="12"/>
  <c r="S22" i="12"/>
  <c r="S24" i="12" s="1"/>
  <c r="R23" i="12"/>
  <c r="R25" i="12" s="1"/>
  <c r="V37" i="12"/>
  <c r="V73" i="12" s="1"/>
  <c r="X6" i="13"/>
  <c r="W6" i="13"/>
  <c r="V6" i="13"/>
  <c r="U6" i="13"/>
  <c r="T6" i="13"/>
  <c r="S6" i="13"/>
  <c r="R6" i="13"/>
  <c r="Q6" i="13"/>
  <c r="P6" i="13"/>
  <c r="O6" i="13"/>
  <c r="N6" i="13"/>
  <c r="M6" i="13"/>
  <c r="L6" i="13"/>
  <c r="K6" i="13"/>
  <c r="J6" i="13"/>
  <c r="X5" i="13"/>
  <c r="W5" i="13"/>
  <c r="V5" i="13"/>
  <c r="U5" i="13"/>
  <c r="T5" i="13"/>
  <c r="S5" i="13"/>
  <c r="R5" i="13"/>
  <c r="Q5" i="13"/>
  <c r="P5" i="13"/>
  <c r="O5" i="13"/>
  <c r="N5" i="13"/>
  <c r="M5" i="13"/>
  <c r="L5" i="13"/>
  <c r="K5" i="13"/>
  <c r="J5" i="13"/>
  <c r="X4" i="13"/>
  <c r="W4" i="13"/>
  <c r="V4" i="13"/>
  <c r="U4" i="13"/>
  <c r="T4" i="13"/>
  <c r="S4" i="13"/>
  <c r="R4" i="13"/>
  <c r="Q4" i="13"/>
  <c r="P4" i="13"/>
  <c r="O4" i="13"/>
  <c r="N4" i="13"/>
  <c r="M4" i="13"/>
  <c r="L4" i="13"/>
  <c r="K4" i="13"/>
  <c r="J4" i="13"/>
  <c r="X3" i="13"/>
  <c r="W3" i="13"/>
  <c r="V3" i="13"/>
  <c r="U3" i="13"/>
  <c r="T3" i="13"/>
  <c r="S3" i="13"/>
  <c r="R3" i="13"/>
  <c r="Q3" i="13"/>
  <c r="P3" i="13"/>
  <c r="O3" i="13"/>
  <c r="N3" i="13"/>
  <c r="M3" i="13"/>
  <c r="L3" i="13"/>
  <c r="K3" i="13"/>
  <c r="J3" i="13"/>
  <c r="X2" i="13"/>
  <c r="W2" i="13"/>
  <c r="V2" i="13"/>
  <c r="U2" i="13"/>
  <c r="T2" i="13"/>
  <c r="S2" i="13"/>
  <c r="R2" i="13"/>
  <c r="Q2" i="13"/>
  <c r="P2" i="13"/>
  <c r="O2" i="13"/>
  <c r="N2" i="13"/>
  <c r="M2" i="13"/>
  <c r="L2" i="13"/>
  <c r="K2" i="13"/>
  <c r="J2" i="13"/>
  <c r="R21" i="12" l="1"/>
  <c r="R26" i="12" s="1"/>
  <c r="R45" i="12" s="1"/>
  <c r="R47" i="12" s="1"/>
  <c r="V41" i="12"/>
  <c r="V77" i="12"/>
  <c r="V36" i="12"/>
  <c r="V72" i="12" s="1"/>
  <c r="V26" i="12"/>
  <c r="U26" i="12"/>
  <c r="U45" i="12" s="1"/>
  <c r="U47" i="12" s="1"/>
  <c r="P57" i="12"/>
  <c r="Q57" i="12"/>
  <c r="R57" i="12"/>
  <c r="O57" i="12"/>
  <c r="O62" i="12" s="1"/>
  <c r="O81" i="12" s="1"/>
  <c r="O83" i="12" s="1"/>
  <c r="S57" i="12"/>
  <c r="S62" i="12" s="1"/>
  <c r="S81" i="12" s="1"/>
  <c r="S83" i="12" s="1"/>
  <c r="T57" i="12"/>
  <c r="T62" i="12" s="1"/>
  <c r="T81" i="12" s="1"/>
  <c r="T83" i="12" s="1"/>
  <c r="U57" i="12"/>
  <c r="V57" i="12"/>
  <c r="U12" i="12"/>
  <c r="U11" i="12"/>
  <c r="P21" i="12"/>
  <c r="P26" i="12" s="1"/>
  <c r="P45" i="12" s="1"/>
  <c r="P47" i="12" s="1"/>
  <c r="O26" i="12"/>
  <c r="O45" i="12" s="1"/>
  <c r="O47" i="12" s="1"/>
  <c r="S21" i="12"/>
  <c r="S26" i="12" s="1"/>
  <c r="S45" i="12" s="1"/>
  <c r="S47" i="12" s="1"/>
  <c r="T8" i="12"/>
  <c r="T7" i="12"/>
  <c r="O59" i="12"/>
  <c r="O61" i="12" s="1"/>
  <c r="O23" i="12"/>
  <c r="O25" i="12" s="1"/>
  <c r="V23" i="12"/>
  <c r="V25" i="12" s="1"/>
  <c r="P23" i="12"/>
  <c r="P25" i="12" s="1"/>
  <c r="N29" i="12"/>
  <c r="Q23" i="12"/>
  <c r="Q25" i="12" s="1"/>
  <c r="Q26" i="12" s="1"/>
  <c r="Q45" i="12" s="1"/>
  <c r="Q47" i="12" s="1"/>
  <c r="T23" i="12"/>
  <c r="T25" i="12" s="1"/>
  <c r="T26" i="12" s="1"/>
  <c r="T45" i="12" s="1"/>
  <c r="T47" i="12" s="1"/>
  <c r="T59" i="12"/>
  <c r="T61" i="12" s="1"/>
  <c r="S58" i="12"/>
  <c r="S60" i="12" s="1"/>
  <c r="T58" i="12"/>
  <c r="T60" i="12" s="1"/>
  <c r="U58" i="12"/>
  <c r="U60" i="12" s="1"/>
  <c r="R58" i="12"/>
  <c r="R60" i="12" s="1"/>
  <c r="V58" i="12"/>
  <c r="V60" i="12" s="1"/>
  <c r="P58" i="12"/>
  <c r="P60" i="12" s="1"/>
  <c r="Q58" i="12"/>
  <c r="Q60" i="12" s="1"/>
  <c r="I5" i="13"/>
  <c r="G5" i="13"/>
  <c r="E5" i="13"/>
  <c r="C5" i="13"/>
  <c r="I4" i="13"/>
  <c r="G4" i="13"/>
  <c r="E4" i="13"/>
  <c r="C4" i="13"/>
  <c r="I3" i="13"/>
  <c r="G3" i="13"/>
  <c r="E3" i="13"/>
  <c r="C3" i="13"/>
  <c r="I2" i="13"/>
  <c r="G2" i="13"/>
  <c r="E2" i="13"/>
  <c r="C2" i="13"/>
  <c r="R62" i="12" l="1"/>
  <c r="R81" i="12" s="1"/>
  <c r="R83" i="12" s="1"/>
  <c r="V75" i="12"/>
  <c r="V39" i="12"/>
  <c r="Q62" i="12"/>
  <c r="Q81" i="12" s="1"/>
  <c r="Q83" i="12" s="1"/>
  <c r="P62" i="12"/>
  <c r="P81" i="12" s="1"/>
  <c r="P83" i="12" s="1"/>
  <c r="N65" i="12"/>
  <c r="N81" i="12" s="1"/>
  <c r="N83" i="12" s="1"/>
  <c r="N45" i="12"/>
  <c r="N47" i="12" s="1"/>
  <c r="T12" i="12"/>
  <c r="T11" i="12"/>
  <c r="V62" i="12"/>
  <c r="U62" i="12"/>
  <c r="U81" i="12" s="1"/>
  <c r="U83" i="12" s="1"/>
  <c r="E6" i="13"/>
  <c r="C6" i="13"/>
  <c r="V76" i="12" l="1"/>
  <c r="V40" i="12"/>
  <c r="V45" i="12" s="1"/>
  <c r="V47" i="12" s="1"/>
  <c r="L48" i="12" s="1"/>
  <c r="V81" i="12"/>
  <c r="V83" i="12" s="1"/>
  <c r="L84" i="12" s="1"/>
  <c r="I6" i="13"/>
  <c r="G6"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F5E87A-9175-4048-873E-4B0ABA4B52CB}" keepAlive="1" name="Requête - Exemple de fichier" description="Connexion à la requête « Exemple de fichier » dans le classeur." type="5" refreshedVersion="0" background="1">
    <dbPr connection="Provider=Microsoft.Mashup.OleDb.1;Data Source=$Workbook$;Location=&quot;Exemple de fichier&quot;;Extended Properties=&quot;&quot;" command="SELECT * FROM [Exemple de fichier]"/>
  </connection>
  <connection id="2" xr16:uid="{3015F61D-BCA2-47B1-9E34-02BFEB0E7EAE}" keepAlive="1" name="Requête - Paramètre1" description="Connexion à la requête « Paramètre1 » dans le classeur." type="5" refreshedVersion="0" background="1">
    <dbPr connection="Provider=Microsoft.Mashup.OleDb.1;Data Source=$Workbook$;Location=Paramètre1;Extended Properties=&quot;&quot;" command="SELECT * FROM [Paramètre1]"/>
  </connection>
  <connection id="3" xr16:uid="{79573CBE-41E7-4B7A-A87F-81DB4D8DF2DD}" keepAlive="1" name="Requête - test" description="Connexion à la requête « test » dans le classeur." type="5" refreshedVersion="6" background="1">
    <dbPr connection="Provider=Microsoft.Mashup.OleDb.1;Data Source=$Workbook$;Location=test;Extended Properties=&quot;&quot;" command="SELECT * FROM [test]"/>
  </connection>
  <connection id="4" xr16:uid="{688F4EA7-D72B-4D0F-8F22-FB37B669EE34}" keepAlive="1" name="Requête - Transformer le fichier" description="Connexion à la requête « Transformer le fichier » dans le classeur." type="5" refreshedVersion="0" background="1">
    <dbPr connection="Provider=Microsoft.Mashup.OleDb.1;Data Source=$Workbook$;Location=&quot;Transformer le fichier&quot;;Extended Properties=&quot;&quot;" command="SELECT * FROM [Transformer le fichier]"/>
  </connection>
  <connection id="5" xr16:uid="{20463BE2-B267-4252-8334-9BFBE1CE43F9}" keepAlive="1" name="Requête - Transformer l'exemple de fichier" description="Connexion à la requête « Transformer l'exemple de fichier » dans le classeur." type="5" refreshedVersion="0" background="1">
    <dbPr connection="Provider=Microsoft.Mashup.OleDb.1;Data Source=$Workbook$;Location=&quot;Transformer l'exemple de fichier&quot;;Extended Properties=&quot;&quot;" command="SELECT * FROM [Transformer l'exemple de fichier]"/>
  </connection>
</connections>
</file>

<file path=xl/sharedStrings.xml><?xml version="1.0" encoding="utf-8"?>
<sst xmlns="http://schemas.openxmlformats.org/spreadsheetml/2006/main" count="160" uniqueCount="107">
  <si>
    <t>NOM :</t>
  </si>
  <si>
    <t xml:space="preserve">Année </t>
  </si>
  <si>
    <t>Données</t>
  </si>
  <si>
    <t>Prén. :</t>
  </si>
  <si>
    <t>Matricule</t>
  </si>
  <si>
    <t>Gr.</t>
  </si>
  <si>
    <t>Ventes en unité</t>
  </si>
  <si>
    <t>Flux monétaires</t>
  </si>
  <si>
    <t>Flux monétaires nets d'exploitation</t>
  </si>
  <si>
    <t>Investissements</t>
  </si>
  <si>
    <t xml:space="preserve">Équipement </t>
  </si>
  <si>
    <t>Immeuble</t>
  </si>
  <si>
    <t>Terrain</t>
  </si>
  <si>
    <t>Valeurs de récupération</t>
  </si>
  <si>
    <t>Facteur d'actualisation</t>
  </si>
  <si>
    <t>Flux monétaires actualisés</t>
  </si>
  <si>
    <t>Valeur de récupération</t>
  </si>
  <si>
    <t>Après plusieurs discussions en comité, avec le département des ventes, le département de marketing et la firme de consultation, il est clair que la quantité que l’on pourrait vendre de notre produit représentent la variable la plus incertaine de ce projet. À cet effet, le comité a établi 5 valeurs de cette variable et révèle la distribution de probabilités suivante : </t>
  </si>
  <si>
    <t>Ventes annuelles prévues</t>
  </si>
  <si>
    <t>Probabilité</t>
  </si>
  <si>
    <t xml:space="preserve">Années 1 à 4 (fin d’année) </t>
  </si>
  <si>
    <t xml:space="preserve">Années 5 à 8 (fin d’année) </t>
  </si>
  <si>
    <t xml:space="preserve">Débours </t>
  </si>
  <si>
    <t>Ajustement fiscal sur disposition d'actif</t>
  </si>
  <si>
    <t>Ajustement fiscal des valeur de récupération</t>
  </si>
  <si>
    <t>Équipements</t>
  </si>
  <si>
    <t>Ajustement fiscal avec fermeture</t>
  </si>
  <si>
    <t>Ajustement fiscal sans fermeture</t>
  </si>
  <si>
    <t>Flux monétaires nets après impôts</t>
  </si>
  <si>
    <t xml:space="preserve">Travail à faire : </t>
  </si>
  <si>
    <t xml:space="preserve">Le taux de déduction pour amortissement fiscal (DPA) qui s’applique à l’équipement est de 20 % calculé sur le solde non amorti. </t>
  </si>
  <si>
    <t xml:space="preserve">Le taux de DPA qui s’applique à l’immeuble est de 4% calculé sur le solde non amorti </t>
  </si>
  <si>
    <t xml:space="preserve">L’entreprise est assujettie à un taux d’impôt marginal de 22,6 % et son taux de rendement acceptable minimum (TRAM) est de 8,5 % après impôt. </t>
  </si>
  <si>
    <t xml:space="preserve">À la disposition des actifs en fin de projet, il ne restera plus d'équipements de cette catégorie dans l'entreprise par contre, il restera d'autres immeubles appartenant à cette même catégorie dans l’entreprise. Sauf indication contraire, les entrées et les sorties de fonds se produiront en fin de période. </t>
  </si>
  <si>
    <t>Vous travaillez depuis maintenant 10 ans pour l’entreprise Cov inc. qui se spécialise en équipements de protection bactérienne. Voyant qu’il y a présentement une belle opportunité de marché Post covid-19, une idée a germé et vous aimeriez l’exploiter. Ces 2 derniers mois, elle a investi 20 000 $ en recherche et développement et vous êtes en train d’analyser les données d’analyse de marché que vous aviez commandée auprès d’une firme spécialisée. Cov inc. vient de recevoir la facture de 14 000 $ pour le travail effectué et elle a 30 jours pour faire le payement.</t>
  </si>
  <si>
    <t>Pour réaliser ce projet d'une durée de 8 ans, elle devra faire l’acquisition d’un nouvel immeuble avec terrain. Après plusieurs recherches, vous avez trouvé une usine à proximité de son usine principale. En regardant le compte de taxes, l’on constate que le terrain est évalué à 625 000 $ et que la bâtisse est évaluée à 430 000 $. Après plusieurs négociations, vous considérez que vous seriez capable d’en faire faire l’acquisition pour 1 263 000 $.</t>
  </si>
  <si>
    <t>À noter que des frais notariés de 4 750$ et des droits de mutation de 24 500 $ devront également être déboursés pour conclure cette transaction.</t>
  </si>
  <si>
    <t xml:space="preserve">Au bout de 8 ans, l’immeuble aura une valeur de revente estimée de 220 000 $ et le terrain devrait prendre 2% de valeur par année. À la fin des 8 années, le terrain sera vendu à sa valeur marchande. </t>
  </si>
  <si>
    <t>De plus, elle devra investir dans du nouvel équipement évaluer à 275 000 $, installation et formations de base incluses. Cet équipement possèderait une vie utile de 20 ans. À la fin de sa vie utile, la valeur de revente sera de 30 000 $. On considère que ce type d’équipement perd toujours la même valeur à  chaque année.</t>
  </si>
  <si>
    <t xml:space="preserve">Le comité a déterminé que l’on pouvait s’attendre à une contribution marginale unitaire (marge sur coût variable unitaire) avant impôt de 22 $. Les charges d’exploitation fixes avant impôts, autres que l’amortissement comptable, devrait-être de 124 000 $ par année pour les quatres premières années et passeront par la suite à 243 000 $ par année pour les   années restantes du projet. </t>
  </si>
  <si>
    <t>a) Calculer le coût d'acquisition et la valeur de récupération de l'équipement, du bâtiment et du terrain.</t>
  </si>
  <si>
    <t>c) Calculer la VAN après impôt en considérant que :</t>
  </si>
  <si>
    <t>b) Calculer l'ajustement fiscal sur disposition d'actif en donnant le detail des calculs pour chaque categorie avec et sans fermeture</t>
  </si>
  <si>
    <t>e) Tirer une conclusion pour le projet. Indiquer l'impact en % sur la VAN.</t>
  </si>
  <si>
    <t>d) On vous demande finalement d'effectuer une analyse de sensibilité sur la contribution marginale en la faisant varier de plus 10% (refaire le tableau)</t>
  </si>
  <si>
    <t>Automne 2020</t>
  </si>
  <si>
    <t>VAN :</t>
  </si>
  <si>
    <t>e) Impact sur la VAN</t>
  </si>
  <si>
    <t>d) Analyse de sensibilité</t>
  </si>
  <si>
    <t>c) VAN après impôt</t>
  </si>
  <si>
    <t>b) Ajustement fiscal sur disposition d'actif</t>
  </si>
  <si>
    <t>a) Coût d'acquisition et valeur de récupération</t>
  </si>
  <si>
    <t>Données (Taux %)</t>
  </si>
  <si>
    <t>IND3702 - Analyse de rentabilité de projets</t>
  </si>
  <si>
    <t>Impact sur la VAN</t>
  </si>
  <si>
    <t xml:space="preserve">À cause de l’augmentation de la production, Il faudra dédier en début de projet un fonds de roulement de 30 000 $. Le fonds de roulement sera récupéré à la fin du projet. </t>
  </si>
  <si>
    <t>Investissement</t>
  </si>
  <si>
    <t>Recuperation et ajustement</t>
  </si>
  <si>
    <t>DIRECTIVES IMPORTANTES</t>
  </si>
  <si>
    <t>Utiliser seulement une version d'Excel qui est installé sur un ordinateur pour éditer</t>
  </si>
  <si>
    <t>Étapes du TP</t>
  </si>
  <si>
    <t>1- Télécharger sur votre ordinateur le fichier Excel</t>
  </si>
  <si>
    <t xml:space="preserve"> Effectuer vos calculs à l'aide d'Excel seulement, pas de calculatrice. Excel garde toutes les décimales même si elles ne sont pas montrées.</t>
  </si>
  <si>
    <t xml:space="preserve"> Mettre les réponses dans les cases en jaunes seulement</t>
  </si>
  <si>
    <t xml:space="preserve">  Il est possible que pour certaines questions il n'y ait pas de réponse. Dans ce cas, mettre 0 dans la cellule en jaune.</t>
  </si>
  <si>
    <t xml:space="preserve"> NE PAS MODIFIER LE FICHIER (ajouter des lignes ou des colonnes, fusionner, etc.).</t>
  </si>
  <si>
    <t xml:space="preserve"> Ne pas changer le format de la réponse.</t>
  </si>
  <si>
    <t xml:space="preserve"> Ne pas faire de copier/coller ou de couper/coller.</t>
  </si>
  <si>
    <t xml:space="preserve"> Respecter les signes dans le tableau du calcul de la VAN</t>
  </si>
  <si>
    <t>3 points sur 20 sont donnés pour suivre la démarche parfaitement</t>
  </si>
  <si>
    <t>Amusez vous bien !!!!</t>
  </si>
  <si>
    <t>2- Effectuer et compléter le TP</t>
  </si>
  <si>
    <t>3- Déposer le dans la BONNE boite de dépôt.</t>
  </si>
  <si>
    <t>Hemed</t>
  </si>
  <si>
    <t>Salha</t>
  </si>
  <si>
    <t>Coût d'acquisition:</t>
  </si>
  <si>
    <t>Équipement</t>
  </si>
  <si>
    <t>Amortissement/an:</t>
  </si>
  <si>
    <t>Valeur de récupération:</t>
  </si>
  <si>
    <t>Eval immeuble</t>
  </si>
  <si>
    <t>Éval terrain</t>
  </si>
  <si>
    <t>Fraction Immeuble</t>
  </si>
  <si>
    <t>Fraction Terrain</t>
  </si>
  <si>
    <t xml:space="preserve"> Revente apres 20 ans:</t>
  </si>
  <si>
    <t>Debours terrain+batisse</t>
  </si>
  <si>
    <t>Frais notariés</t>
  </si>
  <si>
    <t>Droits de mutation</t>
  </si>
  <si>
    <t>Val de récup batisse</t>
  </si>
  <si>
    <t>Gain valeur terrain</t>
  </si>
  <si>
    <t>Valeur de récup terrain</t>
  </si>
  <si>
    <t>Contribution marginale</t>
  </si>
  <si>
    <t>Charges d'exploitation fixes</t>
  </si>
  <si>
    <t>DPA immeuble</t>
  </si>
  <si>
    <t>Fond de roulement</t>
  </si>
  <si>
    <t>Al équipements (fermeture)</t>
  </si>
  <si>
    <t>Al immeuble (non fermeture)</t>
  </si>
  <si>
    <t>FNACC</t>
  </si>
  <si>
    <t>min(DI,R)</t>
  </si>
  <si>
    <t>T</t>
  </si>
  <si>
    <t>d (DPA)</t>
  </si>
  <si>
    <t>i (TRAM après impot)</t>
  </si>
  <si>
    <t>Impôts (T)</t>
  </si>
  <si>
    <t xml:space="preserve">DPA équipement </t>
  </si>
  <si>
    <t>Déduction d'impôts équipement (DPA*T)</t>
  </si>
  <si>
    <t>Déduction d'impôts immeuble (DPA*T)</t>
  </si>
  <si>
    <t>Impôt sur le gain sur terrain</t>
  </si>
  <si>
    <t xml:space="preserve">On peut donc conclure que lorsqu'on fait varier la contribution marginale, cela aura un grand impact sur la VAN. Ainsi, un augmentation de la contribution marginale en augmentant les ventes ou en diminuant les coûts variables permettrait d'améliorer le projet.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</si>
</sst>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 #,##0.00_)\ &quot;$&quot;_ ;_ * \(#,##0.00\)\ &quot;$&quot;_ ;_ * &quot;-&quot;??_)\ &quot;$&quot;_ ;_ @_ "/>
    <numFmt numFmtId="164" formatCode="#,##0&quot; u&quot;"/>
    <numFmt numFmtId="165" formatCode="#,##0\ &quot;$&quot;_-;[Red]#,##0\ &quot;$&quot;\-"/>
    <numFmt numFmtId="166" formatCode="_ * #,##0_)\ &quot;$&quot;_ ;_ * \(#,##0\)\ &quot;$&quot;_ ;_ * &quot;-&quot;??_)\ &quot;$&quot;_ ;_ @_ "/>
    <numFmt numFmtId="167" formatCode="#,##0\ &quot;$&quot;"/>
    <numFmt numFmtId="168" formatCode="0.0000"/>
    <numFmt numFmtId="169" formatCode="#,##0&quot; u.&quot;"/>
    <numFmt numFmtId="170" formatCode="#,##0&quot; ans&quot;"/>
    <numFmt numFmtId="171" formatCode="#,##0.00\ &quot;$&quot;_-;[Red]#,##0.00\ &quot;$&quot;\-"/>
    <numFmt numFmtId="172" formatCode="0.0%"/>
  </numFmts>
  <fonts count="16" x14ac:knownFonts="1">
    <font>
      <sz val="11"/>
      <color theme="1"/>
      <name val="Arial"/>
    </font>
    <font>
      <sz val="12"/>
      <color theme="1"/>
      <name val="Calibri"/>
      <family val="2"/>
      <scheme val="minor"/>
    </font>
    <font>
      <sz val="11"/>
      <color theme="1"/>
      <name val="Arial"/>
      <family val="2"/>
    </font>
    <font>
      <b/>
      <sz val="12"/>
      <color theme="1"/>
      <name val="Calibri"/>
      <family val="2"/>
      <scheme val="minor"/>
    </font>
    <font>
      <sz val="12"/>
      <color rgb="FF000000"/>
      <name val="Calibri"/>
      <family val="2"/>
      <scheme val="minor"/>
    </font>
    <font>
      <sz val="12"/>
      <name val="Calibri"/>
      <family val="2"/>
      <scheme val="minor"/>
    </font>
    <font>
      <b/>
      <sz val="12"/>
      <name val="Arial"/>
      <family val="2"/>
    </font>
    <font>
      <b/>
      <sz val="12"/>
      <color rgb="FF000000"/>
      <name val="Calibri"/>
      <family val="2"/>
      <scheme val="minor"/>
    </font>
    <font>
      <b/>
      <sz val="12"/>
      <name val="Calibri"/>
      <family val="2"/>
      <scheme val="minor"/>
    </font>
    <font>
      <sz val="11"/>
      <color indexed="8"/>
      <name val="Arial"/>
      <family val="2"/>
    </font>
    <font>
      <b/>
      <sz val="24"/>
      <color indexed="8"/>
      <name val="Arial"/>
      <family val="2"/>
    </font>
    <font>
      <sz val="12"/>
      <color indexed="8"/>
      <name val="Arial"/>
      <family val="2"/>
    </font>
    <font>
      <b/>
      <sz val="12"/>
      <color indexed="8"/>
      <name val="Arial"/>
      <family val="2"/>
    </font>
    <font>
      <b/>
      <u/>
      <sz val="12"/>
      <color indexed="8"/>
      <name val="Arial"/>
      <family val="2"/>
    </font>
    <font>
      <b/>
      <sz val="12"/>
      <color rgb="FFFF0000"/>
      <name val="Calibri"/>
      <family val="2"/>
      <scheme val="minor"/>
    </font>
    <font>
      <sz val="12"/>
      <color rgb="FFFF0000"/>
      <name val="Calibri"/>
      <family val="2"/>
      <scheme val="minor"/>
    </font>
  </fonts>
  <fills count="7">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FFFF00"/>
        <bgColor indexed="64"/>
      </patternFill>
    </fill>
    <fill>
      <patternFill patternType="solid">
        <fgColor indexed="9"/>
        <bgColor auto="1"/>
      </patternFill>
    </fill>
    <fill>
      <patternFill patternType="solid">
        <fgColor rgb="FFFFC000"/>
        <bgColor indexed="64"/>
      </patternFill>
    </fill>
  </fills>
  <borders count="5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bottom/>
      <diagonal/>
    </border>
    <border>
      <left/>
      <right/>
      <top style="thin">
        <color rgb="FF000000"/>
      </top>
      <bottom/>
      <diagonal/>
    </border>
    <border>
      <left/>
      <right/>
      <top style="medium">
        <color rgb="FF000000"/>
      </top>
      <bottom style="medium">
        <color rgb="FF000000"/>
      </bottom>
      <diagonal/>
    </border>
    <border>
      <left style="medium">
        <color rgb="FF000000"/>
      </left>
      <right/>
      <top/>
      <bottom/>
      <diagonal/>
    </border>
    <border>
      <left/>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style="medium">
        <color indexed="64"/>
      </left>
      <right/>
      <top style="medium">
        <color rgb="FF000000"/>
      </top>
      <bottom style="medium">
        <color rgb="FF000000"/>
      </bottom>
      <diagonal/>
    </border>
    <border>
      <left/>
      <right/>
      <top style="thin">
        <color indexed="64"/>
      </top>
      <bottom/>
      <diagonal/>
    </border>
    <border>
      <left/>
      <right style="medium">
        <color indexed="64"/>
      </right>
      <top style="medium">
        <color indexed="64"/>
      </top>
      <bottom style="medium">
        <color rgb="FF000000"/>
      </bottom>
      <diagonal/>
    </border>
    <border>
      <left/>
      <right/>
      <top style="medium">
        <color indexed="64"/>
      </top>
      <bottom style="medium">
        <color indexed="64"/>
      </bottom>
      <diagonal/>
    </border>
    <border>
      <left style="medium">
        <color rgb="FF000000"/>
      </left>
      <right style="medium">
        <color rgb="FF000000"/>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top style="medium">
        <color indexed="64"/>
      </top>
      <bottom style="medium">
        <color rgb="FF000000"/>
      </bottom>
      <diagonal/>
    </border>
    <border>
      <left style="medium">
        <color rgb="FF000000"/>
      </left>
      <right/>
      <top style="medium">
        <color indexed="64"/>
      </top>
      <bottom style="medium">
        <color rgb="FF000000"/>
      </bottom>
      <diagonal/>
    </border>
    <border>
      <left style="medium">
        <color rgb="FF000000"/>
      </left>
      <right/>
      <top style="medium">
        <color indexed="64"/>
      </top>
      <bottom/>
      <diagonal/>
    </border>
    <border>
      <left style="medium">
        <color rgb="FF000000"/>
      </left>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indexed="64"/>
      </right>
      <top style="medium">
        <color rgb="FF000000"/>
      </top>
      <bottom/>
      <diagonal/>
    </border>
    <border>
      <left/>
      <right/>
      <top/>
      <bottom style="medium">
        <color rgb="FF000000"/>
      </bottom>
      <diagonal/>
    </border>
    <border>
      <left/>
      <right style="medium">
        <color indexed="64"/>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medium">
        <color rgb="FF000000"/>
      </top>
      <bottom style="medium">
        <color rgb="FF000000"/>
      </bottom>
      <diagonal/>
    </border>
    <border>
      <left style="medium">
        <color indexed="64"/>
      </left>
      <right style="medium">
        <color rgb="FF000000"/>
      </right>
      <top/>
      <bottom/>
      <diagonal/>
    </border>
    <border>
      <left style="medium">
        <color indexed="64"/>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0" fontId="9" fillId="0" borderId="8" applyNumberFormat="0" applyFill="0" applyBorder="0" applyProtection="0"/>
  </cellStyleXfs>
  <cellXfs count="271">
    <xf numFmtId="0" fontId="0" fillId="0" borderId="0" xfId="0" applyFont="1" applyAlignment="1"/>
    <xf numFmtId="169" fontId="4" fillId="0" borderId="13" xfId="0" applyNumberFormat="1" applyFont="1" applyBorder="1" applyAlignment="1">
      <alignment vertical="center"/>
    </xf>
    <xf numFmtId="169" fontId="4" fillId="0" borderId="15" xfId="0" applyNumberFormat="1" applyFont="1" applyBorder="1" applyAlignment="1">
      <alignment vertical="center"/>
    </xf>
    <xf numFmtId="0" fontId="3" fillId="0" borderId="0" xfId="0" applyFont="1" applyAlignment="1"/>
    <xf numFmtId="0" fontId="1" fillId="0" borderId="0" xfId="0" applyFont="1" applyAlignment="1"/>
    <xf numFmtId="49" fontId="3" fillId="0" borderId="1" xfId="0" applyNumberFormat="1" applyFont="1" applyBorder="1"/>
    <xf numFmtId="49" fontId="4" fillId="0" borderId="1" xfId="0" applyNumberFormat="1" applyFont="1" applyBorder="1"/>
    <xf numFmtId="0" fontId="3" fillId="0" borderId="2" xfId="0" applyFont="1" applyBorder="1"/>
    <xf numFmtId="49" fontId="3" fillId="0" borderId="2" xfId="0" applyNumberFormat="1" applyFont="1" applyBorder="1"/>
    <xf numFmtId="0" fontId="1" fillId="0" borderId="2" xfId="0" applyFont="1" applyBorder="1"/>
    <xf numFmtId="0" fontId="3" fillId="0" borderId="2" xfId="0" applyFont="1" applyBorder="1" applyAlignment="1">
      <alignment horizontal="right"/>
    </xf>
    <xf numFmtId="0" fontId="6" fillId="0" borderId="0" xfId="0" applyFont="1" applyAlignment="1">
      <alignment vertical="center"/>
    </xf>
    <xf numFmtId="9" fontId="1" fillId="0" borderId="0" xfId="0" applyNumberFormat="1" applyFont="1" applyAlignment="1"/>
    <xf numFmtId="0" fontId="1" fillId="0" borderId="12" xfId="0" applyFont="1" applyBorder="1" applyAlignment="1"/>
    <xf numFmtId="0" fontId="3" fillId="2" borderId="37" xfId="0" applyFont="1" applyFill="1" applyBorder="1" applyAlignment="1">
      <alignment horizontal="center"/>
    </xf>
    <xf numFmtId="0" fontId="3" fillId="0" borderId="38" xfId="0" applyFont="1" applyBorder="1" applyAlignment="1">
      <alignment horizontal="center"/>
    </xf>
    <xf numFmtId="0" fontId="3" fillId="0" borderId="28" xfId="0" applyFont="1" applyBorder="1" applyAlignment="1">
      <alignment horizontal="center"/>
    </xf>
    <xf numFmtId="0" fontId="3" fillId="0" borderId="31" xfId="0" applyFont="1" applyBorder="1" applyAlignment="1">
      <alignment horizontal="center"/>
    </xf>
    <xf numFmtId="0" fontId="3" fillId="0" borderId="39" xfId="0" applyFont="1" applyBorder="1" applyAlignment="1">
      <alignment horizontal="center"/>
    </xf>
    <xf numFmtId="0" fontId="3" fillId="0" borderId="23" xfId="0" applyFont="1" applyBorder="1" applyAlignment="1">
      <alignment horizontal="center"/>
    </xf>
    <xf numFmtId="0" fontId="3" fillId="0" borderId="12" xfId="0" applyFont="1" applyBorder="1" applyAlignment="1">
      <alignment horizontal="center"/>
    </xf>
    <xf numFmtId="0" fontId="1" fillId="0" borderId="13" xfId="0" applyFont="1" applyBorder="1" applyAlignment="1"/>
    <xf numFmtId="166" fontId="1" fillId="0" borderId="8" xfId="1" applyNumberFormat="1" applyFont="1" applyBorder="1" applyAlignment="1"/>
    <xf numFmtId="10" fontId="1" fillId="0" borderId="14" xfId="2" applyNumberFormat="1" applyFont="1" applyBorder="1" applyAlignment="1"/>
    <xf numFmtId="9" fontId="1" fillId="2" borderId="10" xfId="0" applyNumberFormat="1" applyFont="1" applyFill="1" applyBorder="1" applyAlignment="1">
      <alignment horizontal="center"/>
    </xf>
    <xf numFmtId="164" fontId="1" fillId="0" borderId="25" xfId="0" applyNumberFormat="1" applyFont="1" applyBorder="1" applyAlignment="1">
      <alignment horizontal="center"/>
    </xf>
    <xf numFmtId="164" fontId="1" fillId="0" borderId="32" xfId="0" applyNumberFormat="1" applyFont="1" applyBorder="1" applyAlignment="1">
      <alignment horizontal="center"/>
    </xf>
    <xf numFmtId="165" fontId="1" fillId="2" borderId="4" xfId="0" applyNumberFormat="1" applyFont="1" applyFill="1" applyBorder="1" applyAlignment="1">
      <alignment horizontal="center"/>
    </xf>
    <xf numFmtId="166" fontId="1" fillId="0" borderId="7" xfId="0" applyNumberFormat="1" applyFont="1" applyBorder="1" applyAlignment="1">
      <alignment horizontal="center"/>
    </xf>
    <xf numFmtId="166" fontId="1" fillId="0" borderId="8" xfId="0" applyNumberFormat="1" applyFont="1" applyBorder="1" applyAlignment="1">
      <alignment horizontal="center"/>
    </xf>
    <xf numFmtId="166" fontId="1" fillId="0" borderId="14" xfId="0" applyNumberFormat="1" applyFont="1" applyBorder="1" applyAlignment="1">
      <alignment horizontal="center"/>
    </xf>
    <xf numFmtId="166" fontId="1" fillId="0" borderId="8" xfId="1" applyNumberFormat="1" applyFont="1" applyBorder="1" applyAlignment="1">
      <alignment horizontal="center"/>
    </xf>
    <xf numFmtId="166" fontId="1" fillId="0" borderId="14" xfId="1" applyNumberFormat="1" applyFont="1" applyBorder="1" applyAlignment="1">
      <alignment horizontal="center"/>
    </xf>
    <xf numFmtId="166" fontId="3" fillId="0" borderId="8" xfId="0" applyNumberFormat="1" applyFont="1" applyBorder="1" applyAlignment="1"/>
    <xf numFmtId="0" fontId="1" fillId="0" borderId="14" xfId="0" applyFont="1" applyBorder="1" applyAlignment="1"/>
    <xf numFmtId="166" fontId="1" fillId="0" borderId="8" xfId="0" applyNumberFormat="1" applyFont="1" applyBorder="1"/>
    <xf numFmtId="166" fontId="1" fillId="0" borderId="14" xfId="0" applyNumberFormat="1" applyFont="1" applyBorder="1"/>
    <xf numFmtId="166" fontId="1" fillId="0" borderId="8" xfId="0" applyNumberFormat="1" applyFont="1" applyFill="1" applyBorder="1"/>
    <xf numFmtId="166" fontId="1" fillId="0" borderId="8" xfId="0" applyNumberFormat="1" applyFont="1" applyBorder="1" applyAlignment="1"/>
    <xf numFmtId="166" fontId="4" fillId="0" borderId="8" xfId="0" applyNumberFormat="1" applyFont="1" applyFill="1" applyBorder="1"/>
    <xf numFmtId="0" fontId="3" fillId="2" borderId="10" xfId="0" applyFont="1" applyFill="1" applyBorder="1"/>
    <xf numFmtId="166" fontId="1" fillId="0" borderId="25" xfId="0" applyNumberFormat="1" applyFont="1" applyBorder="1"/>
    <xf numFmtId="166" fontId="1" fillId="0" borderId="32" xfId="1" applyNumberFormat="1" applyFont="1" applyBorder="1" applyAlignment="1">
      <alignment horizontal="center"/>
    </xf>
    <xf numFmtId="166" fontId="1" fillId="0" borderId="26" xfId="1" applyNumberFormat="1" applyFont="1" applyBorder="1" applyAlignment="1">
      <alignment horizontal="center"/>
    </xf>
    <xf numFmtId="0" fontId="3" fillId="0" borderId="13" xfId="0" applyFont="1" applyBorder="1" applyAlignment="1"/>
    <xf numFmtId="170" fontId="1" fillId="0" borderId="8" xfId="0" applyNumberFormat="1" applyFont="1" applyBorder="1" applyAlignment="1"/>
    <xf numFmtId="166" fontId="4" fillId="0" borderId="8" xfId="0" applyNumberFormat="1" applyFont="1" applyBorder="1"/>
    <xf numFmtId="166" fontId="4" fillId="0" borderId="14" xfId="0" applyNumberFormat="1" applyFont="1" applyBorder="1"/>
    <xf numFmtId="0" fontId="3" fillId="2" borderId="10" xfId="0" applyFont="1" applyFill="1" applyBorder="1" applyAlignment="1">
      <alignment horizontal="left"/>
    </xf>
    <xf numFmtId="0" fontId="1" fillId="2" borderId="4" xfId="0" applyFont="1" applyFill="1" applyBorder="1" applyAlignment="1">
      <alignment horizontal="center"/>
    </xf>
    <xf numFmtId="0" fontId="1" fillId="0" borderId="14" xfId="0" applyFont="1" applyBorder="1"/>
    <xf numFmtId="0" fontId="3" fillId="0" borderId="25" xfId="0" applyFont="1" applyBorder="1" applyAlignment="1">
      <alignment horizontal="center"/>
    </xf>
    <xf numFmtId="0" fontId="3" fillId="0" borderId="26" xfId="0" applyFont="1" applyBorder="1" applyAlignment="1"/>
    <xf numFmtId="166" fontId="1" fillId="0" borderId="7" xfId="0" applyNumberFormat="1" applyFont="1" applyBorder="1" applyAlignment="1">
      <alignment horizontal="right"/>
    </xf>
    <xf numFmtId="0" fontId="3" fillId="0" borderId="11" xfId="0" applyFont="1" applyBorder="1" applyAlignment="1"/>
    <xf numFmtId="166" fontId="1" fillId="4" borderId="11" xfId="1" applyNumberFormat="1" applyFont="1" applyFill="1" applyBorder="1" applyAlignment="1"/>
    <xf numFmtId="44" fontId="1" fillId="4" borderId="12" xfId="1" applyFont="1" applyFill="1" applyBorder="1" applyAlignment="1"/>
    <xf numFmtId="166" fontId="1" fillId="4" borderId="13" xfId="1" applyNumberFormat="1" applyFont="1" applyFill="1" applyBorder="1" applyAlignment="1"/>
    <xf numFmtId="44" fontId="1" fillId="4" borderId="14" xfId="1" applyFont="1" applyFill="1" applyBorder="1" applyAlignment="1"/>
    <xf numFmtId="0" fontId="3" fillId="0" borderId="15" xfId="0" applyFont="1" applyBorder="1" applyAlignment="1"/>
    <xf numFmtId="166" fontId="1" fillId="4" borderId="15" xfId="1" applyNumberFormat="1" applyFont="1" applyFill="1" applyBorder="1" applyAlignment="1"/>
    <xf numFmtId="44" fontId="1" fillId="4" borderId="16" xfId="1" applyFont="1" applyFill="1" applyBorder="1" applyAlignment="1"/>
    <xf numFmtId="9" fontId="1" fillId="2" borderId="33" xfId="0" applyNumberFormat="1" applyFont="1" applyFill="1" applyBorder="1" applyAlignment="1">
      <alignment horizontal="center"/>
    </xf>
    <xf numFmtId="166" fontId="1" fillId="0" borderId="30" xfId="0" applyNumberFormat="1" applyFont="1" applyBorder="1" applyAlignment="1">
      <alignment horizontal="center"/>
    </xf>
    <xf numFmtId="166" fontId="1" fillId="0" borderId="30" xfId="0" applyNumberFormat="1" applyFont="1" applyBorder="1"/>
    <xf numFmtId="0" fontId="1" fillId="0" borderId="20" xfId="0" applyFont="1" applyBorder="1"/>
    <xf numFmtId="166" fontId="1" fillId="0" borderId="20" xfId="0" applyNumberFormat="1" applyFont="1" applyBorder="1" applyAlignment="1">
      <alignment horizontal="center"/>
    </xf>
    <xf numFmtId="9" fontId="1" fillId="2" borderId="4" xfId="0" applyNumberFormat="1" applyFont="1" applyFill="1" applyBorder="1" applyAlignment="1">
      <alignment horizontal="center"/>
    </xf>
    <xf numFmtId="9" fontId="1" fillId="2" borderId="35" xfId="0" applyNumberFormat="1" applyFont="1" applyFill="1" applyBorder="1" applyAlignment="1">
      <alignment horizontal="center"/>
    </xf>
    <xf numFmtId="166" fontId="1" fillId="0" borderId="8" xfId="0" applyNumberFormat="1" applyFont="1" applyBorder="1" applyAlignment="1">
      <alignment horizontal="right"/>
    </xf>
    <xf numFmtId="9" fontId="1" fillId="2" borderId="34" xfId="0" applyNumberFormat="1" applyFont="1" applyFill="1" applyBorder="1" applyAlignment="1">
      <alignment horizontal="center"/>
    </xf>
    <xf numFmtId="166" fontId="1" fillId="0" borderId="23" xfId="0" applyNumberFormat="1" applyFont="1" applyFill="1" applyBorder="1" applyAlignment="1">
      <alignment horizontal="center"/>
    </xf>
    <xf numFmtId="166" fontId="1" fillId="0" borderId="23" xfId="0" applyNumberFormat="1" applyFont="1" applyFill="1" applyBorder="1"/>
    <xf numFmtId="166" fontId="1" fillId="0" borderId="23" xfId="0" applyNumberFormat="1" applyFont="1" applyFill="1" applyBorder="1" applyAlignment="1">
      <alignment horizontal="right"/>
    </xf>
    <xf numFmtId="166" fontId="1" fillId="0" borderId="12" xfId="0" applyNumberFormat="1" applyFont="1" applyFill="1" applyBorder="1"/>
    <xf numFmtId="166" fontId="1" fillId="0" borderId="12" xfId="0" applyNumberFormat="1" applyFont="1" applyFill="1" applyBorder="1" applyAlignment="1">
      <alignment horizontal="center"/>
    </xf>
    <xf numFmtId="9" fontId="1" fillId="2" borderId="36" xfId="0" applyNumberFormat="1" applyFont="1" applyFill="1" applyBorder="1" applyAlignment="1">
      <alignment horizontal="center"/>
    </xf>
    <xf numFmtId="166" fontId="1" fillId="0" borderId="24" xfId="0" applyNumberFormat="1" applyFont="1" applyBorder="1"/>
    <xf numFmtId="166" fontId="1" fillId="0" borderId="24" xfId="0" applyNumberFormat="1" applyFont="1" applyBorder="1" applyAlignment="1">
      <alignment horizontal="right"/>
    </xf>
    <xf numFmtId="168" fontId="1" fillId="0" borderId="8" xfId="0" applyNumberFormat="1" applyFont="1" applyFill="1" applyBorder="1" applyAlignment="1">
      <alignment horizontal="center"/>
    </xf>
    <xf numFmtId="167" fontId="1" fillId="2" borderId="7" xfId="0" applyNumberFormat="1" applyFont="1" applyFill="1" applyBorder="1" applyAlignment="1">
      <alignment horizontal="center"/>
    </xf>
    <xf numFmtId="166" fontId="3" fillId="0" borderId="11" xfId="0" applyNumberFormat="1" applyFont="1" applyBorder="1" applyAlignment="1">
      <alignment horizontal="center"/>
    </xf>
    <xf numFmtId="166" fontId="3" fillId="0" borderId="23" xfId="0" applyNumberFormat="1" applyFont="1" applyBorder="1" applyAlignment="1">
      <alignment horizontal="center"/>
    </xf>
    <xf numFmtId="166" fontId="3" fillId="0" borderId="24" xfId="0" applyNumberFormat="1" applyFont="1" applyBorder="1" applyAlignment="1">
      <alignment horizontal="center"/>
    </xf>
    <xf numFmtId="166" fontId="3" fillId="0" borderId="16" xfId="0" applyNumberFormat="1" applyFont="1" applyBorder="1" applyAlignment="1">
      <alignment horizontal="center"/>
    </xf>
    <xf numFmtId="9" fontId="1" fillId="2" borderId="40" xfId="0" applyNumberFormat="1" applyFont="1" applyFill="1" applyBorder="1" applyAlignment="1">
      <alignment horizontal="center"/>
    </xf>
    <xf numFmtId="166" fontId="3" fillId="0" borderId="15" xfId="0" applyNumberFormat="1" applyFont="1" applyBorder="1" applyAlignment="1">
      <alignment horizontal="center"/>
    </xf>
    <xf numFmtId="9" fontId="1" fillId="0" borderId="14" xfId="0" applyNumberFormat="1" applyFont="1" applyBorder="1" applyAlignment="1">
      <alignment horizontal="center"/>
    </xf>
    <xf numFmtId="166" fontId="1" fillId="0" borderId="14" xfId="0" applyNumberFormat="1" applyFont="1" applyFill="1" applyBorder="1"/>
    <xf numFmtId="0" fontId="1" fillId="0" borderId="15" xfId="0" applyFont="1" applyBorder="1" applyAlignment="1"/>
    <xf numFmtId="9" fontId="1" fillId="0" borderId="16" xfId="0" applyNumberFormat="1" applyFont="1" applyBorder="1" applyAlignment="1"/>
    <xf numFmtId="9" fontId="1" fillId="0" borderId="16" xfId="0" applyNumberFormat="1" applyFont="1" applyBorder="1" applyAlignment="1">
      <alignment horizontal="center"/>
    </xf>
    <xf numFmtId="166" fontId="1" fillId="0" borderId="8" xfId="0" applyNumberFormat="1" applyFont="1" applyBorder="1" applyAlignment="1">
      <alignment vertical="center"/>
    </xf>
    <xf numFmtId="0" fontId="1" fillId="0" borderId="0" xfId="0" applyFont="1" applyAlignment="1">
      <alignment horizontal="center"/>
    </xf>
    <xf numFmtId="10" fontId="3" fillId="3" borderId="12" xfId="0" applyNumberFormat="1" applyFont="1" applyFill="1" applyBorder="1"/>
    <xf numFmtId="166" fontId="1" fillId="0" borderId="13" xfId="0" applyNumberFormat="1" applyFont="1" applyFill="1" applyBorder="1" applyAlignment="1">
      <alignment horizontal="right"/>
    </xf>
    <xf numFmtId="0" fontId="1" fillId="0" borderId="23" xfId="0" applyFont="1" applyBorder="1" applyAlignment="1"/>
    <xf numFmtId="0" fontId="1" fillId="0" borderId="8" xfId="0" applyFont="1" applyBorder="1" applyAlignment="1"/>
    <xf numFmtId="0" fontId="1" fillId="0" borderId="24" xfId="0" applyFont="1" applyBorder="1" applyAlignment="1"/>
    <xf numFmtId="0" fontId="1" fillId="0" borderId="0" xfId="0" applyFont="1" applyAlignment="1">
      <alignment horizontal="left" vertical="top" wrapText="1"/>
    </xf>
    <xf numFmtId="0" fontId="1" fillId="0" borderId="0" xfId="0" applyFont="1" applyAlignment="1">
      <alignment horizontal="left" indent="1"/>
    </xf>
    <xf numFmtId="9" fontId="1" fillId="0" borderId="24" xfId="0" applyNumberFormat="1" applyFont="1" applyBorder="1" applyAlignment="1"/>
    <xf numFmtId="0" fontId="1" fillId="0" borderId="25" xfId="0" applyFont="1" applyBorder="1" applyAlignment="1"/>
    <xf numFmtId="166" fontId="3" fillId="0" borderId="0" xfId="0" applyNumberFormat="1" applyFont="1" applyAlignment="1"/>
    <xf numFmtId="0" fontId="8" fillId="0" borderId="23" xfId="0" applyFont="1" applyBorder="1" applyAlignment="1">
      <alignment horizontal="center" vertical="center"/>
    </xf>
    <xf numFmtId="0" fontId="8" fillId="0" borderId="12" xfId="0" applyFont="1" applyBorder="1" applyAlignment="1">
      <alignment horizontal="center" vertical="center"/>
    </xf>
    <xf numFmtId="0" fontId="4" fillId="0" borderId="13" xfId="0" applyFont="1" applyBorder="1" applyAlignment="1">
      <alignment vertical="center"/>
    </xf>
    <xf numFmtId="0" fontId="1" fillId="0" borderId="8" xfId="0" applyFont="1" applyBorder="1" applyAlignment="1">
      <alignment vertical="center"/>
    </xf>
    <xf numFmtId="0" fontId="1" fillId="0" borderId="13" xfId="0" applyFont="1" applyBorder="1" applyAlignment="1">
      <alignment vertical="center"/>
    </xf>
    <xf numFmtId="10" fontId="1" fillId="0" borderId="14" xfId="0" applyNumberFormat="1" applyFont="1" applyBorder="1" applyAlignment="1">
      <alignment vertical="center"/>
    </xf>
    <xf numFmtId="166" fontId="1" fillId="0" borderId="14" xfId="0" applyNumberFormat="1" applyFont="1" applyBorder="1" applyAlignment="1">
      <alignment vertical="center"/>
    </xf>
    <xf numFmtId="166" fontId="1" fillId="4" borderId="14" xfId="0" applyNumberFormat="1" applyFont="1" applyFill="1" applyBorder="1" applyAlignment="1">
      <alignment vertical="center"/>
    </xf>
    <xf numFmtId="0" fontId="1" fillId="0" borderId="15" xfId="0" applyFont="1" applyBorder="1" applyAlignment="1">
      <alignment vertical="center"/>
    </xf>
    <xf numFmtId="0" fontId="1" fillId="0" borderId="24" xfId="0" applyFont="1" applyBorder="1" applyAlignment="1">
      <alignment vertical="center"/>
    </xf>
    <xf numFmtId="166" fontId="1" fillId="4" borderId="24" xfId="0" applyNumberFormat="1" applyFont="1" applyFill="1" applyBorder="1" applyAlignment="1">
      <alignment vertical="center"/>
    </xf>
    <xf numFmtId="166" fontId="3" fillId="4" borderId="26" xfId="1" applyNumberFormat="1" applyFont="1" applyFill="1" applyBorder="1" applyAlignment="1">
      <alignment horizontal="left"/>
    </xf>
    <xf numFmtId="166" fontId="1" fillId="4" borderId="8" xfId="0" applyNumberFormat="1" applyFont="1" applyFill="1" applyBorder="1" applyAlignment="1">
      <alignment vertical="center"/>
    </xf>
    <xf numFmtId="166" fontId="1" fillId="4" borderId="16" xfId="0" applyNumberFormat="1" applyFont="1" applyFill="1" applyBorder="1" applyAlignment="1">
      <alignment vertical="center"/>
    </xf>
    <xf numFmtId="166" fontId="4" fillId="0" borderId="14" xfId="0" applyNumberFormat="1" applyFont="1" applyFill="1" applyBorder="1"/>
    <xf numFmtId="168" fontId="1" fillId="0" borderId="14" xfId="0" applyNumberFormat="1" applyFont="1" applyFill="1" applyBorder="1" applyAlignment="1">
      <alignment horizontal="center"/>
    </xf>
    <xf numFmtId="168" fontId="1" fillId="0" borderId="13" xfId="0" applyNumberFormat="1" applyFont="1" applyFill="1" applyBorder="1" applyAlignment="1">
      <alignment horizontal="center"/>
    </xf>
    <xf numFmtId="164" fontId="1" fillId="0" borderId="41" xfId="0" applyNumberFormat="1" applyFont="1" applyBorder="1" applyAlignment="1">
      <alignment horizontal="center"/>
    </xf>
    <xf numFmtId="164" fontId="1" fillId="0" borderId="42" xfId="0" applyNumberFormat="1" applyFont="1" applyBorder="1" applyAlignment="1">
      <alignment horizontal="center"/>
    </xf>
    <xf numFmtId="164" fontId="1" fillId="0" borderId="43" xfId="0" applyNumberFormat="1" applyFont="1" applyBorder="1" applyAlignment="1">
      <alignment horizontal="center"/>
    </xf>
    <xf numFmtId="166" fontId="1" fillId="0" borderId="44" xfId="0" applyNumberFormat="1" applyFont="1" applyBorder="1"/>
    <xf numFmtId="166" fontId="4" fillId="0" borderId="44" xfId="0" applyNumberFormat="1" applyFont="1" applyBorder="1"/>
    <xf numFmtId="166" fontId="4" fillId="0" borderId="45" xfId="0" applyNumberFormat="1" applyFont="1" applyBorder="1"/>
    <xf numFmtId="166" fontId="1" fillId="0" borderId="11" xfId="0" applyNumberFormat="1" applyFont="1" applyBorder="1" applyAlignment="1">
      <alignment horizontal="center"/>
    </xf>
    <xf numFmtId="166" fontId="1" fillId="0" borderId="13" xfId="0" applyNumberFormat="1" applyFont="1" applyBorder="1" applyAlignment="1">
      <alignment horizontal="center"/>
    </xf>
    <xf numFmtId="166" fontId="1" fillId="0" borderId="15" xfId="0" applyNumberFormat="1" applyFont="1" applyBorder="1" applyAlignment="1">
      <alignment horizontal="center"/>
    </xf>
    <xf numFmtId="166" fontId="1" fillId="0" borderId="16" xfId="0" applyNumberFormat="1" applyFont="1" applyBorder="1"/>
    <xf numFmtId="0" fontId="3" fillId="0" borderId="8" xfId="0" applyFont="1" applyBorder="1" applyAlignment="1">
      <alignment horizontal="center"/>
    </xf>
    <xf numFmtId="0" fontId="3" fillId="0" borderId="8" xfId="0" applyFont="1" applyBorder="1" applyAlignment="1"/>
    <xf numFmtId="166" fontId="1" fillId="0" borderId="8" xfId="1" applyNumberFormat="1" applyFont="1" applyFill="1" applyBorder="1" applyAlignment="1"/>
    <xf numFmtId="44" fontId="1" fillId="0" borderId="8" xfId="1" applyFont="1" applyFill="1" applyBorder="1" applyAlignment="1"/>
    <xf numFmtId="166" fontId="1" fillId="0" borderId="8" xfId="0" applyNumberFormat="1" applyFont="1" applyFill="1" applyBorder="1" applyAlignment="1">
      <alignment vertical="center"/>
    </xf>
    <xf numFmtId="0" fontId="1" fillId="0" borderId="8" xfId="0" applyFont="1" applyFill="1" applyBorder="1" applyAlignment="1"/>
    <xf numFmtId="166" fontId="3" fillId="0" borderId="8" xfId="1" applyNumberFormat="1" applyFont="1" applyFill="1" applyBorder="1" applyAlignment="1">
      <alignment horizontal="left"/>
    </xf>
    <xf numFmtId="49" fontId="1" fillId="0" borderId="2" xfId="0" applyNumberFormat="1" applyFont="1" applyBorder="1"/>
    <xf numFmtId="0" fontId="3" fillId="0" borderId="1" xfId="0" applyFont="1" applyBorder="1"/>
    <xf numFmtId="49" fontId="3" fillId="0" borderId="3" xfId="0" applyNumberFormat="1" applyFont="1" applyBorder="1"/>
    <xf numFmtId="49" fontId="1" fillId="0" borderId="46" xfId="0" applyNumberFormat="1" applyFont="1" applyBorder="1" applyAlignment="1"/>
    <xf numFmtId="0" fontId="3" fillId="0" borderId="1" xfId="0" applyFont="1" applyBorder="1" applyAlignment="1">
      <alignment horizontal="right"/>
    </xf>
    <xf numFmtId="0" fontId="9" fillId="0" borderId="8" xfId="3" applyNumberFormat="1"/>
    <xf numFmtId="0" fontId="9" fillId="0" borderId="8" xfId="3"/>
    <xf numFmtId="0" fontId="9" fillId="0" borderId="8" xfId="3" applyBorder="1"/>
    <xf numFmtId="0" fontId="10" fillId="5" borderId="8" xfId="3" applyNumberFormat="1" applyFont="1" applyFill="1" applyBorder="1" applyAlignment="1">
      <alignment horizontal="center" vertical="center"/>
    </xf>
    <xf numFmtId="49" fontId="11" fillId="5" borderId="8" xfId="3" applyNumberFormat="1" applyFont="1" applyFill="1" applyBorder="1"/>
    <xf numFmtId="0" fontId="11" fillId="5" borderId="8" xfId="3" applyNumberFormat="1" applyFont="1" applyFill="1" applyBorder="1"/>
    <xf numFmtId="0" fontId="11" fillId="5" borderId="8" xfId="3" applyNumberFormat="1" applyFont="1" applyFill="1" applyBorder="1" applyAlignment="1">
      <alignment horizontal="left"/>
    </xf>
    <xf numFmtId="0" fontId="11" fillId="4" borderId="8" xfId="3" applyNumberFormat="1" applyFont="1" applyFill="1" applyBorder="1"/>
    <xf numFmtId="0" fontId="1" fillId="0" borderId="8" xfId="0" applyFont="1" applyBorder="1" applyAlignment="1"/>
    <xf numFmtId="10" fontId="3" fillId="0" borderId="8" xfId="0" applyNumberFormat="1" applyFont="1" applyFill="1" applyBorder="1"/>
    <xf numFmtId="0" fontId="1" fillId="0" borderId="8" xfId="0" applyFont="1" applyBorder="1" applyAlignment="1"/>
    <xf numFmtId="0" fontId="1" fillId="0" borderId="13" xfId="0" applyFont="1" applyBorder="1" applyAlignment="1">
      <alignment horizontal="left"/>
    </xf>
    <xf numFmtId="9" fontId="1" fillId="0" borderId="8" xfId="2" applyFont="1" applyBorder="1" applyAlignment="1"/>
    <xf numFmtId="0" fontId="3" fillId="0" borderId="23" xfId="0" applyFont="1" applyBorder="1" applyAlignment="1"/>
    <xf numFmtId="166" fontId="1" fillId="0" borderId="23" xfId="1" applyNumberFormat="1" applyFont="1" applyBorder="1" applyAlignment="1"/>
    <xf numFmtId="166" fontId="1" fillId="0" borderId="8" xfId="1" applyNumberFormat="1" applyFont="1" applyBorder="1" applyAlignment="1">
      <alignment horizontal="right"/>
    </xf>
    <xf numFmtId="165" fontId="1" fillId="0" borderId="23" xfId="0" applyNumberFormat="1" applyFont="1" applyFill="1" applyBorder="1" applyAlignment="1">
      <alignment horizontal="center"/>
    </xf>
    <xf numFmtId="0" fontId="3" fillId="2" borderId="27" xfId="0" applyFont="1" applyFill="1" applyBorder="1" applyAlignment="1">
      <alignment horizontal="center"/>
    </xf>
    <xf numFmtId="9" fontId="1" fillId="2" borderId="47" xfId="0" applyNumberFormat="1" applyFont="1" applyFill="1" applyBorder="1" applyAlignment="1">
      <alignment horizontal="center"/>
    </xf>
    <xf numFmtId="165" fontId="3" fillId="2" borderId="13" xfId="0" applyNumberFormat="1" applyFont="1" applyFill="1" applyBorder="1" applyAlignment="1">
      <alignment horizontal="center"/>
    </xf>
    <xf numFmtId="165" fontId="1" fillId="0" borderId="12" xfId="0" applyNumberFormat="1" applyFont="1" applyFill="1" applyBorder="1" applyAlignment="1">
      <alignment horizontal="center"/>
    </xf>
    <xf numFmtId="165" fontId="1" fillId="2" borderId="13" xfId="0" applyNumberFormat="1" applyFont="1" applyFill="1" applyBorder="1" applyAlignment="1">
      <alignment horizontal="center"/>
    </xf>
    <xf numFmtId="0" fontId="3" fillId="2" borderId="47" xfId="0" applyFont="1" applyFill="1" applyBorder="1"/>
    <xf numFmtId="9" fontId="3" fillId="2" borderId="48" xfId="2" applyFont="1" applyFill="1" applyBorder="1" applyAlignment="1">
      <alignment horizontal="center"/>
    </xf>
    <xf numFmtId="0" fontId="3" fillId="2" borderId="48" xfId="0" applyFont="1" applyFill="1" applyBorder="1" applyAlignment="1">
      <alignment horizontal="left"/>
    </xf>
    <xf numFmtId="0" fontId="3" fillId="2" borderId="49" xfId="0" applyFont="1" applyFill="1" applyBorder="1" applyAlignment="1">
      <alignment horizontal="left"/>
    </xf>
    <xf numFmtId="166" fontId="1" fillId="0" borderId="50" xfId="0" applyNumberFormat="1" applyFont="1" applyBorder="1"/>
    <xf numFmtId="166" fontId="4" fillId="0" borderId="51" xfId="0" applyNumberFormat="1" applyFont="1" applyBorder="1"/>
    <xf numFmtId="166" fontId="4" fillId="0" borderId="52" xfId="0" applyNumberFormat="1" applyFont="1" applyBorder="1"/>
    <xf numFmtId="10" fontId="3" fillId="2" borderId="7" xfId="2" applyNumberFormat="1" applyFont="1" applyFill="1" applyBorder="1" applyAlignment="1">
      <alignment horizontal="center"/>
    </xf>
    <xf numFmtId="171" fontId="1" fillId="2" borderId="4" xfId="0" applyNumberFormat="1" applyFont="1" applyFill="1" applyBorder="1" applyAlignment="1">
      <alignment horizontal="center"/>
    </xf>
    <xf numFmtId="9" fontId="1" fillId="2" borderId="7" xfId="2" applyFont="1" applyFill="1" applyBorder="1" applyAlignment="1">
      <alignment horizontal="center"/>
    </xf>
    <xf numFmtId="9" fontId="1" fillId="2" borderId="13" xfId="0" applyNumberFormat="1" applyFont="1" applyFill="1" applyBorder="1" applyAlignment="1">
      <alignment horizontal="center"/>
    </xf>
    <xf numFmtId="0" fontId="3" fillId="2" borderId="7" xfId="0" applyFont="1" applyFill="1" applyBorder="1" applyAlignment="1">
      <alignment horizontal="left"/>
    </xf>
    <xf numFmtId="166" fontId="1" fillId="0" borderId="15" xfId="0" applyNumberFormat="1" applyFont="1" applyBorder="1"/>
    <xf numFmtId="166" fontId="1" fillId="0" borderId="11" xfId="0" applyNumberFormat="1" applyFont="1" applyBorder="1"/>
    <xf numFmtId="166" fontId="1" fillId="0" borderId="23" xfId="1" applyNumberFormat="1" applyFont="1" applyBorder="1" applyAlignment="1">
      <alignment horizontal="center"/>
    </xf>
    <xf numFmtId="166" fontId="1" fillId="0" borderId="12" xfId="1" applyNumberFormat="1" applyFont="1" applyBorder="1" applyAlignment="1">
      <alignment horizontal="center"/>
    </xf>
    <xf numFmtId="166" fontId="1" fillId="0" borderId="13" xfId="0" applyNumberFormat="1" applyFont="1" applyBorder="1"/>
    <xf numFmtId="166" fontId="4" fillId="0" borderId="24" xfId="0" applyNumberFormat="1" applyFont="1" applyBorder="1"/>
    <xf numFmtId="166" fontId="4" fillId="0" borderId="16" xfId="0" applyNumberFormat="1" applyFont="1" applyBorder="1"/>
    <xf numFmtId="10" fontId="1" fillId="2" borderId="35" xfId="0" applyNumberFormat="1" applyFont="1" applyFill="1" applyBorder="1" applyAlignment="1">
      <alignment horizontal="center"/>
    </xf>
    <xf numFmtId="0" fontId="5" fillId="0" borderId="0" xfId="0" applyFont="1" applyAlignment="1"/>
    <xf numFmtId="166" fontId="1" fillId="0" borderId="8" xfId="1" applyNumberFormat="1" applyFont="1" applyBorder="1" applyAlignment="1">
      <alignment vertical="center"/>
    </xf>
    <xf numFmtId="166" fontId="1" fillId="0" borderId="14" xfId="1" applyNumberFormat="1" applyFont="1" applyBorder="1" applyAlignment="1">
      <alignment vertical="center"/>
    </xf>
    <xf numFmtId="172" fontId="1" fillId="0" borderId="8" xfId="2" applyNumberFormat="1" applyFont="1" applyBorder="1" applyAlignment="1">
      <alignment vertical="center"/>
    </xf>
    <xf numFmtId="172" fontId="1" fillId="0" borderId="14" xfId="2" applyNumberFormat="1" applyFont="1" applyBorder="1" applyAlignment="1">
      <alignment vertical="center"/>
    </xf>
    <xf numFmtId="172" fontId="4" fillId="0" borderId="14" xfId="2" applyNumberFormat="1" applyFont="1" applyBorder="1" applyAlignment="1">
      <alignment vertical="center"/>
    </xf>
    <xf numFmtId="0" fontId="3" fillId="0" borderId="0" xfId="0" applyFont="1" applyFill="1" applyAlignment="1"/>
    <xf numFmtId="0" fontId="1" fillId="0" borderId="0" xfId="0" applyFont="1" applyFill="1" applyAlignment="1"/>
    <xf numFmtId="172" fontId="3" fillId="2" borderId="48" xfId="2" applyNumberFormat="1" applyFont="1" applyFill="1" applyBorder="1" applyAlignment="1">
      <alignment horizontal="center"/>
    </xf>
    <xf numFmtId="166" fontId="1" fillId="0" borderId="14" xfId="0" applyNumberFormat="1" applyFont="1" applyBorder="1" applyAlignment="1"/>
    <xf numFmtId="166" fontId="1" fillId="0" borderId="16" xfId="0" applyNumberFormat="1" applyFont="1" applyBorder="1" applyAlignment="1"/>
    <xf numFmtId="166" fontId="1" fillId="0" borderId="11" xfId="0" applyNumberFormat="1" applyFont="1" applyFill="1" applyBorder="1" applyAlignment="1">
      <alignment horizontal="center"/>
    </xf>
    <xf numFmtId="172" fontId="1" fillId="2" borderId="7" xfId="2" applyNumberFormat="1" applyFont="1" applyFill="1" applyBorder="1" applyAlignment="1">
      <alignment horizontal="center"/>
    </xf>
    <xf numFmtId="166" fontId="8" fillId="0" borderId="12" xfId="0" applyNumberFormat="1" applyFont="1" applyBorder="1" applyAlignment="1">
      <alignment horizontal="center"/>
    </xf>
    <xf numFmtId="166" fontId="5" fillId="0" borderId="14" xfId="1" applyNumberFormat="1" applyFont="1" applyBorder="1" applyAlignment="1">
      <alignment horizontal="center"/>
    </xf>
    <xf numFmtId="166" fontId="5" fillId="0" borderId="14" xfId="0" applyNumberFormat="1" applyFont="1" applyBorder="1"/>
    <xf numFmtId="49" fontId="10" fillId="5" borderId="8" xfId="3" applyNumberFormat="1" applyFont="1" applyFill="1" applyBorder="1" applyAlignment="1">
      <alignment horizontal="center" vertical="center"/>
    </xf>
    <xf numFmtId="0" fontId="10" fillId="5" borderId="8" xfId="3" applyNumberFormat="1" applyFont="1" applyFill="1" applyBorder="1" applyAlignment="1">
      <alignment horizontal="center" vertical="center"/>
    </xf>
    <xf numFmtId="49" fontId="11" fillId="5" borderId="8" xfId="3" applyNumberFormat="1" applyFont="1" applyFill="1" applyBorder="1" applyAlignment="1">
      <alignment horizontal="center"/>
    </xf>
    <xf numFmtId="0" fontId="11" fillId="5" borderId="8" xfId="3" applyNumberFormat="1" applyFont="1" applyFill="1" applyBorder="1" applyAlignment="1">
      <alignment horizontal="center"/>
    </xf>
    <xf numFmtId="49" fontId="12" fillId="5" borderId="8" xfId="3" applyNumberFormat="1" applyFont="1" applyFill="1" applyBorder="1" applyAlignment="1">
      <alignment horizontal="left"/>
    </xf>
    <xf numFmtId="0" fontId="12" fillId="5" borderId="8" xfId="3" applyNumberFormat="1" applyFont="1" applyFill="1" applyBorder="1" applyAlignment="1">
      <alignment horizontal="left"/>
    </xf>
    <xf numFmtId="49" fontId="11" fillId="5" borderId="8" xfId="3" applyNumberFormat="1" applyFont="1" applyFill="1" applyBorder="1" applyAlignment="1">
      <alignment horizontal="left"/>
    </xf>
    <xf numFmtId="0" fontId="11" fillId="5" borderId="8" xfId="3" applyNumberFormat="1" applyFont="1" applyFill="1" applyBorder="1" applyAlignment="1">
      <alignment horizontal="left"/>
    </xf>
    <xf numFmtId="49" fontId="13" fillId="6" borderId="8" xfId="3" applyNumberFormat="1" applyFont="1" applyFill="1" applyBorder="1" applyAlignment="1">
      <alignment horizontal="center"/>
    </xf>
    <xf numFmtId="0" fontId="13" fillId="6" borderId="8" xfId="3" applyNumberFormat="1" applyFont="1" applyFill="1" applyBorder="1" applyAlignment="1">
      <alignment horizontal="center"/>
    </xf>
    <xf numFmtId="0" fontId="5" fillId="0" borderId="11" xfId="0" applyFont="1" applyBorder="1" applyAlignment="1">
      <alignment horizontal="center" vertical="top" wrapText="1"/>
    </xf>
    <xf numFmtId="0" fontId="5" fillId="0" borderId="23" xfId="0" applyFont="1" applyBorder="1" applyAlignment="1">
      <alignment horizontal="center" vertical="top" wrapText="1"/>
    </xf>
    <xf numFmtId="0" fontId="5" fillId="0" borderId="12" xfId="0" applyFont="1" applyBorder="1" applyAlignment="1">
      <alignment horizontal="center" vertical="top" wrapText="1"/>
    </xf>
    <xf numFmtId="0" fontId="5" fillId="0" borderId="13" xfId="0" applyFont="1" applyBorder="1" applyAlignment="1">
      <alignment horizontal="center" vertical="top" wrapText="1"/>
    </xf>
    <xf numFmtId="0" fontId="5" fillId="0" borderId="8" xfId="0" applyFont="1" applyBorder="1" applyAlignment="1">
      <alignment horizontal="center" vertical="top" wrapText="1"/>
    </xf>
    <xf numFmtId="0" fontId="5" fillId="0" borderId="14" xfId="0" applyFont="1" applyBorder="1" applyAlignment="1">
      <alignment horizontal="center" vertical="top" wrapText="1"/>
    </xf>
    <xf numFmtId="0" fontId="5" fillId="0" borderId="15" xfId="0" applyFont="1" applyBorder="1" applyAlignment="1">
      <alignment horizontal="center" vertical="top" wrapText="1"/>
    </xf>
    <xf numFmtId="0" fontId="5" fillId="0" borderId="24" xfId="0" applyFont="1" applyBorder="1" applyAlignment="1">
      <alignment horizontal="center" vertical="top" wrapText="1"/>
    </xf>
    <xf numFmtId="0" fontId="5" fillId="0" borderId="16" xfId="0" applyFont="1" applyBorder="1" applyAlignment="1">
      <alignment horizontal="center" vertical="top" wrapText="1"/>
    </xf>
    <xf numFmtId="0" fontId="15" fillId="0" borderId="13" xfId="0" applyFont="1" applyBorder="1" applyAlignment="1">
      <alignment horizontal="left"/>
    </xf>
    <xf numFmtId="0" fontId="15" fillId="0" borderId="8" xfId="0" applyFont="1" applyBorder="1" applyAlignment="1">
      <alignment horizontal="left"/>
    </xf>
    <xf numFmtId="0" fontId="15" fillId="0" borderId="15" xfId="0" applyFont="1" applyBorder="1" applyAlignment="1">
      <alignment horizontal="left"/>
    </xf>
    <xf numFmtId="0" fontId="15" fillId="0" borderId="24" xfId="0" applyFont="1" applyBorder="1" applyAlignment="1">
      <alignment horizontal="left"/>
    </xf>
    <xf numFmtId="0" fontId="3" fillId="0" borderId="13" xfId="0" applyFont="1" applyBorder="1" applyAlignment="1">
      <alignment vertical="top"/>
    </xf>
    <xf numFmtId="0" fontId="5" fillId="0" borderId="8" xfId="0" applyFont="1" applyBorder="1"/>
    <xf numFmtId="0" fontId="1" fillId="0" borderId="8" xfId="0" applyFont="1" applyBorder="1" applyAlignment="1"/>
    <xf numFmtId="0" fontId="3" fillId="0" borderId="15" xfId="0" applyFont="1" applyBorder="1" applyAlignment="1">
      <alignment vertical="top"/>
    </xf>
    <xf numFmtId="0" fontId="5" fillId="0" borderId="24" xfId="0" applyFont="1" applyBorder="1"/>
    <xf numFmtId="0" fontId="3" fillId="0" borderId="25" xfId="0" applyFont="1" applyBorder="1" applyAlignment="1">
      <alignment horizontal="left"/>
    </xf>
    <xf numFmtId="0" fontId="3" fillId="0" borderId="32" xfId="0" applyFont="1" applyBorder="1" applyAlignment="1">
      <alignment horizontal="left"/>
    </xf>
    <xf numFmtId="0" fontId="5" fillId="0" borderId="13" xfId="0" applyFont="1" applyBorder="1" applyAlignment="1">
      <alignment horizontal="left"/>
    </xf>
    <xf numFmtId="0" fontId="5" fillId="0" borderId="8" xfId="0" applyFont="1" applyBorder="1" applyAlignment="1">
      <alignment horizontal="left"/>
    </xf>
    <xf numFmtId="0" fontId="1" fillId="0" borderId="0" xfId="0" applyNumberFormat="1" applyFont="1" applyAlignment="1">
      <alignment horizontal="center" wrapText="1"/>
    </xf>
    <xf numFmtId="49" fontId="1" fillId="0" borderId="0" xfId="0" applyNumberFormat="1" applyFont="1" applyAlignment="1">
      <alignment horizontal="center" wrapText="1"/>
    </xf>
    <xf numFmtId="0" fontId="5" fillId="0" borderId="0" xfId="0" applyFont="1" applyAlignment="1">
      <alignment horizontal="left" vertical="top" wrapText="1"/>
    </xf>
    <xf numFmtId="0" fontId="1" fillId="0" borderId="0" xfId="0" applyFont="1" applyAlignment="1">
      <alignment horizontal="left" vertical="top" wrapText="1"/>
    </xf>
    <xf numFmtId="0" fontId="3" fillId="0" borderId="11" xfId="0" applyFont="1" applyBorder="1" applyAlignment="1">
      <alignment horizontal="left" vertical="top"/>
    </xf>
    <xf numFmtId="0" fontId="5" fillId="0" borderId="23" xfId="0" applyFont="1" applyBorder="1"/>
    <xf numFmtId="0" fontId="4" fillId="0" borderId="13" xfId="0" applyFont="1" applyBorder="1" applyAlignment="1">
      <alignment horizontal="left"/>
    </xf>
    <xf numFmtId="0" fontId="4" fillId="0" borderId="8" xfId="0" applyFont="1" applyBorder="1" applyAlignment="1">
      <alignment horizontal="left"/>
    </xf>
    <xf numFmtId="0" fontId="5" fillId="0" borderId="0" xfId="0" applyFont="1" applyFill="1" applyAlignment="1">
      <alignment horizontal="left" wrapText="1" indent="1"/>
    </xf>
    <xf numFmtId="0" fontId="3" fillId="0" borderId="19" xfId="0" applyFont="1" applyBorder="1" applyAlignment="1">
      <alignment vertical="top"/>
    </xf>
    <xf numFmtId="0" fontId="5" fillId="0" borderId="30" xfId="0" applyFont="1" applyBorder="1"/>
    <xf numFmtId="0" fontId="5" fillId="0" borderId="0" xfId="0" applyFont="1" applyFill="1" applyAlignment="1">
      <alignment horizontal="left" vertical="center" wrapText="1"/>
    </xf>
    <xf numFmtId="0" fontId="1" fillId="0" borderId="0" xfId="0" applyFont="1" applyAlignment="1">
      <alignment horizontal="left"/>
    </xf>
    <xf numFmtId="0" fontId="3" fillId="0" borderId="29" xfId="0" applyFont="1" applyBorder="1" applyAlignment="1">
      <alignment vertical="top"/>
    </xf>
    <xf numFmtId="0" fontId="5" fillId="0" borderId="6" xfId="0" applyFont="1" applyBorder="1"/>
    <xf numFmtId="0" fontId="1" fillId="0" borderId="0" xfId="0" applyFont="1" applyAlignment="1">
      <alignment horizontal="left" vertical="center" wrapText="1" indent="1"/>
    </xf>
    <xf numFmtId="0" fontId="5" fillId="0" borderId="9" xfId="0" applyFont="1" applyBorder="1"/>
    <xf numFmtId="0" fontId="4" fillId="0" borderId="0" xfId="0" applyFont="1" applyAlignment="1">
      <alignment horizontal="left" vertical="center" wrapText="1"/>
    </xf>
    <xf numFmtId="0" fontId="14" fillId="0" borderId="15" xfId="0" applyFont="1" applyBorder="1" applyAlignment="1">
      <alignment horizontal="left" vertical="top"/>
    </xf>
    <xf numFmtId="0" fontId="15" fillId="0" borderId="24" xfId="0" applyFont="1" applyBorder="1" applyAlignment="1"/>
    <xf numFmtId="0" fontId="3" fillId="0" borderId="27" xfId="0" applyFont="1" applyBorder="1" applyAlignment="1">
      <alignment vertical="top"/>
    </xf>
    <xf numFmtId="0" fontId="5" fillId="0" borderId="28" xfId="0" applyFont="1" applyBorder="1"/>
    <xf numFmtId="0" fontId="14" fillId="0" borderId="13" xfId="0" applyFont="1" applyBorder="1" applyAlignment="1">
      <alignment horizontal="left" vertical="top"/>
    </xf>
    <xf numFmtId="0" fontId="15" fillId="0" borderId="8" xfId="0" applyFont="1" applyBorder="1" applyAlignment="1"/>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1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20" xfId="0" applyFont="1" applyBorder="1" applyAlignment="1">
      <alignment horizontal="center" vertical="center"/>
    </xf>
    <xf numFmtId="0" fontId="1" fillId="0" borderId="14" xfId="0" applyFont="1" applyBorder="1" applyAlignment="1">
      <alignment horizontal="center" vertical="center"/>
    </xf>
    <xf numFmtId="0" fontId="1" fillId="0" borderId="18" xfId="0" applyFont="1" applyBorder="1" applyAlignment="1">
      <alignment horizontal="center" vertical="center"/>
    </xf>
    <xf numFmtId="0" fontId="4" fillId="0" borderId="8" xfId="0" applyFont="1" applyBorder="1" applyAlignment="1">
      <alignment horizontal="left" vertical="center" wrapText="1"/>
    </xf>
    <xf numFmtId="49" fontId="1" fillId="0" borderId="1" xfId="0" applyNumberFormat="1" applyFont="1" applyBorder="1" applyAlignment="1">
      <alignment horizontal="center"/>
    </xf>
    <xf numFmtId="0" fontId="5" fillId="0" borderId="3" xfId="0" applyFont="1" applyBorder="1"/>
    <xf numFmtId="0" fontId="6" fillId="0" borderId="5" xfId="0" applyFont="1" applyBorder="1" applyAlignment="1">
      <alignment horizontal="center" vertical="center"/>
    </xf>
    <xf numFmtId="0" fontId="7" fillId="0" borderId="11" xfId="0" applyFont="1" applyBorder="1" applyAlignment="1">
      <alignment horizontal="left" vertical="center"/>
    </xf>
    <xf numFmtId="0" fontId="7" fillId="0" borderId="23" xfId="0" applyFont="1" applyBorder="1" applyAlignment="1">
      <alignment horizontal="left" vertical="center"/>
    </xf>
  </cellXfs>
  <cellStyles count="4">
    <cellStyle name="Monétaire" xfId="1" builtinId="4"/>
    <cellStyle name="Normal" xfId="0" builtinId="0"/>
    <cellStyle name="Normal 2" xfId="3" xr:uid="{407BAF1F-D671-4DD2-A7E4-A5F8B99EC096}"/>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0E31-1D9B-462A-8209-082A0C9F5E49}">
  <dimension ref="A1:IV22"/>
  <sheetViews>
    <sheetView showGridLines="0" topLeftCell="A4" workbookViewId="0">
      <selection activeCell="A13" sqref="A13:M13"/>
    </sheetView>
  </sheetViews>
  <sheetFormatPr baseColWidth="10" defaultColWidth="11.83203125" defaultRowHeight="14.15" customHeight="1" x14ac:dyDescent="0.3"/>
  <cols>
    <col min="1" max="256" width="11.83203125" style="143" customWidth="1"/>
    <col min="257" max="16384" width="11.83203125" style="144"/>
  </cols>
  <sheetData>
    <row r="1" spans="1:16" ht="14.5" customHeight="1" x14ac:dyDescent="0.3">
      <c r="A1" s="201" t="s">
        <v>58</v>
      </c>
      <c r="B1" s="202"/>
      <c r="C1" s="202"/>
      <c r="D1" s="202"/>
      <c r="E1" s="202"/>
      <c r="F1" s="202"/>
      <c r="G1" s="202"/>
      <c r="H1" s="202"/>
      <c r="I1" s="202"/>
      <c r="J1" s="202"/>
      <c r="K1" s="202"/>
      <c r="L1" s="202"/>
      <c r="M1" s="202"/>
      <c r="N1" s="202"/>
      <c r="O1" s="202"/>
      <c r="P1" s="145"/>
    </row>
    <row r="2" spans="1:16" ht="15.65" customHeight="1" x14ac:dyDescent="0.3">
      <c r="A2" s="202"/>
      <c r="B2" s="202"/>
      <c r="C2" s="202"/>
      <c r="D2" s="202"/>
      <c r="E2" s="202"/>
      <c r="F2" s="202"/>
      <c r="G2" s="202"/>
      <c r="H2" s="202"/>
      <c r="I2" s="202"/>
      <c r="J2" s="202"/>
      <c r="K2" s="202"/>
      <c r="L2" s="202"/>
      <c r="M2" s="202"/>
      <c r="N2" s="202"/>
      <c r="O2" s="202"/>
      <c r="P2" s="145"/>
    </row>
    <row r="3" spans="1:16" ht="30" customHeight="1" x14ac:dyDescent="0.3">
      <c r="A3" s="146"/>
      <c r="B3" s="146"/>
      <c r="C3" s="146"/>
      <c r="D3" s="146"/>
      <c r="E3" s="146"/>
      <c r="F3" s="146"/>
      <c r="G3" s="146"/>
      <c r="H3" s="146"/>
      <c r="I3" s="146"/>
      <c r="J3" s="146"/>
      <c r="K3" s="146"/>
      <c r="L3" s="146"/>
      <c r="M3" s="146"/>
      <c r="N3" s="146"/>
      <c r="O3" s="146"/>
      <c r="P3" s="145"/>
    </row>
    <row r="4" spans="1:16" ht="30" customHeight="1" x14ac:dyDescent="0.3">
      <c r="A4" s="201" t="s">
        <v>59</v>
      </c>
      <c r="B4" s="202"/>
      <c r="C4" s="202"/>
      <c r="D4" s="202"/>
      <c r="E4" s="202"/>
      <c r="F4" s="202"/>
      <c r="G4" s="202"/>
      <c r="H4" s="202"/>
      <c r="I4" s="202"/>
      <c r="J4" s="202"/>
      <c r="K4" s="202"/>
      <c r="L4" s="202"/>
      <c r="M4" s="202"/>
      <c r="N4" s="202"/>
      <c r="O4" s="202"/>
      <c r="P4" s="145"/>
    </row>
    <row r="5" spans="1:16" ht="14.5" customHeight="1" x14ac:dyDescent="0.3">
      <c r="A5" s="145"/>
      <c r="B5" s="145"/>
      <c r="C5" s="145"/>
      <c r="D5" s="145"/>
      <c r="E5" s="145"/>
      <c r="F5" s="145"/>
      <c r="G5" s="145"/>
      <c r="H5" s="145"/>
      <c r="I5" s="145"/>
      <c r="J5" s="145"/>
      <c r="K5" s="145"/>
      <c r="L5" s="145"/>
      <c r="M5" s="145"/>
      <c r="N5" s="145"/>
      <c r="O5" s="145"/>
      <c r="P5" s="145"/>
    </row>
    <row r="6" spans="1:16" ht="16" customHeight="1" x14ac:dyDescent="0.35">
      <c r="A6" s="147" t="s">
        <v>60</v>
      </c>
      <c r="B6" s="148"/>
      <c r="C6" s="148"/>
      <c r="D6" s="148"/>
      <c r="E6" s="148"/>
      <c r="F6" s="148"/>
      <c r="G6" s="148"/>
      <c r="H6" s="148"/>
      <c r="I6" s="148"/>
      <c r="J6" s="148"/>
      <c r="K6" s="145"/>
      <c r="L6" s="145"/>
      <c r="M6" s="145"/>
      <c r="N6" s="145"/>
      <c r="O6" s="145"/>
      <c r="P6" s="145"/>
    </row>
    <row r="7" spans="1:16" ht="16" customHeight="1" x14ac:dyDescent="0.35">
      <c r="A7" s="147" t="s">
        <v>61</v>
      </c>
      <c r="B7" s="148"/>
      <c r="C7" s="148"/>
      <c r="D7" s="148"/>
      <c r="E7" s="148"/>
      <c r="F7" s="148"/>
      <c r="G7" s="148"/>
      <c r="H7" s="148"/>
      <c r="I7" s="148"/>
      <c r="J7" s="148"/>
      <c r="K7" s="145"/>
      <c r="L7" s="145"/>
      <c r="M7" s="145"/>
      <c r="N7" s="145"/>
      <c r="O7" s="145"/>
      <c r="P7" s="145"/>
    </row>
    <row r="8" spans="1:16" ht="14.5" customHeight="1" x14ac:dyDescent="0.3">
      <c r="A8" s="145"/>
      <c r="B8" s="145"/>
      <c r="C8" s="145"/>
      <c r="D8" s="145"/>
      <c r="E8" s="145"/>
      <c r="F8" s="145"/>
      <c r="G8" s="145"/>
      <c r="H8" s="145"/>
      <c r="I8" s="145"/>
      <c r="J8" s="145"/>
      <c r="K8" s="145"/>
      <c r="L8" s="145"/>
      <c r="M8" s="145"/>
      <c r="N8" s="145"/>
      <c r="O8" s="145"/>
      <c r="P8" s="145"/>
    </row>
    <row r="9" spans="1:16" ht="16" customHeight="1" x14ac:dyDescent="0.35">
      <c r="A9" s="205" t="s">
        <v>71</v>
      </c>
      <c r="B9" s="206"/>
      <c r="C9" s="206"/>
      <c r="D9" s="148"/>
      <c r="E9" s="148"/>
      <c r="F9" s="148"/>
      <c r="G9" s="148"/>
      <c r="H9" s="148"/>
      <c r="I9" s="148"/>
      <c r="J9" s="148"/>
      <c r="K9" s="148"/>
      <c r="L9" s="145"/>
      <c r="M9" s="145"/>
      <c r="N9" s="145"/>
      <c r="O9" s="145"/>
      <c r="P9" s="145"/>
    </row>
    <row r="10" spans="1:16" ht="16" customHeight="1" x14ac:dyDescent="0.35">
      <c r="A10" s="207" t="s">
        <v>62</v>
      </c>
      <c r="B10" s="208"/>
      <c r="C10" s="208"/>
      <c r="D10" s="208"/>
      <c r="E10" s="208"/>
      <c r="F10" s="208"/>
      <c r="G10" s="208"/>
      <c r="H10" s="208"/>
      <c r="I10" s="208"/>
      <c r="J10" s="208"/>
      <c r="K10" s="208"/>
      <c r="L10" s="208"/>
      <c r="M10" s="208"/>
      <c r="N10" s="145"/>
      <c r="O10" s="145"/>
      <c r="P10" s="145"/>
    </row>
    <row r="11" spans="1:16" ht="16" customHeight="1" x14ac:dyDescent="0.35">
      <c r="A11" s="207" t="s">
        <v>63</v>
      </c>
      <c r="B11" s="208"/>
      <c r="C11" s="208"/>
      <c r="D11" s="208"/>
      <c r="E11" s="208"/>
      <c r="F11" s="150"/>
      <c r="G11" s="148"/>
      <c r="H11" s="148"/>
      <c r="I11" s="148"/>
      <c r="J11" s="148"/>
      <c r="K11" s="148"/>
      <c r="L11" s="145"/>
      <c r="M11" s="145"/>
      <c r="N11" s="145"/>
      <c r="O11" s="145"/>
      <c r="P11" s="145"/>
    </row>
    <row r="12" spans="1:16" ht="16" customHeight="1" x14ac:dyDescent="0.35">
      <c r="A12" s="207" t="s">
        <v>64</v>
      </c>
      <c r="B12" s="208"/>
      <c r="C12" s="208"/>
      <c r="D12" s="208"/>
      <c r="E12" s="208"/>
      <c r="F12" s="208"/>
      <c r="G12" s="208"/>
      <c r="H12" s="208"/>
      <c r="I12" s="208"/>
      <c r="J12" s="208"/>
      <c r="K12" s="208"/>
      <c r="L12" s="208"/>
      <c r="M12" s="208"/>
      <c r="N12" s="145"/>
      <c r="O12" s="145"/>
      <c r="P12" s="145"/>
    </row>
    <row r="13" spans="1:16" ht="16" customHeight="1" x14ac:dyDescent="0.35">
      <c r="A13" s="207" t="s">
        <v>65</v>
      </c>
      <c r="B13" s="208"/>
      <c r="C13" s="208"/>
      <c r="D13" s="208"/>
      <c r="E13" s="208"/>
      <c r="F13" s="208"/>
      <c r="G13" s="208"/>
      <c r="H13" s="208"/>
      <c r="I13" s="208"/>
      <c r="J13" s="208"/>
      <c r="K13" s="208"/>
      <c r="L13" s="208"/>
      <c r="M13" s="208"/>
      <c r="N13" s="145"/>
      <c r="O13" s="145"/>
      <c r="P13" s="145"/>
    </row>
    <row r="14" spans="1:16" ht="16" customHeight="1" x14ac:dyDescent="0.35">
      <c r="A14" s="207" t="s">
        <v>66</v>
      </c>
      <c r="B14" s="208"/>
      <c r="C14" s="208"/>
      <c r="D14" s="208"/>
      <c r="E14" s="208"/>
      <c r="F14" s="208"/>
      <c r="G14" s="208"/>
      <c r="H14" s="208"/>
      <c r="I14" s="208"/>
      <c r="J14" s="208"/>
      <c r="K14" s="208"/>
      <c r="L14" s="208"/>
      <c r="M14" s="208"/>
      <c r="N14" s="145"/>
      <c r="O14" s="145"/>
      <c r="P14" s="145"/>
    </row>
    <row r="15" spans="1:16" ht="16" customHeight="1" x14ac:dyDescent="0.35">
      <c r="A15" s="207" t="s">
        <v>67</v>
      </c>
      <c r="B15" s="208"/>
      <c r="C15" s="208"/>
      <c r="D15" s="208"/>
      <c r="E15" s="208"/>
      <c r="F15" s="208"/>
      <c r="G15" s="208"/>
      <c r="H15" s="208"/>
      <c r="I15" s="208"/>
      <c r="J15" s="208"/>
      <c r="K15" s="208"/>
      <c r="L15" s="208"/>
      <c r="M15" s="208"/>
      <c r="N15" s="145"/>
      <c r="O15" s="145"/>
      <c r="P15" s="145"/>
    </row>
    <row r="16" spans="1:16" ht="16" customHeight="1" x14ac:dyDescent="0.35">
      <c r="A16" s="207" t="s">
        <v>68</v>
      </c>
      <c r="B16" s="208"/>
      <c r="C16" s="208"/>
      <c r="D16" s="208"/>
      <c r="E16" s="208"/>
      <c r="F16" s="208"/>
      <c r="G16" s="208"/>
      <c r="H16" s="208"/>
      <c r="I16" s="208"/>
      <c r="J16" s="208"/>
      <c r="K16" s="208"/>
      <c r="L16" s="208"/>
      <c r="M16" s="208"/>
      <c r="N16" s="145"/>
      <c r="O16" s="145"/>
      <c r="P16" s="145"/>
    </row>
    <row r="17" spans="1:16" ht="16" customHeight="1" x14ac:dyDescent="0.35">
      <c r="A17" s="149"/>
      <c r="B17" s="149"/>
      <c r="C17" s="149"/>
      <c r="D17" s="149"/>
      <c r="E17" s="149"/>
      <c r="F17" s="149"/>
      <c r="G17" s="149"/>
      <c r="H17" s="149"/>
      <c r="I17" s="149"/>
      <c r="J17" s="149"/>
      <c r="K17" s="149"/>
      <c r="L17" s="149"/>
      <c r="M17" s="149"/>
      <c r="N17" s="145"/>
      <c r="O17" s="145"/>
      <c r="P17" s="145"/>
    </row>
    <row r="18" spans="1:16" ht="16" customHeight="1" x14ac:dyDescent="0.35">
      <c r="A18" s="205" t="s">
        <v>72</v>
      </c>
      <c r="B18" s="206"/>
      <c r="C18" s="206"/>
      <c r="D18" s="206"/>
      <c r="E18" s="206"/>
      <c r="F18" s="206"/>
      <c r="G18" s="206"/>
      <c r="H18" s="206"/>
      <c r="I18" s="206"/>
      <c r="J18" s="206"/>
      <c r="K18" s="206"/>
      <c r="L18" s="206"/>
      <c r="M18" s="206"/>
      <c r="N18" s="145"/>
      <c r="O18" s="145"/>
      <c r="P18" s="145"/>
    </row>
    <row r="19" spans="1:16" ht="16" customHeight="1" x14ac:dyDescent="0.35">
      <c r="A19" s="148"/>
      <c r="B19" s="148"/>
      <c r="C19" s="148"/>
      <c r="D19" s="148"/>
      <c r="E19" s="148"/>
      <c r="F19" s="148"/>
      <c r="G19" s="148"/>
      <c r="H19" s="148"/>
      <c r="I19" s="148"/>
      <c r="J19" s="148"/>
      <c r="K19" s="148"/>
      <c r="L19" s="145"/>
      <c r="M19" s="145"/>
      <c r="N19" s="145"/>
      <c r="O19" s="145"/>
      <c r="P19" s="145"/>
    </row>
    <row r="20" spans="1:16" ht="16" customHeight="1" x14ac:dyDescent="0.35">
      <c r="A20" s="209" t="s">
        <v>69</v>
      </c>
      <c r="B20" s="210"/>
      <c r="C20" s="210"/>
      <c r="D20" s="210"/>
      <c r="E20" s="210"/>
      <c r="F20" s="210"/>
      <c r="G20" s="148"/>
      <c r="H20" s="148"/>
      <c r="I20" s="148"/>
      <c r="J20" s="148"/>
      <c r="K20" s="148"/>
      <c r="L20" s="145"/>
      <c r="M20" s="145"/>
      <c r="N20" s="145"/>
      <c r="O20" s="145"/>
      <c r="P20" s="145"/>
    </row>
    <row r="21" spans="1:16" ht="16" customHeight="1" x14ac:dyDescent="0.35">
      <c r="A21" s="148"/>
      <c r="B21" s="148"/>
      <c r="C21" s="148"/>
      <c r="D21" s="148"/>
      <c r="E21" s="148"/>
      <c r="F21" s="148"/>
      <c r="G21" s="148"/>
      <c r="H21" s="148"/>
      <c r="I21" s="148"/>
      <c r="J21" s="148"/>
      <c r="K21" s="148"/>
      <c r="L21" s="145"/>
      <c r="M21" s="145"/>
      <c r="N21" s="145"/>
      <c r="O21" s="145"/>
      <c r="P21" s="145"/>
    </row>
    <row r="22" spans="1:16" ht="16" customHeight="1" x14ac:dyDescent="0.35">
      <c r="A22" s="203" t="s">
        <v>70</v>
      </c>
      <c r="B22" s="204"/>
      <c r="C22" s="204"/>
      <c r="D22" s="148"/>
      <c r="E22" s="148"/>
      <c r="F22" s="148"/>
      <c r="G22" s="148"/>
      <c r="H22" s="148"/>
      <c r="I22" s="148"/>
      <c r="J22" s="148"/>
      <c r="K22" s="148"/>
      <c r="L22" s="145"/>
      <c r="M22" s="145"/>
      <c r="N22" s="145"/>
      <c r="O22" s="145"/>
      <c r="P22" s="145"/>
    </row>
  </sheetData>
  <mergeCells count="13">
    <mergeCell ref="A1:O2"/>
    <mergeCell ref="A4:O4"/>
    <mergeCell ref="A22:C22"/>
    <mergeCell ref="A9:C9"/>
    <mergeCell ref="A10:M10"/>
    <mergeCell ref="A11:E11"/>
    <mergeCell ref="A12:M12"/>
    <mergeCell ref="A13:M13"/>
    <mergeCell ref="A14:M14"/>
    <mergeCell ref="A15:M15"/>
    <mergeCell ref="A16:M16"/>
    <mergeCell ref="A18:M18"/>
    <mergeCell ref="A20:F20"/>
  </mergeCells>
  <pageMargins left="0.7" right="0.7" top="0.75" bottom="0.75" header="0.3" footer="0.3"/>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9CB93-3947-4273-87BD-879555FCBE8F}">
  <dimension ref="A1:Y96"/>
  <sheetViews>
    <sheetView tabSelected="1" topLeftCell="A42" zoomScale="57" zoomScaleNormal="70" workbookViewId="0">
      <selection activeCell="K87" sqref="K87:V89"/>
    </sheetView>
  </sheetViews>
  <sheetFormatPr baseColWidth="10" defaultColWidth="10.75" defaultRowHeight="15.5" x14ac:dyDescent="0.35"/>
  <cols>
    <col min="1" max="2" width="10.75" style="4"/>
    <col min="3" max="3" width="11" style="4" bestFit="1" customWidth="1"/>
    <col min="4" max="4" width="12.33203125" style="4" customWidth="1"/>
    <col min="5" max="5" width="11" style="4" bestFit="1" customWidth="1"/>
    <col min="6" max="6" width="11.75" style="4" customWidth="1"/>
    <col min="7" max="7" width="10.75" style="4"/>
    <col min="8" max="8" width="12.5" style="4" customWidth="1"/>
    <col min="9" max="10" width="10.75" style="4"/>
    <col min="11" max="11" width="21.08203125" style="4" customWidth="1"/>
    <col min="12" max="12" width="13.5" style="4" customWidth="1"/>
    <col min="13" max="13" width="21" style="4" customWidth="1"/>
    <col min="14" max="14" width="13" style="4" customWidth="1"/>
    <col min="15" max="15" width="12.5" style="4" bestFit="1" customWidth="1"/>
    <col min="16" max="16" width="20.75" style="4" bestFit="1" customWidth="1"/>
    <col min="17" max="17" width="12" style="4" bestFit="1" customWidth="1"/>
    <col min="18" max="18" width="15.33203125" style="4" bestFit="1" customWidth="1"/>
    <col min="19" max="19" width="13" style="4" bestFit="1" customWidth="1"/>
    <col min="20" max="20" width="10.75" style="4" customWidth="1"/>
    <col min="21" max="21" width="12" style="4" customWidth="1"/>
    <col min="22" max="22" width="12.33203125" style="4" bestFit="1" customWidth="1"/>
    <col min="23" max="23" width="11" style="4" bestFit="1" customWidth="1"/>
    <col min="24" max="16384" width="10.75" style="4"/>
  </cols>
  <sheetData>
    <row r="1" spans="2:25" x14ac:dyDescent="0.35">
      <c r="B1" s="5" t="s">
        <v>0</v>
      </c>
      <c r="C1" s="6" t="s">
        <v>73</v>
      </c>
      <c r="D1" s="7" t="s">
        <v>3</v>
      </c>
      <c r="E1" s="266" t="s">
        <v>74</v>
      </c>
      <c r="F1" s="267"/>
      <c r="G1" s="8" t="s">
        <v>4</v>
      </c>
      <c r="H1" s="9">
        <v>1949062</v>
      </c>
      <c r="I1" s="10" t="s">
        <v>5</v>
      </c>
      <c r="J1" s="10">
        <v>3</v>
      </c>
    </row>
    <row r="2" spans="2:25" ht="16" thickBot="1" x14ac:dyDescent="0.4">
      <c r="B2" s="268" t="s">
        <v>53</v>
      </c>
      <c r="C2" s="268"/>
      <c r="D2" s="268"/>
      <c r="E2" s="268"/>
      <c r="F2" s="268"/>
      <c r="G2" s="268" t="s">
        <v>45</v>
      </c>
      <c r="H2" s="268"/>
      <c r="I2" s="11"/>
      <c r="K2" s="3" t="s">
        <v>51</v>
      </c>
      <c r="R2" s="103" t="s">
        <v>50</v>
      </c>
    </row>
    <row r="3" spans="2:25" ht="16" customHeight="1" x14ac:dyDescent="0.35">
      <c r="B3" s="250" t="s">
        <v>34</v>
      </c>
      <c r="C3" s="250"/>
      <c r="D3" s="250"/>
      <c r="E3" s="250"/>
      <c r="F3" s="250"/>
      <c r="G3" s="250"/>
      <c r="H3" s="250"/>
      <c r="K3" s="54" t="s">
        <v>76</v>
      </c>
      <c r="L3" s="96"/>
      <c r="M3" s="156" t="s">
        <v>84</v>
      </c>
      <c r="N3" s="157">
        <f>1263000</f>
        <v>1263000</v>
      </c>
      <c r="O3" s="96"/>
      <c r="P3" s="13"/>
      <c r="R3" s="269" t="s">
        <v>24</v>
      </c>
      <c r="S3" s="270"/>
      <c r="T3" s="104" t="s">
        <v>11</v>
      </c>
      <c r="U3" s="105" t="s">
        <v>25</v>
      </c>
      <c r="W3" s="191"/>
      <c r="X3" s="192"/>
      <c r="Y3" s="192"/>
    </row>
    <row r="4" spans="2:25" ht="14.15" customHeight="1" x14ac:dyDescent="0.35">
      <c r="B4" s="250"/>
      <c r="C4" s="250"/>
      <c r="D4" s="250"/>
      <c r="E4" s="250"/>
      <c r="F4" s="250"/>
      <c r="G4" s="250"/>
      <c r="H4" s="250"/>
      <c r="K4" s="21" t="s">
        <v>75</v>
      </c>
      <c r="L4" s="22">
        <f>275000</f>
        <v>275000</v>
      </c>
      <c r="M4" s="132" t="s">
        <v>85</v>
      </c>
      <c r="N4" s="22">
        <f>4750</f>
        <v>4750</v>
      </c>
      <c r="O4" s="22"/>
      <c r="P4" s="23"/>
      <c r="R4" s="106"/>
      <c r="S4" s="107" t="s">
        <v>99</v>
      </c>
      <c r="T4" s="188">
        <f>4%</f>
        <v>0.04</v>
      </c>
      <c r="U4" s="190">
        <f>20%</f>
        <v>0.2</v>
      </c>
    </row>
    <row r="5" spans="2:25" ht="14.15" customHeight="1" x14ac:dyDescent="0.35">
      <c r="B5" s="250"/>
      <c r="C5" s="250"/>
      <c r="D5" s="250"/>
      <c r="E5" s="250"/>
      <c r="F5" s="250"/>
      <c r="G5" s="250"/>
      <c r="H5" s="250"/>
      <c r="K5" s="21" t="s">
        <v>83</v>
      </c>
      <c r="L5" s="22">
        <f>30000</f>
        <v>30000</v>
      </c>
      <c r="M5" s="132" t="s">
        <v>86</v>
      </c>
      <c r="N5" s="22">
        <f>24500</f>
        <v>24500</v>
      </c>
      <c r="O5" s="22"/>
      <c r="P5" s="23"/>
      <c r="R5" s="108"/>
      <c r="S5" s="107" t="s">
        <v>98</v>
      </c>
      <c r="T5" s="188">
        <f>22.6%</f>
        <v>0.22600000000000001</v>
      </c>
      <c r="U5" s="189">
        <f>22.6%</f>
        <v>0.22600000000000001</v>
      </c>
    </row>
    <row r="6" spans="2:25" ht="14.15" customHeight="1" x14ac:dyDescent="0.35">
      <c r="B6" s="250"/>
      <c r="C6" s="250"/>
      <c r="D6" s="250"/>
      <c r="E6" s="250"/>
      <c r="F6" s="250"/>
      <c r="G6" s="250"/>
      <c r="H6" s="250"/>
      <c r="K6" s="21" t="s">
        <v>77</v>
      </c>
      <c r="L6" s="22">
        <f>(L4-L5)/20</f>
        <v>12250</v>
      </c>
      <c r="M6" s="132" t="s">
        <v>87</v>
      </c>
      <c r="N6" s="158">
        <f>220000</f>
        <v>220000</v>
      </c>
      <c r="O6" s="33"/>
      <c r="P6" s="34"/>
      <c r="R6" s="108"/>
      <c r="S6" s="107" t="s">
        <v>100</v>
      </c>
      <c r="T6" s="188">
        <f>8.5%</f>
        <v>8.5000000000000006E-2</v>
      </c>
      <c r="U6" s="109">
        <f>8.5%</f>
        <v>8.5000000000000006E-2</v>
      </c>
    </row>
    <row r="7" spans="2:25" ht="14.15" customHeight="1" x14ac:dyDescent="0.35">
      <c r="B7" s="250"/>
      <c r="C7" s="250"/>
      <c r="D7" s="250"/>
      <c r="E7" s="250"/>
      <c r="F7" s="250"/>
      <c r="G7" s="250"/>
      <c r="H7" s="250"/>
      <c r="K7" s="154" t="s">
        <v>78</v>
      </c>
      <c r="L7" s="38">
        <f>L4-L6*8</f>
        <v>177000</v>
      </c>
      <c r="M7" s="132" t="s">
        <v>88</v>
      </c>
      <c r="N7" s="97">
        <f>2%</f>
        <v>0.02</v>
      </c>
      <c r="O7" s="97"/>
      <c r="P7" s="34"/>
      <c r="Q7" s="97"/>
      <c r="R7" s="108"/>
      <c r="S7" s="107" t="s">
        <v>96</v>
      </c>
      <c r="T7" s="186">
        <f>O11*(1-(M23/2))*((1-M23)^(8-1))</f>
        <v>387870.94095813518</v>
      </c>
      <c r="U7" s="187">
        <f>O10*(1-(M22/2))*((1-M22)^(8-1))</f>
        <v>51904.512000000039</v>
      </c>
    </row>
    <row r="8" spans="2:25" ht="14.15" customHeight="1" thickBot="1" x14ac:dyDescent="0.4">
      <c r="B8" s="250"/>
      <c r="C8" s="250"/>
      <c r="D8" s="250"/>
      <c r="E8" s="250"/>
      <c r="F8" s="250"/>
      <c r="G8" s="250"/>
      <c r="H8" s="250"/>
      <c r="K8" s="21"/>
      <c r="L8" s="38"/>
      <c r="M8" s="132" t="s">
        <v>89</v>
      </c>
      <c r="N8" s="38">
        <f>O12*(1+N7)^8</f>
        <v>896964.94970389677</v>
      </c>
      <c r="O8" s="38"/>
      <c r="P8" s="34"/>
      <c r="Q8" s="97"/>
      <c r="R8" s="108"/>
      <c r="S8" s="107" t="s">
        <v>97</v>
      </c>
      <c r="T8" s="92">
        <f>MIN(O11:P11)</f>
        <v>220000</v>
      </c>
      <c r="U8" s="110">
        <f>MIN(O10:P10)</f>
        <v>177000</v>
      </c>
    </row>
    <row r="9" spans="2:25" ht="16" thickBot="1" x14ac:dyDescent="0.4">
      <c r="B9" s="250"/>
      <c r="C9" s="250"/>
      <c r="D9" s="250"/>
      <c r="E9" s="250"/>
      <c r="F9" s="250"/>
      <c r="G9" s="250"/>
      <c r="H9" s="250"/>
      <c r="K9" s="44" t="s">
        <v>79</v>
      </c>
      <c r="L9" s="22">
        <f>430000</f>
        <v>430000</v>
      </c>
      <c r="M9" s="97"/>
      <c r="N9" s="102"/>
      <c r="O9" s="51" t="s">
        <v>22</v>
      </c>
      <c r="P9" s="52" t="s">
        <v>16</v>
      </c>
      <c r="Q9" s="97"/>
      <c r="R9" s="108"/>
      <c r="S9" s="107"/>
      <c r="T9" s="92"/>
      <c r="U9" s="110"/>
    </row>
    <row r="10" spans="2:25" x14ac:dyDescent="0.35">
      <c r="B10" s="250"/>
      <c r="C10" s="250"/>
      <c r="D10" s="250"/>
      <c r="E10" s="250"/>
      <c r="F10" s="250"/>
      <c r="G10" s="250"/>
      <c r="H10" s="250"/>
      <c r="K10" s="44" t="s">
        <v>80</v>
      </c>
      <c r="L10" s="22">
        <f>625000</f>
        <v>625000</v>
      </c>
      <c r="M10" s="45"/>
      <c r="N10" s="54" t="s">
        <v>10</v>
      </c>
      <c r="O10" s="55">
        <f>L4</f>
        <v>275000</v>
      </c>
      <c r="P10" s="56">
        <f>L7</f>
        <v>177000</v>
      </c>
      <c r="Q10" s="97"/>
      <c r="R10" s="108"/>
      <c r="S10" s="107"/>
      <c r="T10" s="92"/>
      <c r="U10" s="110"/>
    </row>
    <row r="11" spans="2:25" ht="16" customHeight="1" x14ac:dyDescent="0.35">
      <c r="B11" s="250" t="s">
        <v>35</v>
      </c>
      <c r="C11" s="250"/>
      <c r="D11" s="250"/>
      <c r="E11" s="250"/>
      <c r="F11" s="250"/>
      <c r="G11" s="250"/>
      <c r="H11" s="250"/>
      <c r="K11" s="44" t="s">
        <v>81</v>
      </c>
      <c r="L11" s="155">
        <f>L9/(L9+L10)</f>
        <v>0.40758293838862558</v>
      </c>
      <c r="N11" s="44" t="s">
        <v>11</v>
      </c>
      <c r="O11" s="57">
        <f>L11*(N3+N4+N5)</f>
        <v>526699.05213270138</v>
      </c>
      <c r="P11" s="58">
        <f>N6</f>
        <v>220000</v>
      </c>
      <c r="Q11" s="97"/>
      <c r="R11" s="108" t="s">
        <v>26</v>
      </c>
      <c r="S11" s="107"/>
      <c r="T11" s="116">
        <f>(T7-T8)*T5</f>
        <v>37938.832656538551</v>
      </c>
      <c r="U11" s="111">
        <f>(U7-U8)*U5</f>
        <v>-28271.58028799999</v>
      </c>
    </row>
    <row r="12" spans="2:25" ht="16" thickBot="1" x14ac:dyDescent="0.4">
      <c r="B12" s="250"/>
      <c r="C12" s="250"/>
      <c r="D12" s="250"/>
      <c r="E12" s="250"/>
      <c r="F12" s="250"/>
      <c r="G12" s="250"/>
      <c r="H12" s="250"/>
      <c r="K12" s="59" t="s">
        <v>82</v>
      </c>
      <c r="L12" s="101">
        <f>L10/(L9+L10)</f>
        <v>0.59241706161137442</v>
      </c>
      <c r="M12" s="98"/>
      <c r="N12" s="59" t="s">
        <v>12</v>
      </c>
      <c r="O12" s="60">
        <f>L12*(N3+N4+N5)</f>
        <v>765550.94786729862</v>
      </c>
      <c r="P12" s="61">
        <f>N8</f>
        <v>896964.94970389677</v>
      </c>
      <c r="Q12" s="97"/>
      <c r="R12" s="112" t="s">
        <v>27</v>
      </c>
      <c r="S12" s="113"/>
      <c r="T12" s="114">
        <f>(T7-T8)*((T5*T4)/(T6+T4))</f>
        <v>12140.426450092338</v>
      </c>
      <c r="U12" s="117">
        <f>(U7-U8)*((U5*U4)/(U6+U4))</f>
        <v>-19839.705465263152</v>
      </c>
    </row>
    <row r="13" spans="2:25" x14ac:dyDescent="0.35">
      <c r="B13" s="250"/>
      <c r="C13" s="250"/>
      <c r="D13" s="250"/>
      <c r="E13" s="250"/>
      <c r="F13" s="250"/>
      <c r="G13" s="250"/>
      <c r="H13" s="250"/>
    </row>
    <row r="14" spans="2:25" ht="16" thickBot="1" x14ac:dyDescent="0.4">
      <c r="B14" s="250"/>
      <c r="C14" s="250"/>
      <c r="D14" s="250"/>
      <c r="E14" s="250"/>
      <c r="F14" s="250"/>
      <c r="G14" s="250"/>
      <c r="H14" s="250"/>
      <c r="K14" s="3" t="s">
        <v>49</v>
      </c>
    </row>
    <row r="15" spans="2:25" ht="16" thickBot="1" x14ac:dyDescent="0.4">
      <c r="B15" s="250"/>
      <c r="C15" s="250"/>
      <c r="D15" s="250"/>
      <c r="E15" s="250"/>
      <c r="F15" s="250"/>
      <c r="G15" s="250"/>
      <c r="H15" s="250"/>
      <c r="K15" s="253" t="s">
        <v>1</v>
      </c>
      <c r="L15" s="254"/>
      <c r="M15" s="160" t="s">
        <v>52</v>
      </c>
      <c r="N15" s="15">
        <v>0</v>
      </c>
      <c r="O15" s="16">
        <v>1</v>
      </c>
      <c r="P15" s="16">
        <v>2</v>
      </c>
      <c r="Q15" s="16">
        <v>3</v>
      </c>
      <c r="R15" s="16">
        <v>4</v>
      </c>
      <c r="S15" s="16">
        <v>5</v>
      </c>
      <c r="T15" s="16">
        <v>6</v>
      </c>
      <c r="U15" s="16">
        <v>7</v>
      </c>
      <c r="V15" s="17">
        <v>8</v>
      </c>
    </row>
    <row r="16" spans="2:25" ht="16" thickBot="1" x14ac:dyDescent="0.4">
      <c r="B16" s="250"/>
      <c r="C16" s="250"/>
      <c r="D16" s="250"/>
      <c r="E16" s="250"/>
      <c r="F16" s="250"/>
      <c r="G16" s="250"/>
      <c r="H16" s="250"/>
      <c r="K16" s="246" t="s">
        <v>6</v>
      </c>
      <c r="L16" s="247"/>
      <c r="M16" s="161"/>
      <c r="N16" s="121"/>
      <c r="O16" s="122">
        <f>SUMPRODUCT($C$39:$C$43,$D$39:$D$43)</f>
        <v>16650</v>
      </c>
      <c r="P16" s="122">
        <f t="shared" ref="P16:R16" si="0">SUMPRODUCT($C$39:$C$43,$D$39:$D$43)</f>
        <v>16650</v>
      </c>
      <c r="Q16" s="122">
        <f t="shared" si="0"/>
        <v>16650</v>
      </c>
      <c r="R16" s="122">
        <f t="shared" si="0"/>
        <v>16650</v>
      </c>
      <c r="S16" s="122">
        <f>SUMPRODUCT($E$39:$E$43,$F$39:$F$43)</f>
        <v>25100</v>
      </c>
      <c r="T16" s="122">
        <f t="shared" ref="T16:V16" si="1">SUMPRODUCT($E$39:$E$43,$F$39:$F$43)</f>
        <v>25100</v>
      </c>
      <c r="U16" s="122">
        <f t="shared" si="1"/>
        <v>25100</v>
      </c>
      <c r="V16" s="123">
        <f t="shared" si="1"/>
        <v>25100</v>
      </c>
    </row>
    <row r="17" spans="2:22" ht="16" customHeight="1" x14ac:dyDescent="0.35">
      <c r="B17" s="265" t="s">
        <v>36</v>
      </c>
      <c r="C17" s="265"/>
      <c r="D17" s="265"/>
      <c r="E17" s="265"/>
      <c r="F17" s="265"/>
      <c r="G17" s="265"/>
      <c r="H17" s="265"/>
      <c r="K17" s="224" t="s">
        <v>90</v>
      </c>
      <c r="L17" s="226"/>
      <c r="M17" s="162">
        <v>22</v>
      </c>
      <c r="N17" s="127"/>
      <c r="O17" s="159">
        <f>O16*$M$17</f>
        <v>366300</v>
      </c>
      <c r="P17" s="159">
        <f t="shared" ref="P17:V17" si="2">P16*$M$17</f>
        <v>366300</v>
      </c>
      <c r="Q17" s="159">
        <f t="shared" si="2"/>
        <v>366300</v>
      </c>
      <c r="R17" s="159">
        <f t="shared" si="2"/>
        <v>366300</v>
      </c>
      <c r="S17" s="159">
        <f t="shared" si="2"/>
        <v>552200</v>
      </c>
      <c r="T17" s="159">
        <f t="shared" si="2"/>
        <v>552200</v>
      </c>
      <c r="U17" s="159">
        <f t="shared" si="2"/>
        <v>552200</v>
      </c>
      <c r="V17" s="163">
        <f t="shared" si="2"/>
        <v>552200</v>
      </c>
    </row>
    <row r="18" spans="2:22" ht="16" customHeight="1" x14ac:dyDescent="0.35">
      <c r="B18" s="265"/>
      <c r="C18" s="265"/>
      <c r="D18" s="265"/>
      <c r="E18" s="265"/>
      <c r="F18" s="265"/>
      <c r="G18" s="265"/>
      <c r="H18" s="265"/>
      <c r="K18" s="224" t="s">
        <v>91</v>
      </c>
      <c r="L18" s="226"/>
      <c r="M18" s="164"/>
      <c r="N18" s="128"/>
      <c r="O18" s="37">
        <f>-124000</f>
        <v>-124000</v>
      </c>
      <c r="P18" s="37">
        <f t="shared" ref="P18:R18" si="3">-124000</f>
        <v>-124000</v>
      </c>
      <c r="Q18" s="37">
        <f t="shared" si="3"/>
        <v>-124000</v>
      </c>
      <c r="R18" s="37">
        <f t="shared" si="3"/>
        <v>-124000</v>
      </c>
      <c r="S18" s="29">
        <f>-243000</f>
        <v>-243000</v>
      </c>
      <c r="T18" s="29">
        <f t="shared" ref="T18:V18" si="4">-243000</f>
        <v>-243000</v>
      </c>
      <c r="U18" s="29">
        <f t="shared" si="4"/>
        <v>-243000</v>
      </c>
      <c r="V18" s="30">
        <f t="shared" si="4"/>
        <v>-243000</v>
      </c>
    </row>
    <row r="19" spans="2:22" ht="14.15" customHeight="1" thickBot="1" x14ac:dyDescent="0.4">
      <c r="B19" s="265"/>
      <c r="C19" s="265"/>
      <c r="D19" s="265"/>
      <c r="E19" s="265"/>
      <c r="F19" s="265"/>
      <c r="G19" s="265"/>
      <c r="H19" s="265"/>
      <c r="K19" s="224"/>
      <c r="L19" s="226"/>
      <c r="M19" s="164"/>
      <c r="N19" s="129"/>
      <c r="O19" s="77"/>
      <c r="P19" s="77"/>
      <c r="Q19" s="77"/>
      <c r="R19" s="77"/>
      <c r="S19" s="77"/>
      <c r="T19" s="77"/>
      <c r="U19" s="77"/>
      <c r="V19" s="130"/>
    </row>
    <row r="20" spans="2:22" ht="16" customHeight="1" thickBot="1" x14ac:dyDescent="0.4">
      <c r="B20" s="250" t="s">
        <v>37</v>
      </c>
      <c r="C20" s="250"/>
      <c r="D20" s="250"/>
      <c r="E20" s="250"/>
      <c r="F20" s="250"/>
      <c r="G20" s="250"/>
      <c r="H20" s="250"/>
      <c r="K20" s="246" t="s">
        <v>8</v>
      </c>
      <c r="L20" s="247"/>
      <c r="M20" s="165"/>
      <c r="N20" s="124"/>
      <c r="O20" s="125">
        <f>SUM(O17:O18)</f>
        <v>242300</v>
      </c>
      <c r="P20" s="125">
        <f t="shared" ref="P20:V20" si="5">SUM(P17:P18)</f>
        <v>242300</v>
      </c>
      <c r="Q20" s="125">
        <f t="shared" si="5"/>
        <v>242300</v>
      </c>
      <c r="R20" s="125">
        <f t="shared" si="5"/>
        <v>242300</v>
      </c>
      <c r="S20" s="125">
        <f t="shared" si="5"/>
        <v>309200</v>
      </c>
      <c r="T20" s="125">
        <f t="shared" si="5"/>
        <v>309200</v>
      </c>
      <c r="U20" s="125">
        <f t="shared" si="5"/>
        <v>309200</v>
      </c>
      <c r="V20" s="126">
        <f t="shared" si="5"/>
        <v>309200</v>
      </c>
    </row>
    <row r="21" spans="2:22" x14ac:dyDescent="0.35">
      <c r="B21" s="250"/>
      <c r="C21" s="250"/>
      <c r="D21" s="250"/>
      <c r="E21" s="250"/>
      <c r="F21" s="250"/>
      <c r="G21" s="250"/>
      <c r="H21" s="250"/>
      <c r="K21" s="224" t="s">
        <v>101</v>
      </c>
      <c r="L21" s="226"/>
      <c r="M21" s="193">
        <f>22.6%</f>
        <v>0.22600000000000001</v>
      </c>
      <c r="N21" s="35"/>
      <c r="O21" s="39">
        <f>-$M$21*O20</f>
        <v>-54759.8</v>
      </c>
      <c r="P21" s="39">
        <f t="shared" ref="P21:V21" si="6">-$M$21*P20</f>
        <v>-54759.8</v>
      </c>
      <c r="Q21" s="39">
        <f t="shared" si="6"/>
        <v>-54759.8</v>
      </c>
      <c r="R21" s="39">
        <f t="shared" si="6"/>
        <v>-54759.8</v>
      </c>
      <c r="S21" s="39">
        <f t="shared" si="6"/>
        <v>-69879.199999999997</v>
      </c>
      <c r="T21" s="39">
        <f t="shared" si="6"/>
        <v>-69879.199999999997</v>
      </c>
      <c r="U21" s="39">
        <f t="shared" si="6"/>
        <v>-69879.199999999997</v>
      </c>
      <c r="V21" s="118">
        <f t="shared" si="6"/>
        <v>-69879.199999999997</v>
      </c>
    </row>
    <row r="22" spans="2:22" x14ac:dyDescent="0.35">
      <c r="B22" s="250"/>
      <c r="C22" s="250"/>
      <c r="D22" s="250"/>
      <c r="E22" s="250"/>
      <c r="F22" s="250"/>
      <c r="G22" s="250"/>
      <c r="H22" s="250"/>
      <c r="K22" s="224" t="s">
        <v>102</v>
      </c>
      <c r="L22" s="226"/>
      <c r="M22" s="166">
        <f>20%</f>
        <v>0.2</v>
      </c>
      <c r="N22" s="35"/>
      <c r="O22" s="39">
        <f>$O10*$M22*50%</f>
        <v>27500</v>
      </c>
      <c r="P22" s="39">
        <f>$M22*$O10*(1-($M22/2))*((1-$M22)^(P$15-2))</f>
        <v>49500</v>
      </c>
      <c r="Q22" s="39">
        <f t="shared" ref="Q22:V22" si="7">$M22*$O10*(1-($M22/2))*((1-$M22)^(Q$15-2))</f>
        <v>39600</v>
      </c>
      <c r="R22" s="39">
        <f t="shared" si="7"/>
        <v>31680.000000000007</v>
      </c>
      <c r="S22" s="39">
        <f t="shared" si="7"/>
        <v>25344.000000000007</v>
      </c>
      <c r="T22" s="39">
        <f t="shared" si="7"/>
        <v>20275.200000000008</v>
      </c>
      <c r="U22" s="39">
        <f t="shared" si="7"/>
        <v>16220.160000000009</v>
      </c>
      <c r="V22" s="118">
        <f t="shared" si="7"/>
        <v>12976.128000000008</v>
      </c>
    </row>
    <row r="23" spans="2:22" x14ac:dyDescent="0.35">
      <c r="B23" s="250"/>
      <c r="C23" s="250"/>
      <c r="D23" s="250"/>
      <c r="E23" s="250"/>
      <c r="F23" s="250"/>
      <c r="G23" s="250"/>
      <c r="H23" s="250"/>
      <c r="K23" s="224" t="s">
        <v>92</v>
      </c>
      <c r="L23" s="226"/>
      <c r="M23" s="166">
        <f>4%</f>
        <v>0.04</v>
      </c>
      <c r="N23" s="35"/>
      <c r="O23" s="39">
        <f>$O11*$M23*50%</f>
        <v>10533.981042654028</v>
      </c>
      <c r="P23" s="39">
        <f>$M23*$O11*(1-($M23/2))*((1-$M23)^(P$15-2))</f>
        <v>20646.602843601893</v>
      </c>
      <c r="Q23" s="39">
        <f t="shared" ref="Q23:V23" si="8">$M23*$O11*(1-($M23/2))*((1-$M23)^(Q$15-2))</f>
        <v>19820.738729857818</v>
      </c>
      <c r="R23" s="39">
        <f t="shared" si="8"/>
        <v>19027.909180663504</v>
      </c>
      <c r="S23" s="39">
        <f t="shared" si="8"/>
        <v>18266.792813436965</v>
      </c>
      <c r="T23" s="39">
        <f t="shared" si="8"/>
        <v>17536.121100899487</v>
      </c>
      <c r="U23" s="39">
        <f t="shared" si="8"/>
        <v>16834.676256863506</v>
      </c>
      <c r="V23" s="118">
        <f t="shared" si="8"/>
        <v>16161.289206588966</v>
      </c>
    </row>
    <row r="24" spans="2:22" ht="16" customHeight="1" x14ac:dyDescent="0.35">
      <c r="B24" s="250" t="s">
        <v>38</v>
      </c>
      <c r="C24" s="250"/>
      <c r="D24" s="250"/>
      <c r="E24" s="250"/>
      <c r="F24" s="250"/>
      <c r="G24" s="250"/>
      <c r="H24" s="250"/>
      <c r="K24" s="224" t="s">
        <v>103</v>
      </c>
      <c r="L24" s="226"/>
      <c r="M24" s="167"/>
      <c r="N24" s="35"/>
      <c r="O24" s="46">
        <f>O22*$M$21</f>
        <v>6215</v>
      </c>
      <c r="P24" s="46">
        <f t="shared" ref="P24:V24" si="9">P22*$M$21</f>
        <v>11187</v>
      </c>
      <c r="Q24" s="46">
        <f t="shared" si="9"/>
        <v>8949.6</v>
      </c>
      <c r="R24" s="46">
        <f t="shared" si="9"/>
        <v>7159.6800000000021</v>
      </c>
      <c r="S24" s="46">
        <f t="shared" si="9"/>
        <v>5727.7440000000015</v>
      </c>
      <c r="T24" s="46">
        <f t="shared" si="9"/>
        <v>4582.1952000000019</v>
      </c>
      <c r="U24" s="46">
        <f t="shared" si="9"/>
        <v>3665.7561600000022</v>
      </c>
      <c r="V24" s="47">
        <f t="shared" si="9"/>
        <v>2932.604928000002</v>
      </c>
    </row>
    <row r="25" spans="2:22" ht="14.15" customHeight="1" thickBot="1" x14ac:dyDescent="0.4">
      <c r="B25" s="250"/>
      <c r="C25" s="250"/>
      <c r="D25" s="250"/>
      <c r="E25" s="250"/>
      <c r="F25" s="250"/>
      <c r="G25" s="250"/>
      <c r="H25" s="250"/>
      <c r="K25" s="224" t="s">
        <v>104</v>
      </c>
      <c r="L25" s="226"/>
      <c r="M25" s="167"/>
      <c r="N25" s="35"/>
      <c r="O25" s="46">
        <f>O23*$M$21</f>
        <v>2380.6797156398102</v>
      </c>
      <c r="P25" s="46">
        <f t="shared" ref="P25:V25" si="10">P23*$M$21</f>
        <v>4666.1322426540282</v>
      </c>
      <c r="Q25" s="46">
        <f t="shared" si="10"/>
        <v>4479.4869529478674</v>
      </c>
      <c r="R25" s="46">
        <f t="shared" si="10"/>
        <v>4300.3074748299523</v>
      </c>
      <c r="S25" s="46">
        <f t="shared" si="10"/>
        <v>4128.2951758367544</v>
      </c>
      <c r="T25" s="46">
        <f t="shared" si="10"/>
        <v>3963.1633688032844</v>
      </c>
      <c r="U25" s="46">
        <f t="shared" si="10"/>
        <v>3804.6368340511526</v>
      </c>
      <c r="V25" s="47">
        <f t="shared" si="10"/>
        <v>3652.4513606891064</v>
      </c>
    </row>
    <row r="26" spans="2:22" ht="14.15" customHeight="1" thickBot="1" x14ac:dyDescent="0.4">
      <c r="B26" s="250"/>
      <c r="C26" s="250"/>
      <c r="D26" s="250"/>
      <c r="E26" s="250"/>
      <c r="F26" s="250"/>
      <c r="G26" s="250"/>
      <c r="H26" s="250"/>
      <c r="K26" s="246" t="s">
        <v>28</v>
      </c>
      <c r="L26" s="247"/>
      <c r="M26" s="168"/>
      <c r="N26" s="169"/>
      <c r="O26" s="170">
        <f>SUM(O20,O21,O24,O25)</f>
        <v>196135.87971563984</v>
      </c>
      <c r="P26" s="170">
        <f t="shared" ref="P26:V26" si="11">SUM(P20,P21,P24,P25)</f>
        <v>203393.33224265405</v>
      </c>
      <c r="Q26" s="170">
        <f t="shared" si="11"/>
        <v>200969.28695294788</v>
      </c>
      <c r="R26" s="170">
        <f t="shared" si="11"/>
        <v>199000.18747482996</v>
      </c>
      <c r="S26" s="170">
        <f t="shared" si="11"/>
        <v>249176.83917583674</v>
      </c>
      <c r="T26" s="170">
        <f t="shared" si="11"/>
        <v>247866.15856880328</v>
      </c>
      <c r="U26" s="170">
        <f t="shared" si="11"/>
        <v>246791.19299405112</v>
      </c>
      <c r="V26" s="171">
        <f t="shared" si="11"/>
        <v>245905.8562886891</v>
      </c>
    </row>
    <row r="27" spans="2:22" ht="14.15" customHeight="1" x14ac:dyDescent="0.35">
      <c r="B27" s="250"/>
      <c r="C27" s="250"/>
      <c r="D27" s="250"/>
      <c r="E27" s="250"/>
      <c r="F27" s="250"/>
      <c r="G27" s="250"/>
      <c r="H27" s="250"/>
      <c r="K27" s="224" t="s">
        <v>9</v>
      </c>
      <c r="L27" s="226"/>
      <c r="M27" s="49"/>
      <c r="N27" s="28"/>
      <c r="O27" s="35"/>
      <c r="P27" s="35"/>
      <c r="Q27" s="35"/>
      <c r="R27" s="35"/>
      <c r="S27" s="35"/>
      <c r="T27" s="35"/>
      <c r="U27" s="35"/>
      <c r="V27" s="50"/>
    </row>
    <row r="28" spans="2:22" x14ac:dyDescent="0.35">
      <c r="B28" s="250"/>
      <c r="C28" s="250"/>
      <c r="D28" s="250"/>
      <c r="E28" s="250"/>
      <c r="F28" s="250"/>
      <c r="G28" s="250"/>
      <c r="H28" s="250"/>
      <c r="K28" s="224" t="s">
        <v>76</v>
      </c>
      <c r="L28" s="226"/>
      <c r="M28" s="49"/>
      <c r="N28" s="95">
        <f>-O10</f>
        <v>-275000</v>
      </c>
      <c r="O28" s="37"/>
      <c r="P28" s="37"/>
      <c r="Q28" s="37"/>
      <c r="R28" s="37"/>
      <c r="S28" s="35"/>
      <c r="T28" s="35"/>
      <c r="U28" s="35"/>
      <c r="V28" s="50"/>
    </row>
    <row r="29" spans="2:22" ht="16" customHeight="1" x14ac:dyDescent="0.35">
      <c r="B29" s="250" t="s">
        <v>17</v>
      </c>
      <c r="C29" s="250"/>
      <c r="D29" s="250"/>
      <c r="E29" s="250"/>
      <c r="F29" s="250"/>
      <c r="G29" s="250"/>
      <c r="H29" s="250"/>
      <c r="K29" s="224" t="s">
        <v>11</v>
      </c>
      <c r="L29" s="226"/>
      <c r="M29" s="49"/>
      <c r="N29" s="95">
        <f>-O11</f>
        <v>-526699.05213270138</v>
      </c>
      <c r="O29" s="37"/>
      <c r="P29" s="37"/>
      <c r="Q29" s="37"/>
      <c r="R29" s="37"/>
      <c r="S29" s="35"/>
      <c r="T29" s="35"/>
      <c r="U29" s="35"/>
      <c r="V29" s="50"/>
    </row>
    <row r="30" spans="2:22" ht="14.15" customHeight="1" x14ac:dyDescent="0.35">
      <c r="B30" s="250"/>
      <c r="C30" s="250"/>
      <c r="D30" s="250"/>
      <c r="E30" s="250"/>
      <c r="F30" s="250"/>
      <c r="G30" s="250"/>
      <c r="H30" s="250"/>
      <c r="K30" s="224" t="s">
        <v>12</v>
      </c>
      <c r="L30" s="226"/>
      <c r="M30" s="49"/>
      <c r="N30" s="95">
        <f>-O12</f>
        <v>-765550.94786729862</v>
      </c>
      <c r="O30" s="37"/>
      <c r="P30" s="37"/>
      <c r="Q30" s="37"/>
      <c r="R30" s="37"/>
      <c r="S30" s="35"/>
      <c r="T30" s="35"/>
      <c r="U30" s="35"/>
      <c r="V30" s="50"/>
    </row>
    <row r="31" spans="2:22" ht="14.15" customHeight="1" x14ac:dyDescent="0.35">
      <c r="B31" s="250"/>
      <c r="C31" s="250"/>
      <c r="D31" s="250"/>
      <c r="E31" s="250"/>
      <c r="F31" s="250"/>
      <c r="G31" s="250"/>
      <c r="H31" s="250"/>
      <c r="K31" s="224" t="s">
        <v>93</v>
      </c>
      <c r="L31" s="225"/>
      <c r="M31" s="49"/>
      <c r="N31" s="95">
        <f>-30000</f>
        <v>-30000</v>
      </c>
      <c r="O31" s="37"/>
      <c r="P31" s="37"/>
      <c r="Q31" s="37"/>
      <c r="R31" s="37"/>
      <c r="S31" s="35"/>
      <c r="T31" s="35"/>
      <c r="U31" s="35"/>
      <c r="V31" s="50"/>
    </row>
    <row r="32" spans="2:22" ht="14.15" customHeight="1" x14ac:dyDescent="0.35">
      <c r="B32" s="250"/>
      <c r="C32" s="250"/>
      <c r="D32" s="250"/>
      <c r="E32" s="250"/>
      <c r="F32" s="250"/>
      <c r="G32" s="250"/>
      <c r="H32" s="250"/>
      <c r="K32" s="224"/>
      <c r="L32" s="225"/>
      <c r="M32" s="49"/>
      <c r="N32" s="153"/>
      <c r="O32" s="153"/>
      <c r="P32" s="153"/>
      <c r="Q32" s="153"/>
      <c r="R32" s="153"/>
      <c r="S32" s="35"/>
      <c r="T32" s="35"/>
      <c r="U32" s="35"/>
      <c r="V32" s="50"/>
    </row>
    <row r="33" spans="2:22" ht="14.15" customHeight="1" x14ac:dyDescent="0.35">
      <c r="B33" s="250"/>
      <c r="C33" s="250"/>
      <c r="D33" s="250"/>
      <c r="E33" s="250"/>
      <c r="F33" s="250"/>
      <c r="G33" s="250"/>
      <c r="H33" s="250"/>
      <c r="K33" s="242" t="s">
        <v>13</v>
      </c>
      <c r="L33" s="243"/>
      <c r="M33" s="62"/>
      <c r="N33" s="63"/>
      <c r="O33" s="64"/>
      <c r="P33" s="64"/>
      <c r="Q33" s="64"/>
      <c r="R33" s="64"/>
      <c r="S33" s="64"/>
      <c r="T33" s="64"/>
      <c r="U33" s="64"/>
      <c r="V33" s="65"/>
    </row>
    <row r="34" spans="2:22" ht="16" thickBot="1" x14ac:dyDescent="0.4">
      <c r="K34" s="224" t="s">
        <v>76</v>
      </c>
      <c r="L34" s="226"/>
      <c r="M34" s="67"/>
      <c r="N34" s="29"/>
      <c r="O34" s="35"/>
      <c r="P34" s="35"/>
      <c r="Q34" s="35"/>
      <c r="R34" s="35"/>
      <c r="S34" s="35"/>
      <c r="T34" s="35"/>
      <c r="U34" s="35"/>
      <c r="V34" s="36">
        <f>P10</f>
        <v>177000</v>
      </c>
    </row>
    <row r="35" spans="2:22" x14ac:dyDescent="0.35">
      <c r="C35" s="257" t="s">
        <v>20</v>
      </c>
      <c r="D35" s="258"/>
      <c r="E35" s="257" t="s">
        <v>21</v>
      </c>
      <c r="F35" s="258"/>
      <c r="K35" s="224" t="s">
        <v>11</v>
      </c>
      <c r="L35" s="226"/>
      <c r="M35" s="67"/>
      <c r="N35" s="29"/>
      <c r="O35" s="35"/>
      <c r="P35" s="35"/>
      <c r="Q35" s="35"/>
      <c r="R35" s="35"/>
      <c r="S35" s="35"/>
      <c r="T35" s="35"/>
      <c r="U35" s="35"/>
      <c r="V35" s="36">
        <f t="shared" ref="V35:V36" si="12">P11</f>
        <v>220000</v>
      </c>
    </row>
    <row r="36" spans="2:22" ht="16" customHeight="1" x14ac:dyDescent="0.35">
      <c r="C36" s="259" t="s">
        <v>18</v>
      </c>
      <c r="D36" s="262" t="s">
        <v>19</v>
      </c>
      <c r="E36" s="259" t="s">
        <v>18</v>
      </c>
      <c r="F36" s="262" t="s">
        <v>19</v>
      </c>
      <c r="K36" s="224" t="s">
        <v>12</v>
      </c>
      <c r="L36" s="226"/>
      <c r="M36" s="67"/>
      <c r="N36" s="29"/>
      <c r="O36" s="35"/>
      <c r="P36" s="35"/>
      <c r="Q36" s="35"/>
      <c r="R36" s="35"/>
      <c r="S36" s="35"/>
      <c r="T36" s="35"/>
      <c r="U36" s="35"/>
      <c r="V36" s="36">
        <f t="shared" si="12"/>
        <v>896964.94970389677</v>
      </c>
    </row>
    <row r="37" spans="2:22" ht="14.15" customHeight="1" x14ac:dyDescent="0.35">
      <c r="C37" s="260"/>
      <c r="D37" s="263"/>
      <c r="E37" s="260"/>
      <c r="F37" s="263"/>
      <c r="K37" s="224" t="s">
        <v>93</v>
      </c>
      <c r="L37" s="226"/>
      <c r="M37" s="68"/>
      <c r="N37" s="29"/>
      <c r="O37" s="35"/>
      <c r="P37" s="35"/>
      <c r="Q37" s="35"/>
      <c r="R37" s="35"/>
      <c r="S37" s="35"/>
      <c r="T37" s="35"/>
      <c r="U37" s="69"/>
      <c r="V37" s="88">
        <f>-N31</f>
        <v>30000</v>
      </c>
    </row>
    <row r="38" spans="2:22" ht="16" thickBot="1" x14ac:dyDescent="0.4">
      <c r="C38" s="261"/>
      <c r="D38" s="264"/>
      <c r="E38" s="261"/>
      <c r="F38" s="264"/>
      <c r="K38" s="224"/>
      <c r="L38" s="226"/>
      <c r="M38" s="68"/>
      <c r="N38" s="153"/>
      <c r="O38" s="153"/>
      <c r="P38" s="153"/>
      <c r="Q38" s="153"/>
      <c r="R38" s="153"/>
      <c r="S38" s="153"/>
      <c r="T38" s="153"/>
      <c r="U38" s="153"/>
      <c r="V38" s="34"/>
    </row>
    <row r="39" spans="2:22" x14ac:dyDescent="0.35">
      <c r="C39" s="1">
        <v>11000</v>
      </c>
      <c r="D39" s="87">
        <v>0.15</v>
      </c>
      <c r="E39" s="1">
        <v>19000</v>
      </c>
      <c r="F39" s="87">
        <v>0.15</v>
      </c>
      <c r="K39" s="237" t="s">
        <v>23</v>
      </c>
      <c r="L39" s="238"/>
      <c r="M39" s="70"/>
      <c r="N39" s="196"/>
      <c r="O39" s="72"/>
      <c r="P39" s="72"/>
      <c r="Q39" s="72"/>
      <c r="R39" s="72"/>
      <c r="S39" s="72"/>
      <c r="T39" s="72"/>
      <c r="U39" s="73"/>
      <c r="V39" s="74">
        <f>U11</f>
        <v>-28271.58028799999</v>
      </c>
    </row>
    <row r="40" spans="2:22" x14ac:dyDescent="0.35">
      <c r="C40" s="1">
        <v>14000</v>
      </c>
      <c r="D40" s="87">
        <v>0.35</v>
      </c>
      <c r="E40" s="1">
        <v>22000</v>
      </c>
      <c r="F40" s="87">
        <v>0.3</v>
      </c>
      <c r="K40" s="239" t="s">
        <v>94</v>
      </c>
      <c r="L40" s="240"/>
      <c r="M40" s="68"/>
      <c r="N40" s="21"/>
      <c r="O40" s="35"/>
      <c r="P40" s="35"/>
      <c r="Q40" s="35"/>
      <c r="R40" s="35"/>
      <c r="S40" s="35"/>
      <c r="T40" s="35"/>
      <c r="U40" s="35"/>
      <c r="V40" s="36">
        <f>T12</f>
        <v>12140.426450092338</v>
      </c>
    </row>
    <row r="41" spans="2:22" x14ac:dyDescent="0.35">
      <c r="C41" s="1">
        <v>19000</v>
      </c>
      <c r="D41" s="87">
        <v>0.3</v>
      </c>
      <c r="E41" s="1">
        <v>26000</v>
      </c>
      <c r="F41" s="87">
        <v>0.35</v>
      </c>
      <c r="K41" s="239" t="s">
        <v>95</v>
      </c>
      <c r="L41" s="240"/>
      <c r="M41" s="68"/>
      <c r="N41" s="21"/>
      <c r="O41" s="35"/>
      <c r="P41" s="35"/>
      <c r="Q41" s="35"/>
      <c r="R41" s="35"/>
      <c r="S41" s="35"/>
      <c r="T41" s="35"/>
      <c r="U41" s="35"/>
      <c r="V41" s="200">
        <f>-(P12-O12)*50%*M21</f>
        <v>-14849.782207535593</v>
      </c>
    </row>
    <row r="42" spans="2:22" x14ac:dyDescent="0.35">
      <c r="C42" s="1">
        <v>22000</v>
      </c>
      <c r="D42" s="87">
        <v>0.2</v>
      </c>
      <c r="E42" s="1">
        <v>32000</v>
      </c>
      <c r="F42" s="87">
        <v>0.15</v>
      </c>
      <c r="K42" s="231" t="s">
        <v>105</v>
      </c>
      <c r="L42" s="232"/>
      <c r="M42" s="68"/>
      <c r="N42" s="21"/>
      <c r="O42" s="35"/>
      <c r="P42" s="35"/>
      <c r="Q42" s="35"/>
      <c r="R42" s="35"/>
      <c r="S42" s="35"/>
      <c r="T42" s="35"/>
      <c r="U42" s="69"/>
      <c r="V42" s="88"/>
    </row>
    <row r="43" spans="2:22" ht="16" thickBot="1" x14ac:dyDescent="0.4">
      <c r="C43" s="89"/>
      <c r="D43" s="90"/>
      <c r="E43" s="2">
        <v>35000</v>
      </c>
      <c r="F43" s="91">
        <v>0.05</v>
      </c>
      <c r="K43" s="255"/>
      <c r="L43" s="256"/>
      <c r="M43" s="68"/>
      <c r="N43" s="128"/>
      <c r="O43" s="35"/>
      <c r="P43" s="35"/>
      <c r="Q43" s="35"/>
      <c r="R43" s="35"/>
      <c r="S43" s="35"/>
      <c r="T43" s="35"/>
      <c r="U43" s="69"/>
      <c r="V43" s="194"/>
    </row>
    <row r="44" spans="2:22" ht="16" thickBot="1" x14ac:dyDescent="0.4">
      <c r="F44" s="12"/>
      <c r="K44" s="251"/>
      <c r="L44" s="252"/>
      <c r="M44" s="76"/>
      <c r="N44" s="129"/>
      <c r="O44" s="77"/>
      <c r="P44" s="77"/>
      <c r="Q44" s="77"/>
      <c r="R44" s="77"/>
      <c r="S44" s="77"/>
      <c r="T44" s="77"/>
      <c r="U44" s="78"/>
      <c r="V44" s="195"/>
    </row>
    <row r="45" spans="2:22" ht="16" customHeight="1" x14ac:dyDescent="0.35">
      <c r="B45" s="250" t="s">
        <v>55</v>
      </c>
      <c r="C45" s="250"/>
      <c r="D45" s="250"/>
      <c r="E45" s="250"/>
      <c r="F45" s="250"/>
      <c r="G45" s="250"/>
      <c r="H45" s="250"/>
      <c r="K45" s="224" t="s">
        <v>7</v>
      </c>
      <c r="L45" s="225"/>
      <c r="M45" s="80"/>
      <c r="N45" s="81">
        <f>SUM(N26:N41)</f>
        <v>-1597250</v>
      </c>
      <c r="O45" s="82">
        <f t="shared" ref="O45:U45" si="13">SUM(O26:O41)</f>
        <v>196135.87971563984</v>
      </c>
      <c r="P45" s="82">
        <f t="shared" si="13"/>
        <v>203393.33224265405</v>
      </c>
      <c r="Q45" s="82">
        <f t="shared" si="13"/>
        <v>200969.28695294788</v>
      </c>
      <c r="R45" s="82">
        <f t="shared" si="13"/>
        <v>199000.18747482996</v>
      </c>
      <c r="S45" s="82">
        <f t="shared" si="13"/>
        <v>249176.83917583674</v>
      </c>
      <c r="T45" s="82">
        <f t="shared" si="13"/>
        <v>247866.15856880328</v>
      </c>
      <c r="U45" s="82">
        <f t="shared" si="13"/>
        <v>246791.19299405112</v>
      </c>
      <c r="V45" s="198">
        <f>SUM(V26:V41)</f>
        <v>1538889.8699471427</v>
      </c>
    </row>
    <row r="46" spans="2:22" ht="14.15" customHeight="1" x14ac:dyDescent="0.35">
      <c r="B46" s="250"/>
      <c r="C46" s="250"/>
      <c r="D46" s="250"/>
      <c r="E46" s="250"/>
      <c r="F46" s="250"/>
      <c r="G46" s="250"/>
      <c r="H46" s="250"/>
      <c r="K46" s="224" t="s">
        <v>14</v>
      </c>
      <c r="L46" s="226"/>
      <c r="M46" s="172">
        <f>8.5%</f>
        <v>8.5000000000000006E-2</v>
      </c>
      <c r="N46" s="120">
        <f>(1+$M$46)^-N15</f>
        <v>1</v>
      </c>
      <c r="O46" s="79">
        <f t="shared" ref="O46:V46" si="14">(1+$M$46)^-O15</f>
        <v>0.92165898617511521</v>
      </c>
      <c r="P46" s="79">
        <f t="shared" si="14"/>
        <v>0.84945528679734128</v>
      </c>
      <c r="Q46" s="79">
        <f t="shared" si="14"/>
        <v>0.78290809843072917</v>
      </c>
      <c r="R46" s="79">
        <f t="shared" si="14"/>
        <v>0.72157428426795334</v>
      </c>
      <c r="S46" s="79">
        <f t="shared" si="14"/>
        <v>0.66504542328843619</v>
      </c>
      <c r="T46" s="79">
        <f t="shared" si="14"/>
        <v>0.6129450905884205</v>
      </c>
      <c r="U46" s="79">
        <f t="shared" si="14"/>
        <v>0.56492635077273778</v>
      </c>
      <c r="V46" s="119">
        <f t="shared" si="14"/>
        <v>0.52066944771680901</v>
      </c>
    </row>
    <row r="47" spans="2:22" ht="14.15" customHeight="1" thickBot="1" x14ac:dyDescent="0.4">
      <c r="B47" s="250"/>
      <c r="C47" s="250"/>
      <c r="D47" s="250"/>
      <c r="E47" s="250"/>
      <c r="F47" s="250"/>
      <c r="G47" s="250"/>
      <c r="H47" s="250"/>
      <c r="K47" s="227" t="s">
        <v>15</v>
      </c>
      <c r="L47" s="228"/>
      <c r="M47" s="85"/>
      <c r="N47" s="86">
        <f>N45*N46</f>
        <v>-1597250</v>
      </c>
      <c r="O47" s="83">
        <f t="shared" ref="O47:V47" si="15">O45*O46</f>
        <v>180770.39605128096</v>
      </c>
      <c r="P47" s="83">
        <f t="shared" si="15"/>
        <v>172773.54137285062</v>
      </c>
      <c r="Q47" s="83">
        <f t="shared" si="15"/>
        <v>157340.48229131199</v>
      </c>
      <c r="R47" s="83">
        <f t="shared" si="15"/>
        <v>143593.41784633897</v>
      </c>
      <c r="S47" s="83">
        <f t="shared" si="15"/>
        <v>165713.91648336893</v>
      </c>
      <c r="T47" s="83">
        <f t="shared" si="15"/>
        <v>151928.34501775893</v>
      </c>
      <c r="U47" s="83">
        <f t="shared" si="15"/>
        <v>139418.84806097974</v>
      </c>
      <c r="V47" s="84">
        <f t="shared" si="15"/>
        <v>801252.93868237082</v>
      </c>
    </row>
    <row r="48" spans="2:22" ht="16" thickBot="1" x14ac:dyDescent="0.4">
      <c r="B48" s="250"/>
      <c r="C48" s="250"/>
      <c r="D48" s="250"/>
      <c r="E48" s="250"/>
      <c r="F48" s="250"/>
      <c r="G48" s="250"/>
      <c r="H48" s="250"/>
      <c r="K48" s="51" t="s">
        <v>46</v>
      </c>
      <c r="L48" s="115">
        <f>SUM(N47:V47)</f>
        <v>315541.88580626075</v>
      </c>
    </row>
    <row r="49" spans="1:22" ht="16" customHeight="1" x14ac:dyDescent="0.35">
      <c r="B49" s="250" t="s">
        <v>39</v>
      </c>
      <c r="C49" s="250"/>
      <c r="D49" s="250"/>
      <c r="E49" s="250"/>
      <c r="F49" s="250"/>
      <c r="G49" s="250"/>
      <c r="H49" s="250"/>
    </row>
    <row r="50" spans="1:22" ht="14.15" customHeight="1" thickBot="1" x14ac:dyDescent="0.4">
      <c r="B50" s="250"/>
      <c r="C50" s="250"/>
      <c r="D50" s="250"/>
      <c r="E50" s="250"/>
      <c r="F50" s="250"/>
      <c r="G50" s="250"/>
      <c r="H50" s="250"/>
      <c r="K50" s="3" t="s">
        <v>48</v>
      </c>
      <c r="N50" s="12"/>
    </row>
    <row r="51" spans="1:22" ht="14.15" customHeight="1" thickBot="1" x14ac:dyDescent="0.4">
      <c r="B51" s="250"/>
      <c r="C51" s="250"/>
      <c r="D51" s="250"/>
      <c r="E51" s="250"/>
      <c r="F51" s="250"/>
      <c r="G51" s="250"/>
      <c r="H51" s="250"/>
      <c r="K51" s="253" t="s">
        <v>1</v>
      </c>
      <c r="L51" s="254"/>
      <c r="M51" s="14" t="s">
        <v>2</v>
      </c>
      <c r="N51" s="18">
        <v>0</v>
      </c>
      <c r="O51" s="19">
        <v>1</v>
      </c>
      <c r="P51" s="19">
        <v>2</v>
      </c>
      <c r="Q51" s="19">
        <v>3</v>
      </c>
      <c r="R51" s="19">
        <v>4</v>
      </c>
      <c r="S51" s="19">
        <v>5</v>
      </c>
      <c r="T51" s="19">
        <v>6</v>
      </c>
      <c r="U51" s="19">
        <v>7</v>
      </c>
      <c r="V51" s="20">
        <v>8</v>
      </c>
    </row>
    <row r="52" spans="1:22" ht="14.15" customHeight="1" thickBot="1" x14ac:dyDescent="0.4">
      <c r="B52" s="250"/>
      <c r="C52" s="250"/>
      <c r="D52" s="250"/>
      <c r="E52" s="250"/>
      <c r="F52" s="250"/>
      <c r="G52" s="250"/>
      <c r="H52" s="250"/>
      <c r="K52" s="246" t="s">
        <v>6</v>
      </c>
      <c r="L52" s="247"/>
      <c r="M52" s="24"/>
      <c r="N52" s="25"/>
      <c r="O52" s="26">
        <f>O16</f>
        <v>16650</v>
      </c>
      <c r="P52" s="26">
        <f t="shared" ref="P52:V52" si="16">P16</f>
        <v>16650</v>
      </c>
      <c r="Q52" s="26">
        <f t="shared" si="16"/>
        <v>16650</v>
      </c>
      <c r="R52" s="26">
        <f t="shared" si="16"/>
        <v>16650</v>
      </c>
      <c r="S52" s="26">
        <f t="shared" si="16"/>
        <v>25100</v>
      </c>
      <c r="T52" s="26">
        <f t="shared" si="16"/>
        <v>25100</v>
      </c>
      <c r="U52" s="26">
        <f t="shared" si="16"/>
        <v>25100</v>
      </c>
      <c r="V52" s="26">
        <f t="shared" si="16"/>
        <v>25100</v>
      </c>
    </row>
    <row r="53" spans="1:22" x14ac:dyDescent="0.35">
      <c r="B53" s="250"/>
      <c r="C53" s="250"/>
      <c r="D53" s="250"/>
      <c r="E53" s="250"/>
      <c r="F53" s="250"/>
      <c r="G53" s="250"/>
      <c r="H53" s="250"/>
      <c r="K53" s="224" t="str">
        <f>K17</f>
        <v>Contribution marginale</v>
      </c>
      <c r="L53" s="226"/>
      <c r="M53" s="173">
        <f>M17+(M17*10%)</f>
        <v>24.2</v>
      </c>
      <c r="N53" s="28"/>
      <c r="O53" s="31">
        <f>$M$53*O52</f>
        <v>402930</v>
      </c>
      <c r="P53" s="31">
        <f t="shared" ref="P53:V53" si="17">$M$53*P52</f>
        <v>402930</v>
      </c>
      <c r="Q53" s="31">
        <f t="shared" si="17"/>
        <v>402930</v>
      </c>
      <c r="R53" s="31">
        <f t="shared" si="17"/>
        <v>402930</v>
      </c>
      <c r="S53" s="31">
        <f t="shared" si="17"/>
        <v>607420</v>
      </c>
      <c r="T53" s="31">
        <f t="shared" si="17"/>
        <v>607420</v>
      </c>
      <c r="U53" s="31">
        <f t="shared" si="17"/>
        <v>607420</v>
      </c>
      <c r="V53" s="31">
        <f t="shared" si="17"/>
        <v>607420</v>
      </c>
    </row>
    <row r="54" spans="1:22" x14ac:dyDescent="0.35">
      <c r="B54" s="250"/>
      <c r="C54" s="250"/>
      <c r="D54" s="250"/>
      <c r="E54" s="250"/>
      <c r="F54" s="250"/>
      <c r="G54" s="250"/>
      <c r="H54" s="250"/>
      <c r="K54" s="224" t="str">
        <f>K18</f>
        <v>Charges d'exploitation fixes</v>
      </c>
      <c r="L54" s="226"/>
      <c r="M54" s="27"/>
      <c r="N54" s="28"/>
      <c r="O54" s="31">
        <f>O18</f>
        <v>-124000</v>
      </c>
      <c r="P54" s="31">
        <f t="shared" ref="P54:V54" si="18">P18</f>
        <v>-124000</v>
      </c>
      <c r="Q54" s="31">
        <f t="shared" si="18"/>
        <v>-124000</v>
      </c>
      <c r="R54" s="31">
        <f t="shared" si="18"/>
        <v>-124000</v>
      </c>
      <c r="S54" s="31">
        <f t="shared" si="18"/>
        <v>-243000</v>
      </c>
      <c r="T54" s="31">
        <f t="shared" si="18"/>
        <v>-243000</v>
      </c>
      <c r="U54" s="31">
        <f t="shared" si="18"/>
        <v>-243000</v>
      </c>
      <c r="V54" s="31">
        <f t="shared" si="18"/>
        <v>-243000</v>
      </c>
    </row>
    <row r="55" spans="1:22" ht="16" thickBot="1" x14ac:dyDescent="0.4">
      <c r="K55" s="224"/>
      <c r="L55" s="226"/>
      <c r="M55" s="27"/>
      <c r="N55" s="28"/>
      <c r="O55" s="31"/>
      <c r="P55" s="31"/>
      <c r="Q55" s="31"/>
      <c r="R55" s="31"/>
      <c r="S55" s="31"/>
      <c r="T55" s="31"/>
      <c r="U55" s="31"/>
      <c r="V55" s="32"/>
    </row>
    <row r="56" spans="1:22" ht="16" thickBot="1" x14ac:dyDescent="0.4">
      <c r="B56" s="3" t="s">
        <v>29</v>
      </c>
      <c r="K56" s="246" t="s">
        <v>8</v>
      </c>
      <c r="L56" s="249"/>
      <c r="M56" s="40"/>
      <c r="N56" s="41"/>
      <c r="O56" s="42">
        <f>SUM(O53:O54)</f>
        <v>278930</v>
      </c>
      <c r="P56" s="42">
        <f t="shared" ref="P56:V56" si="19">SUM(P53:P54)</f>
        <v>278930</v>
      </c>
      <c r="Q56" s="42">
        <f t="shared" si="19"/>
        <v>278930</v>
      </c>
      <c r="R56" s="42">
        <f t="shared" si="19"/>
        <v>278930</v>
      </c>
      <c r="S56" s="42">
        <f t="shared" si="19"/>
        <v>364420</v>
      </c>
      <c r="T56" s="42">
        <f t="shared" si="19"/>
        <v>364420</v>
      </c>
      <c r="U56" s="42">
        <f t="shared" si="19"/>
        <v>364420</v>
      </c>
      <c r="V56" s="43">
        <f t="shared" si="19"/>
        <v>364420</v>
      </c>
    </row>
    <row r="57" spans="1:22" x14ac:dyDescent="0.35">
      <c r="K57" s="224" t="str">
        <f>K21</f>
        <v>Impôts (T)</v>
      </c>
      <c r="L57" s="226"/>
      <c r="M57" s="197">
        <f>M21</f>
        <v>0.22600000000000001</v>
      </c>
      <c r="N57" s="178"/>
      <c r="O57" s="179">
        <f>-$M$57*O56</f>
        <v>-63038.18</v>
      </c>
      <c r="P57" s="179">
        <f t="shared" ref="P57:V57" si="20">-$M$57*P56</f>
        <v>-63038.18</v>
      </c>
      <c r="Q57" s="179">
        <f t="shared" si="20"/>
        <v>-63038.18</v>
      </c>
      <c r="R57" s="179">
        <f t="shared" si="20"/>
        <v>-63038.18</v>
      </c>
      <c r="S57" s="179">
        <f t="shared" si="20"/>
        <v>-82358.92</v>
      </c>
      <c r="T57" s="179">
        <f t="shared" si="20"/>
        <v>-82358.92</v>
      </c>
      <c r="U57" s="179">
        <f t="shared" si="20"/>
        <v>-82358.92</v>
      </c>
      <c r="V57" s="180">
        <f t="shared" si="20"/>
        <v>-82358.92</v>
      </c>
    </row>
    <row r="58" spans="1:22" ht="16.5" customHeight="1" x14ac:dyDescent="0.35">
      <c r="A58" s="93"/>
      <c r="B58" s="250" t="s">
        <v>40</v>
      </c>
      <c r="C58" s="250"/>
      <c r="D58" s="250"/>
      <c r="E58" s="250"/>
      <c r="F58" s="250"/>
      <c r="G58" s="250"/>
      <c r="H58" s="250"/>
      <c r="K58" s="224" t="str">
        <f t="shared" ref="K58:K61" si="21">K22</f>
        <v xml:space="preserve">DPA équipement </v>
      </c>
      <c r="L58" s="226"/>
      <c r="M58" s="174">
        <f t="shared" ref="M58:M59" si="22">M22</f>
        <v>0.2</v>
      </c>
      <c r="N58" s="181"/>
      <c r="O58" s="31">
        <f>$O10*$M58*50%</f>
        <v>27500</v>
      </c>
      <c r="P58" s="31">
        <f>$M58*$O10*(1-($M58/2))*((1-$M58)^(P$51-2))</f>
        <v>49500</v>
      </c>
      <c r="Q58" s="31">
        <f t="shared" ref="Q58:V58" si="23">$M58*$O10*(1-($M58/2))*((1-$M58)^(Q$51-2))</f>
        <v>39600</v>
      </c>
      <c r="R58" s="31">
        <f t="shared" si="23"/>
        <v>31680.000000000007</v>
      </c>
      <c r="S58" s="31">
        <f t="shared" si="23"/>
        <v>25344.000000000007</v>
      </c>
      <c r="T58" s="31">
        <f t="shared" si="23"/>
        <v>20275.200000000008</v>
      </c>
      <c r="U58" s="31">
        <f t="shared" si="23"/>
        <v>16220.160000000009</v>
      </c>
      <c r="V58" s="32">
        <f t="shared" si="23"/>
        <v>12976.128000000008</v>
      </c>
    </row>
    <row r="59" spans="1:22" x14ac:dyDescent="0.35">
      <c r="A59" s="93"/>
      <c r="B59" s="250"/>
      <c r="C59" s="250"/>
      <c r="D59" s="250"/>
      <c r="E59" s="250"/>
      <c r="F59" s="250"/>
      <c r="G59" s="250"/>
      <c r="H59" s="250"/>
      <c r="K59" s="224" t="str">
        <f t="shared" si="21"/>
        <v>DPA immeuble</v>
      </c>
      <c r="L59" s="226"/>
      <c r="M59" s="174">
        <f t="shared" si="22"/>
        <v>0.04</v>
      </c>
      <c r="N59" s="181"/>
      <c r="O59" s="31">
        <f>$O11*$M59*50%</f>
        <v>10533.981042654028</v>
      </c>
      <c r="P59" s="31">
        <f>$M59*$O11*(1-($M59/2))*((1-$M59)^(P$51-2))</f>
        <v>20646.602843601893</v>
      </c>
      <c r="Q59" s="31">
        <f t="shared" ref="Q59:V59" si="24">$M59*$O11*(1-($M59/2))*((1-$M59)^(Q$51-2))</f>
        <v>19820.738729857818</v>
      </c>
      <c r="R59" s="31">
        <f t="shared" si="24"/>
        <v>19027.909180663504</v>
      </c>
      <c r="S59" s="31">
        <f t="shared" si="24"/>
        <v>18266.792813436965</v>
      </c>
      <c r="T59" s="31">
        <f t="shared" si="24"/>
        <v>17536.121100899487</v>
      </c>
      <c r="U59" s="31">
        <f t="shared" si="24"/>
        <v>16834.676256863506</v>
      </c>
      <c r="V59" s="32">
        <f t="shared" si="24"/>
        <v>16161.289206588966</v>
      </c>
    </row>
    <row r="60" spans="1:22" x14ac:dyDescent="0.35">
      <c r="A60" s="93"/>
      <c r="B60" s="244" t="s">
        <v>42</v>
      </c>
      <c r="C60" s="244"/>
      <c r="D60" s="244"/>
      <c r="E60" s="244"/>
      <c r="F60" s="244"/>
      <c r="G60" s="244"/>
      <c r="H60" s="244"/>
      <c r="K60" s="224" t="str">
        <f t="shared" si="21"/>
        <v>Déduction d'impôts équipement (DPA*T)</v>
      </c>
      <c r="L60" s="226"/>
      <c r="M60" s="175"/>
      <c r="N60" s="181"/>
      <c r="O60" s="46">
        <f>O58*$M$57</f>
        <v>6215</v>
      </c>
      <c r="P60" s="46">
        <f t="shared" ref="P60:V60" si="25">P58*$M$57</f>
        <v>11187</v>
      </c>
      <c r="Q60" s="46">
        <f t="shared" si="25"/>
        <v>8949.6</v>
      </c>
      <c r="R60" s="46">
        <f t="shared" si="25"/>
        <v>7159.6800000000021</v>
      </c>
      <c r="S60" s="46">
        <f t="shared" si="25"/>
        <v>5727.7440000000015</v>
      </c>
      <c r="T60" s="46">
        <f t="shared" si="25"/>
        <v>4582.1952000000019</v>
      </c>
      <c r="U60" s="46">
        <f t="shared" si="25"/>
        <v>3665.7561600000022</v>
      </c>
      <c r="V60" s="47">
        <f t="shared" si="25"/>
        <v>2932.604928000002</v>
      </c>
    </row>
    <row r="61" spans="1:22" ht="17.149999999999999" customHeight="1" thickBot="1" x14ac:dyDescent="0.4">
      <c r="A61" s="93"/>
      <c r="B61" s="244"/>
      <c r="C61" s="244"/>
      <c r="D61" s="244"/>
      <c r="E61" s="244"/>
      <c r="F61" s="244"/>
      <c r="G61" s="244"/>
      <c r="H61" s="244"/>
      <c r="K61" s="224" t="str">
        <f t="shared" si="21"/>
        <v>Déduction d'impôts immeuble (DPA*T)</v>
      </c>
      <c r="L61" s="226"/>
      <c r="M61" s="176"/>
      <c r="N61" s="177"/>
      <c r="O61" s="182">
        <f>O59*$M$57</f>
        <v>2380.6797156398102</v>
      </c>
      <c r="P61" s="182">
        <f t="shared" ref="P61:V61" si="26">P59*$M$57</f>
        <v>4666.1322426540282</v>
      </c>
      <c r="Q61" s="182">
        <f t="shared" si="26"/>
        <v>4479.4869529478674</v>
      </c>
      <c r="R61" s="182">
        <f t="shared" si="26"/>
        <v>4300.3074748299523</v>
      </c>
      <c r="S61" s="182">
        <f t="shared" si="26"/>
        <v>4128.2951758367544</v>
      </c>
      <c r="T61" s="182">
        <f t="shared" si="26"/>
        <v>3963.1633688032844</v>
      </c>
      <c r="U61" s="182">
        <f t="shared" si="26"/>
        <v>3804.6368340511526</v>
      </c>
      <c r="V61" s="183">
        <f t="shared" si="26"/>
        <v>3652.4513606891064</v>
      </c>
    </row>
    <row r="62" spans="1:22" ht="15.75" customHeight="1" thickBot="1" x14ac:dyDescent="0.4">
      <c r="A62" s="233"/>
      <c r="B62" s="245" t="s">
        <v>41</v>
      </c>
      <c r="C62" s="245"/>
      <c r="D62" s="245"/>
      <c r="E62" s="245"/>
      <c r="F62" s="245"/>
      <c r="G62" s="245"/>
      <c r="H62" s="245"/>
      <c r="K62" s="246" t="s">
        <v>28</v>
      </c>
      <c r="L62" s="247"/>
      <c r="M62" s="48"/>
      <c r="N62" s="177"/>
      <c r="O62" s="182">
        <f>SUM(O56,O57,O60,O61)</f>
        <v>224487.49971563983</v>
      </c>
      <c r="P62" s="182">
        <f t="shared" ref="P62:V62" si="27">SUM(P56,P57,P60,P61)</f>
        <v>231744.95224265405</v>
      </c>
      <c r="Q62" s="182">
        <f t="shared" si="27"/>
        <v>229320.90695294787</v>
      </c>
      <c r="R62" s="182">
        <f t="shared" si="27"/>
        <v>227351.80747482996</v>
      </c>
      <c r="S62" s="182">
        <f t="shared" si="27"/>
        <v>291917.11917583679</v>
      </c>
      <c r="T62" s="182">
        <f t="shared" si="27"/>
        <v>290606.43856880331</v>
      </c>
      <c r="U62" s="182">
        <f t="shared" si="27"/>
        <v>289531.47299405118</v>
      </c>
      <c r="V62" s="183">
        <f t="shared" si="27"/>
        <v>288646.13628868916</v>
      </c>
    </row>
    <row r="63" spans="1:22" x14ac:dyDescent="0.35">
      <c r="A63" s="234"/>
      <c r="B63" s="248" t="s">
        <v>30</v>
      </c>
      <c r="C63" s="248"/>
      <c r="D63" s="248"/>
      <c r="E63" s="248"/>
      <c r="F63" s="248"/>
      <c r="G63" s="248"/>
      <c r="H63" s="248"/>
      <c r="K63" s="224" t="s">
        <v>9</v>
      </c>
      <c r="L63" s="226"/>
      <c r="M63" s="49"/>
      <c r="N63" s="28"/>
      <c r="O63" s="31"/>
      <c r="P63" s="31"/>
      <c r="Q63" s="31"/>
      <c r="R63" s="31"/>
      <c r="S63" s="31"/>
      <c r="T63" s="31"/>
      <c r="U63" s="31"/>
      <c r="V63" s="32"/>
    </row>
    <row r="64" spans="1:22" ht="15.75" customHeight="1" x14ac:dyDescent="0.35">
      <c r="A64" s="234"/>
      <c r="B64" s="100" t="s">
        <v>31</v>
      </c>
      <c r="C64" s="100"/>
      <c r="D64" s="100"/>
      <c r="E64" s="100"/>
      <c r="F64" s="100"/>
      <c r="G64" s="100"/>
      <c r="H64" s="100"/>
      <c r="K64" s="224" t="str">
        <f>K28</f>
        <v>Équipement</v>
      </c>
      <c r="L64" s="226"/>
      <c r="M64" s="49"/>
      <c r="N64" s="53">
        <f>N28</f>
        <v>-275000</v>
      </c>
      <c r="O64" s="31"/>
      <c r="P64" s="31"/>
      <c r="Q64" s="31"/>
      <c r="R64" s="31"/>
      <c r="S64" s="31"/>
      <c r="T64" s="31"/>
      <c r="U64" s="31"/>
      <c r="V64" s="32"/>
    </row>
    <row r="65" spans="1:22" x14ac:dyDescent="0.35">
      <c r="A65" s="234"/>
      <c r="B65" s="241" t="s">
        <v>32</v>
      </c>
      <c r="C65" s="241"/>
      <c r="D65" s="241"/>
      <c r="E65" s="241"/>
      <c r="F65" s="241"/>
      <c r="G65" s="241"/>
      <c r="H65" s="241"/>
      <c r="K65" s="224" t="str">
        <f t="shared" ref="K65:K67" si="28">K29</f>
        <v>Immeuble</v>
      </c>
      <c r="L65" s="226"/>
      <c r="M65" s="49"/>
      <c r="N65" s="53">
        <f t="shared" ref="N65:N67" si="29">N29</f>
        <v>-526699.05213270138</v>
      </c>
      <c r="O65" s="31"/>
      <c r="P65" s="31"/>
      <c r="Q65" s="31"/>
      <c r="R65" s="31"/>
      <c r="S65" s="31"/>
      <c r="T65" s="31"/>
      <c r="U65" s="31"/>
      <c r="V65" s="32"/>
    </row>
    <row r="66" spans="1:22" ht="16" customHeight="1" x14ac:dyDescent="0.35">
      <c r="A66" s="93"/>
      <c r="B66" s="241" t="s">
        <v>33</v>
      </c>
      <c r="C66" s="241"/>
      <c r="D66" s="241"/>
      <c r="E66" s="241"/>
      <c r="F66" s="241"/>
      <c r="G66" s="241"/>
      <c r="H66" s="241"/>
      <c r="K66" s="224" t="str">
        <f t="shared" si="28"/>
        <v>Terrain</v>
      </c>
      <c r="L66" s="226"/>
      <c r="M66" s="49"/>
      <c r="N66" s="53">
        <f t="shared" si="29"/>
        <v>-765550.94786729862</v>
      </c>
      <c r="O66" s="31"/>
      <c r="P66" s="31"/>
      <c r="Q66" s="31"/>
      <c r="R66" s="31"/>
      <c r="S66" s="31"/>
      <c r="T66" s="31"/>
      <c r="U66" s="31"/>
      <c r="V66" s="32"/>
    </row>
    <row r="67" spans="1:22" ht="15.75" customHeight="1" x14ac:dyDescent="0.35">
      <c r="A67" s="93"/>
      <c r="B67" s="241"/>
      <c r="C67" s="241"/>
      <c r="D67" s="241"/>
      <c r="E67" s="241"/>
      <c r="F67" s="241"/>
      <c r="G67" s="241"/>
      <c r="H67" s="241"/>
      <c r="K67" s="224" t="str">
        <f t="shared" si="28"/>
        <v>Fond de roulement</v>
      </c>
      <c r="L67" s="226"/>
      <c r="M67" s="49"/>
      <c r="N67" s="53">
        <f t="shared" si="29"/>
        <v>-30000</v>
      </c>
      <c r="O67" s="31"/>
      <c r="P67" s="31"/>
      <c r="Q67" s="31"/>
      <c r="R67" s="31"/>
      <c r="S67" s="31"/>
      <c r="T67" s="31"/>
      <c r="U67" s="31"/>
      <c r="V67" s="32"/>
    </row>
    <row r="68" spans="1:22" x14ac:dyDescent="0.35">
      <c r="A68" s="93"/>
      <c r="B68" s="241"/>
      <c r="C68" s="241"/>
      <c r="D68" s="241"/>
      <c r="E68" s="241"/>
      <c r="F68" s="241"/>
      <c r="G68" s="241"/>
      <c r="H68" s="241"/>
      <c r="K68" s="224"/>
      <c r="L68" s="226"/>
      <c r="M68" s="49"/>
      <c r="N68" s="97"/>
      <c r="O68" s="97"/>
      <c r="P68" s="97"/>
      <c r="Q68" s="97"/>
      <c r="R68" s="97"/>
      <c r="S68" s="97"/>
      <c r="T68" s="97"/>
      <c r="U68" s="97"/>
      <c r="V68" s="34"/>
    </row>
    <row r="69" spans="1:22" ht="15.75" customHeight="1" x14ac:dyDescent="0.35">
      <c r="A69" s="93"/>
      <c r="B69" s="241"/>
      <c r="C69" s="241"/>
      <c r="D69" s="241"/>
      <c r="E69" s="241"/>
      <c r="F69" s="241"/>
      <c r="G69" s="241"/>
      <c r="H69" s="241"/>
      <c r="K69" s="242" t="s">
        <v>13</v>
      </c>
      <c r="L69" s="243"/>
      <c r="M69" s="62"/>
      <c r="N69" s="63"/>
      <c r="O69" s="63"/>
      <c r="P69" s="63"/>
      <c r="Q69" s="63"/>
      <c r="R69" s="63"/>
      <c r="S69" s="63"/>
      <c r="T69" s="63"/>
      <c r="U69" s="63"/>
      <c r="V69" s="66"/>
    </row>
    <row r="70" spans="1:22" ht="15.75" customHeight="1" x14ac:dyDescent="0.35">
      <c r="A70" s="233"/>
      <c r="B70" s="235" t="s">
        <v>44</v>
      </c>
      <c r="C70" s="235"/>
      <c r="D70" s="235"/>
      <c r="E70" s="235"/>
      <c r="F70" s="235"/>
      <c r="G70" s="235"/>
      <c r="H70" s="235"/>
      <c r="K70" s="224" t="str">
        <f>K34</f>
        <v>Équipement</v>
      </c>
      <c r="L70" s="226"/>
      <c r="M70" s="67"/>
      <c r="N70" s="29"/>
      <c r="O70" s="31"/>
      <c r="P70" s="31"/>
      <c r="Q70" s="31"/>
      <c r="R70" s="31"/>
      <c r="S70" s="31"/>
      <c r="T70" s="31"/>
      <c r="U70" s="31"/>
      <c r="V70" s="32">
        <f>V34</f>
        <v>177000</v>
      </c>
    </row>
    <row r="71" spans="1:22" x14ac:dyDescent="0.35">
      <c r="A71" s="234"/>
      <c r="B71" s="235"/>
      <c r="C71" s="235"/>
      <c r="D71" s="235"/>
      <c r="E71" s="235"/>
      <c r="F71" s="235"/>
      <c r="G71" s="235"/>
      <c r="H71" s="235"/>
      <c r="K71" s="224" t="str">
        <f t="shared" ref="K71:K73" si="30">K35</f>
        <v>Immeuble</v>
      </c>
      <c r="L71" s="226"/>
      <c r="M71" s="67"/>
      <c r="N71" s="29"/>
      <c r="O71" s="31"/>
      <c r="P71" s="31"/>
      <c r="Q71" s="31"/>
      <c r="R71" s="31"/>
      <c r="S71" s="31"/>
      <c r="T71" s="31"/>
      <c r="U71" s="31"/>
      <c r="V71" s="32">
        <f t="shared" ref="V71:V73" si="31">V35</f>
        <v>220000</v>
      </c>
    </row>
    <row r="72" spans="1:22" ht="15.75" customHeight="1" x14ac:dyDescent="0.35">
      <c r="A72" s="234"/>
      <c r="B72" s="235"/>
      <c r="C72" s="235"/>
      <c r="D72" s="235"/>
      <c r="E72" s="235"/>
      <c r="F72" s="235"/>
      <c r="G72" s="235"/>
      <c r="H72" s="235"/>
      <c r="K72" s="224" t="str">
        <f t="shared" si="30"/>
        <v>Terrain</v>
      </c>
      <c r="L72" s="226"/>
      <c r="M72" s="68"/>
      <c r="N72" s="29"/>
      <c r="O72" s="31"/>
      <c r="P72" s="31"/>
      <c r="Q72" s="31"/>
      <c r="R72" s="31"/>
      <c r="S72" s="31"/>
      <c r="T72" s="31"/>
      <c r="U72" s="31"/>
      <c r="V72" s="32">
        <f t="shared" si="31"/>
        <v>896964.94970389677</v>
      </c>
    </row>
    <row r="73" spans="1:22" x14ac:dyDescent="0.35">
      <c r="A73" s="234"/>
      <c r="B73" s="235"/>
      <c r="C73" s="235"/>
      <c r="D73" s="235"/>
      <c r="E73" s="235"/>
      <c r="F73" s="235"/>
      <c r="G73" s="235"/>
      <c r="H73" s="235"/>
      <c r="K73" s="224" t="str">
        <f t="shared" si="30"/>
        <v>Fond de roulement</v>
      </c>
      <c r="L73" s="226"/>
      <c r="M73" s="68"/>
      <c r="N73" s="29"/>
      <c r="O73" s="31"/>
      <c r="P73" s="31"/>
      <c r="Q73" s="31"/>
      <c r="R73" s="31"/>
      <c r="S73" s="31"/>
      <c r="T73" s="31"/>
      <c r="U73" s="31"/>
      <c r="V73" s="32">
        <f t="shared" si="31"/>
        <v>30000</v>
      </c>
    </row>
    <row r="74" spans="1:22" ht="16" thickBot="1" x14ac:dyDescent="0.4">
      <c r="A74" s="93"/>
      <c r="B74" s="236" t="s">
        <v>43</v>
      </c>
      <c r="C74" s="236"/>
      <c r="D74" s="236"/>
      <c r="E74" s="236"/>
      <c r="F74" s="236"/>
      <c r="G74" s="236"/>
      <c r="H74" s="236"/>
      <c r="K74" s="224"/>
      <c r="L74" s="226"/>
      <c r="M74" s="68"/>
      <c r="N74" s="97"/>
      <c r="O74" s="97"/>
      <c r="P74" s="97"/>
      <c r="Q74" s="97"/>
      <c r="R74" s="97"/>
      <c r="S74" s="97"/>
      <c r="T74" s="97"/>
      <c r="U74" s="97"/>
      <c r="V74" s="34"/>
    </row>
    <row r="75" spans="1:22" ht="17.149999999999999" customHeight="1" x14ac:dyDescent="0.35">
      <c r="K75" s="237" t="s">
        <v>23</v>
      </c>
      <c r="L75" s="238"/>
      <c r="M75" s="70"/>
      <c r="N75" s="71"/>
      <c r="O75" s="71"/>
      <c r="P75" s="71"/>
      <c r="Q75" s="71"/>
      <c r="R75" s="71"/>
      <c r="S75" s="71"/>
      <c r="T75" s="71"/>
      <c r="U75" s="71"/>
      <c r="V75" s="75">
        <f>U11</f>
        <v>-28271.58028799999</v>
      </c>
    </row>
    <row r="76" spans="1:22" x14ac:dyDescent="0.35">
      <c r="K76" s="239" t="str">
        <f>K40</f>
        <v>Al équipements (fermeture)</v>
      </c>
      <c r="L76" s="240"/>
      <c r="M76" s="68"/>
      <c r="N76" s="97"/>
      <c r="O76" s="31"/>
      <c r="P76" s="31"/>
      <c r="Q76" s="31"/>
      <c r="R76" s="31"/>
      <c r="S76" s="31"/>
      <c r="T76" s="31"/>
      <c r="U76" s="31"/>
      <c r="V76" s="32">
        <f>T12</f>
        <v>12140.426450092338</v>
      </c>
    </row>
    <row r="77" spans="1:22" x14ac:dyDescent="0.35">
      <c r="B77" s="185"/>
      <c r="C77" s="99"/>
      <c r="K77" s="231" t="str">
        <f t="shared" ref="K77:K78" si="32">K41</f>
        <v>Al immeuble (non fermeture)</v>
      </c>
      <c r="L77" s="232"/>
      <c r="M77" s="68"/>
      <c r="N77" s="97"/>
      <c r="O77" s="31"/>
      <c r="P77" s="31"/>
      <c r="Q77" s="31"/>
      <c r="R77" s="31"/>
      <c r="S77" s="31"/>
      <c r="T77" s="31"/>
      <c r="U77" s="31"/>
      <c r="V77" s="199">
        <f>-(P12-O12)*50%*M57</f>
        <v>-14849.782207535593</v>
      </c>
    </row>
    <row r="78" spans="1:22" x14ac:dyDescent="0.35">
      <c r="C78" s="99"/>
      <c r="K78" s="231" t="str">
        <f t="shared" si="32"/>
        <v>Impôt sur le gain sur terrain</v>
      </c>
      <c r="L78" s="232"/>
      <c r="M78" s="68"/>
      <c r="N78" s="97"/>
      <c r="O78" s="31"/>
      <c r="P78" s="31"/>
      <c r="Q78" s="31"/>
      <c r="R78" s="31"/>
      <c r="S78" s="31"/>
      <c r="T78" s="31"/>
      <c r="U78" s="31"/>
      <c r="V78" s="32"/>
    </row>
    <row r="79" spans="1:22" x14ac:dyDescent="0.35">
      <c r="K79" s="220"/>
      <c r="L79" s="221"/>
      <c r="M79" s="68"/>
      <c r="N79" s="29"/>
      <c r="O79" s="31"/>
      <c r="P79" s="31"/>
      <c r="Q79" s="31"/>
      <c r="R79" s="31"/>
      <c r="S79" s="31"/>
      <c r="T79" s="31"/>
      <c r="U79" s="31"/>
      <c r="V79" s="32"/>
    </row>
    <row r="80" spans="1:22" ht="16" customHeight="1" thickBot="1" x14ac:dyDescent="0.4">
      <c r="K80" s="222"/>
      <c r="L80" s="223"/>
      <c r="M80" s="76"/>
      <c r="N80" s="29"/>
      <c r="O80" s="31"/>
      <c r="P80" s="31"/>
      <c r="Q80" s="31"/>
      <c r="R80" s="31"/>
      <c r="S80" s="31"/>
      <c r="T80" s="31"/>
      <c r="U80" s="31"/>
      <c r="V80" s="32"/>
    </row>
    <row r="81" spans="11:22" ht="14.15" customHeight="1" x14ac:dyDescent="0.35">
      <c r="K81" s="224" t="s">
        <v>7</v>
      </c>
      <c r="L81" s="225"/>
      <c r="M81" s="80"/>
      <c r="N81" s="81">
        <f>SUM(N62:N77)</f>
        <v>-1597250</v>
      </c>
      <c r="O81" s="82">
        <f t="shared" ref="O81:V81" si="33">SUM(O62:O77)</f>
        <v>224487.49971563983</v>
      </c>
      <c r="P81" s="82">
        <f t="shared" si="33"/>
        <v>231744.95224265405</v>
      </c>
      <c r="Q81" s="82">
        <f t="shared" si="33"/>
        <v>229320.90695294787</v>
      </c>
      <c r="R81" s="82">
        <f t="shared" si="33"/>
        <v>227351.80747482996</v>
      </c>
      <c r="S81" s="82">
        <f t="shared" si="33"/>
        <v>291917.11917583679</v>
      </c>
      <c r="T81" s="82">
        <f t="shared" si="33"/>
        <v>290606.43856880331</v>
      </c>
      <c r="U81" s="82">
        <f t="shared" si="33"/>
        <v>289531.47299405118</v>
      </c>
      <c r="V81" s="198">
        <f t="shared" si="33"/>
        <v>1581630.1499471427</v>
      </c>
    </row>
    <row r="82" spans="11:22" ht="15" customHeight="1" x14ac:dyDescent="0.35">
      <c r="K82" s="224" t="s">
        <v>14</v>
      </c>
      <c r="L82" s="226"/>
      <c r="M82" s="184">
        <f>8.5%</f>
        <v>8.5000000000000006E-2</v>
      </c>
      <c r="N82" s="120">
        <f>(1+$M$82)^-N51</f>
        <v>1</v>
      </c>
      <c r="O82" s="79">
        <f t="shared" ref="O82:V82" si="34">(1+$M$82)^-O51</f>
        <v>0.92165898617511521</v>
      </c>
      <c r="P82" s="79">
        <f t="shared" si="34"/>
        <v>0.84945528679734128</v>
      </c>
      <c r="Q82" s="79">
        <f t="shared" si="34"/>
        <v>0.78290809843072917</v>
      </c>
      <c r="R82" s="79">
        <f t="shared" si="34"/>
        <v>0.72157428426795334</v>
      </c>
      <c r="S82" s="79">
        <f t="shared" si="34"/>
        <v>0.66504542328843619</v>
      </c>
      <c r="T82" s="79">
        <f t="shared" si="34"/>
        <v>0.6129450905884205</v>
      </c>
      <c r="U82" s="79">
        <f t="shared" si="34"/>
        <v>0.56492635077273778</v>
      </c>
      <c r="V82" s="119">
        <f t="shared" si="34"/>
        <v>0.52066944771680901</v>
      </c>
    </row>
    <row r="83" spans="11:22" ht="16" thickBot="1" x14ac:dyDescent="0.4">
      <c r="K83" s="227" t="s">
        <v>15</v>
      </c>
      <c r="L83" s="228"/>
      <c r="M83" s="85"/>
      <c r="N83" s="86">
        <f>N81*N82</f>
        <v>-1597250</v>
      </c>
      <c r="O83" s="83">
        <f t="shared" ref="O83:V83" si="35">O81*O82</f>
        <v>206900.92139690308</v>
      </c>
      <c r="P83" s="83">
        <f t="shared" si="35"/>
        <v>196856.97487111986</v>
      </c>
      <c r="Q83" s="83">
        <f t="shared" si="35"/>
        <v>179537.1951929426</v>
      </c>
      <c r="R83" s="83">
        <f t="shared" si="35"/>
        <v>164051.21775567596</v>
      </c>
      <c r="S83" s="83">
        <f t="shared" si="35"/>
        <v>194138.14408743524</v>
      </c>
      <c r="T83" s="83">
        <f t="shared" si="35"/>
        <v>178125.7898141334</v>
      </c>
      <c r="U83" s="83">
        <f t="shared" si="35"/>
        <v>163563.95847238481</v>
      </c>
      <c r="V83" s="84">
        <f t="shared" si="35"/>
        <v>823506.49666523258</v>
      </c>
    </row>
    <row r="84" spans="11:22" ht="15.75" customHeight="1" thickBot="1" x14ac:dyDescent="0.4">
      <c r="K84" s="51" t="s">
        <v>46</v>
      </c>
      <c r="L84" s="115">
        <f>SUM(N83:V83)</f>
        <v>509430.69825582765</v>
      </c>
    </row>
    <row r="85" spans="11:22" ht="16" thickBot="1" x14ac:dyDescent="0.4"/>
    <row r="86" spans="11:22" ht="15.75" customHeight="1" thickBot="1" x14ac:dyDescent="0.4">
      <c r="K86" s="229" t="s">
        <v>47</v>
      </c>
      <c r="L86" s="230"/>
      <c r="M86" s="94"/>
      <c r="P86" s="97"/>
      <c r="Q86" s="97"/>
      <c r="R86" s="97"/>
      <c r="S86" s="97"/>
      <c r="T86" s="97"/>
      <c r="U86" s="97"/>
      <c r="V86" s="97"/>
    </row>
    <row r="87" spans="11:22" x14ac:dyDescent="0.35">
      <c r="K87" s="211" t="s">
        <v>106</v>
      </c>
      <c r="L87" s="212"/>
      <c r="M87" s="212"/>
      <c r="N87" s="212"/>
      <c r="O87" s="212"/>
      <c r="P87" s="212"/>
      <c r="Q87" s="212"/>
      <c r="R87" s="212"/>
      <c r="S87" s="212"/>
      <c r="T87" s="212"/>
      <c r="U87" s="212"/>
      <c r="V87" s="213"/>
    </row>
    <row r="88" spans="11:22" x14ac:dyDescent="0.35">
      <c r="K88" s="214"/>
      <c r="L88" s="215"/>
      <c r="M88" s="215"/>
      <c r="N88" s="215"/>
      <c r="O88" s="215"/>
      <c r="P88" s="215"/>
      <c r="Q88" s="215"/>
      <c r="R88" s="215"/>
      <c r="S88" s="215"/>
      <c r="T88" s="215"/>
      <c r="U88" s="215"/>
      <c r="V88" s="216"/>
    </row>
    <row r="89" spans="11:22" ht="16" thickBot="1" x14ac:dyDescent="0.4">
      <c r="K89" s="217"/>
      <c r="L89" s="218"/>
      <c r="M89" s="218"/>
      <c r="N89" s="218"/>
      <c r="O89" s="218"/>
      <c r="P89" s="218"/>
      <c r="Q89" s="218"/>
      <c r="R89" s="218"/>
      <c r="S89" s="218"/>
      <c r="T89" s="218"/>
      <c r="U89" s="218"/>
      <c r="V89" s="219"/>
    </row>
    <row r="96" spans="11:22" x14ac:dyDescent="0.35">
      <c r="M96" s="4">
        <f>L84/L48 -1</f>
        <v>0.61446299578944807</v>
      </c>
    </row>
  </sheetData>
  <mergeCells count="96">
    <mergeCell ref="E1:F1"/>
    <mergeCell ref="B2:F2"/>
    <mergeCell ref="G2:H2"/>
    <mergeCell ref="B3:H10"/>
    <mergeCell ref="R3:S3"/>
    <mergeCell ref="B17:H19"/>
    <mergeCell ref="K17:L17"/>
    <mergeCell ref="K18:L18"/>
    <mergeCell ref="K19:L19"/>
    <mergeCell ref="B11:H16"/>
    <mergeCell ref="K15:L15"/>
    <mergeCell ref="K16:L16"/>
    <mergeCell ref="B20:H23"/>
    <mergeCell ref="K20:L20"/>
    <mergeCell ref="K21:L21"/>
    <mergeCell ref="K22:L22"/>
    <mergeCell ref="K23:L23"/>
    <mergeCell ref="B24:H28"/>
    <mergeCell ref="K24:L24"/>
    <mergeCell ref="K25:L25"/>
    <mergeCell ref="K26:L26"/>
    <mergeCell ref="K27:L27"/>
    <mergeCell ref="K28:L28"/>
    <mergeCell ref="B29:H33"/>
    <mergeCell ref="K29:L29"/>
    <mergeCell ref="K30:L30"/>
    <mergeCell ref="K31:L31"/>
    <mergeCell ref="K32:L32"/>
    <mergeCell ref="K33:L33"/>
    <mergeCell ref="K43:L43"/>
    <mergeCell ref="K34:L34"/>
    <mergeCell ref="C35:D35"/>
    <mergeCell ref="E35:F35"/>
    <mergeCell ref="K35:L35"/>
    <mergeCell ref="C36:C38"/>
    <mergeCell ref="D36:D38"/>
    <mergeCell ref="E36:E38"/>
    <mergeCell ref="F36:F38"/>
    <mergeCell ref="K36:L36"/>
    <mergeCell ref="K37:L37"/>
    <mergeCell ref="K38:L38"/>
    <mergeCell ref="K39:L39"/>
    <mergeCell ref="K40:L40"/>
    <mergeCell ref="K41:L41"/>
    <mergeCell ref="K42:L42"/>
    <mergeCell ref="B49:H54"/>
    <mergeCell ref="K51:L51"/>
    <mergeCell ref="K52:L52"/>
    <mergeCell ref="K53:L53"/>
    <mergeCell ref="K54:L54"/>
    <mergeCell ref="K44:L44"/>
    <mergeCell ref="B45:H48"/>
    <mergeCell ref="K45:L45"/>
    <mergeCell ref="K46:L46"/>
    <mergeCell ref="K47:L47"/>
    <mergeCell ref="K55:L55"/>
    <mergeCell ref="K56:L56"/>
    <mergeCell ref="K57:L57"/>
    <mergeCell ref="B58:H59"/>
    <mergeCell ref="K58:L58"/>
    <mergeCell ref="K59:L59"/>
    <mergeCell ref="B60:H61"/>
    <mergeCell ref="K60:L60"/>
    <mergeCell ref="K61:L61"/>
    <mergeCell ref="A62:A65"/>
    <mergeCell ref="B62:H62"/>
    <mergeCell ref="K62:L62"/>
    <mergeCell ref="B63:H63"/>
    <mergeCell ref="K63:L63"/>
    <mergeCell ref="K64:L64"/>
    <mergeCell ref="B65:H65"/>
    <mergeCell ref="K65:L65"/>
    <mergeCell ref="B66:H69"/>
    <mergeCell ref="K66:L66"/>
    <mergeCell ref="K67:L67"/>
    <mergeCell ref="K68:L68"/>
    <mergeCell ref="K69:L69"/>
    <mergeCell ref="K78:L78"/>
    <mergeCell ref="A70:A73"/>
    <mergeCell ref="B70:H73"/>
    <mergeCell ref="K70:L70"/>
    <mergeCell ref="K71:L71"/>
    <mergeCell ref="K72:L72"/>
    <mergeCell ref="K73:L73"/>
    <mergeCell ref="B74:H74"/>
    <mergeCell ref="K74:L74"/>
    <mergeCell ref="K75:L75"/>
    <mergeCell ref="K76:L76"/>
    <mergeCell ref="K77:L77"/>
    <mergeCell ref="K87:V89"/>
    <mergeCell ref="K79:L79"/>
    <mergeCell ref="K80:L80"/>
    <mergeCell ref="K81:L81"/>
    <mergeCell ref="K82:L82"/>
    <mergeCell ref="K83:L83"/>
    <mergeCell ref="K86:L86"/>
  </mergeCells>
  <pageMargins left="0.7" right="0.7" top="0.75" bottom="0.75" header="0.3" footer="0.3"/>
  <pageSetup orientation="portrait" r:id="rId1"/>
  <ignoredErrors>
    <ignoredError sqref="O53:V5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0DEF1-BA9C-41C3-B023-B896F02EA1D1}">
  <dimension ref="B1:X45"/>
  <sheetViews>
    <sheetView zoomScale="70" zoomScaleNormal="70" workbookViewId="0">
      <selection activeCell="G24" sqref="G24"/>
    </sheetView>
  </sheetViews>
  <sheetFormatPr baseColWidth="10" defaultColWidth="10.75" defaultRowHeight="15.5" x14ac:dyDescent="0.35"/>
  <cols>
    <col min="1" max="1" width="3.08203125" style="4" customWidth="1"/>
    <col min="2" max="2" width="11" style="4" bestFit="1" customWidth="1"/>
    <col min="3" max="3" width="28.75" style="4" bestFit="1" customWidth="1"/>
    <col min="4" max="4" width="20.75" style="4" bestFit="1" customWidth="1"/>
    <col min="5" max="5" width="21.08203125" style="4" customWidth="1"/>
    <col min="6" max="6" width="17.58203125" style="4" bestFit="1" customWidth="1"/>
    <col min="7" max="7" width="25" style="4" customWidth="1"/>
    <col min="8" max="8" width="17.58203125" style="4" bestFit="1" customWidth="1"/>
    <col min="9" max="22" width="10.75" style="4"/>
    <col min="23" max="23" width="13.5" style="4" bestFit="1" customWidth="1"/>
    <col min="24" max="16384" width="10.75" style="4"/>
  </cols>
  <sheetData>
    <row r="1" spans="2:24" x14ac:dyDescent="0.35">
      <c r="J1" s="132" t="s">
        <v>10</v>
      </c>
      <c r="K1" s="132" t="s">
        <v>11</v>
      </c>
      <c r="L1" s="132" t="s">
        <v>12</v>
      </c>
      <c r="M1" s="132" t="s">
        <v>10</v>
      </c>
      <c r="N1" s="132" t="s">
        <v>11</v>
      </c>
      <c r="O1" s="132" t="s">
        <v>12</v>
      </c>
      <c r="P1" s="107" t="s">
        <v>26</v>
      </c>
      <c r="Q1" s="107" t="s">
        <v>27</v>
      </c>
      <c r="R1" s="107" t="s">
        <v>26</v>
      </c>
      <c r="S1" s="107" t="s">
        <v>27</v>
      </c>
      <c r="T1" s="151" t="s">
        <v>56</v>
      </c>
      <c r="U1" s="151" t="s">
        <v>57</v>
      </c>
      <c r="V1" s="131" t="s">
        <v>46</v>
      </c>
      <c r="W1" s="131" t="s">
        <v>46</v>
      </c>
      <c r="X1" s="132" t="s">
        <v>54</v>
      </c>
    </row>
    <row r="2" spans="2:24" x14ac:dyDescent="0.35">
      <c r="B2" s="5" t="s">
        <v>0</v>
      </c>
      <c r="C2" s="138" t="str">
        <f>Ennoncé!C1</f>
        <v>Hemed</v>
      </c>
      <c r="D2" s="139" t="s">
        <v>3</v>
      </c>
      <c r="E2" s="141" t="str">
        <f>Ennoncé!E1</f>
        <v>Salha</v>
      </c>
      <c r="F2" s="140" t="s">
        <v>4</v>
      </c>
      <c r="G2" s="9">
        <f>Ennoncé!H1</f>
        <v>1949062</v>
      </c>
      <c r="H2" s="10" t="s">
        <v>5</v>
      </c>
      <c r="I2" s="142">
        <f>Ennoncé!J1</f>
        <v>3</v>
      </c>
      <c r="J2" s="133">
        <f>Ennoncé!G6</f>
        <v>0</v>
      </c>
      <c r="K2" s="133">
        <f>Ennoncé!H6</f>
        <v>0</v>
      </c>
      <c r="L2" s="133">
        <f>Ennoncé!I6</f>
        <v>0</v>
      </c>
      <c r="M2" s="134">
        <f>Ennoncé!G7</f>
        <v>0</v>
      </c>
      <c r="N2" s="134">
        <f>Ennoncé!H7</f>
        <v>0</v>
      </c>
      <c r="O2" s="134">
        <f>Ennoncé!I7</f>
        <v>0</v>
      </c>
      <c r="P2" s="135">
        <f>Ennoncé!H11</f>
        <v>0</v>
      </c>
      <c r="Q2" s="135">
        <f>Ennoncé!I11</f>
        <v>0</v>
      </c>
      <c r="R2" s="135">
        <f>Ennoncé!H12</f>
        <v>0</v>
      </c>
      <c r="S2" s="135">
        <f>Ennoncé!I12</f>
        <v>0</v>
      </c>
      <c r="T2" s="136">
        <f>SUM(Ennoncé!X5:AO5)</f>
        <v>0</v>
      </c>
      <c r="U2" s="136">
        <f>SUM(Ennoncé!X13:AO13)</f>
        <v>0</v>
      </c>
      <c r="V2" s="151">
        <f>Ennoncé!AS3</f>
        <v>0</v>
      </c>
      <c r="W2" s="137">
        <f>Ennoncé!CC3</f>
        <v>0</v>
      </c>
      <c r="X2" s="152">
        <f>Ennoncé!CE4</f>
        <v>0</v>
      </c>
    </row>
    <row r="3" spans="2:24" x14ac:dyDescent="0.35">
      <c r="B3" s="5" t="s">
        <v>0</v>
      </c>
      <c r="C3" s="138" t="e">
        <f>Ennoncé!#REF!</f>
        <v>#REF!</v>
      </c>
      <c r="D3" s="139" t="s">
        <v>3</v>
      </c>
      <c r="E3" s="141" t="e">
        <f>Ennoncé!#REF!</f>
        <v>#REF!</v>
      </c>
      <c r="F3" s="140" t="s">
        <v>4</v>
      </c>
      <c r="G3" s="9" t="e">
        <f>Ennoncé!#REF!</f>
        <v>#REF!</v>
      </c>
      <c r="H3" s="10" t="s">
        <v>5</v>
      </c>
      <c r="I3" s="142" t="e">
        <f>Ennoncé!#REF!</f>
        <v>#REF!</v>
      </c>
      <c r="J3" s="133">
        <f>Ennoncé!G7</f>
        <v>0</v>
      </c>
      <c r="K3" s="133">
        <f>Ennoncé!H7</f>
        <v>0</v>
      </c>
      <c r="L3" s="133">
        <f>Ennoncé!I7</f>
        <v>0</v>
      </c>
      <c r="M3" s="134">
        <f>Ennoncé!G8</f>
        <v>0</v>
      </c>
      <c r="N3" s="134">
        <f>Ennoncé!H8</f>
        <v>0</v>
      </c>
      <c r="O3" s="134">
        <f>Ennoncé!I8</f>
        <v>0</v>
      </c>
      <c r="P3" s="135">
        <f>Ennoncé!H12</f>
        <v>0</v>
      </c>
      <c r="Q3" s="135">
        <f>Ennoncé!I12</f>
        <v>0</v>
      </c>
      <c r="R3" s="135">
        <f>Ennoncé!H13</f>
        <v>0</v>
      </c>
      <c r="S3" s="135">
        <f>Ennoncé!I13</f>
        <v>0</v>
      </c>
      <c r="T3" s="136">
        <f>SUM(Ennoncé!X6:AO6)</f>
        <v>0</v>
      </c>
      <c r="U3" s="136">
        <f>SUM(Ennoncé!X14:AO14)</f>
        <v>0</v>
      </c>
      <c r="V3" s="151">
        <f>Ennoncé!AS4</f>
        <v>0</v>
      </c>
      <c r="W3" s="137">
        <f>Ennoncé!CC4</f>
        <v>0</v>
      </c>
      <c r="X3" s="152">
        <f>Ennoncé!CE5</f>
        <v>0</v>
      </c>
    </row>
    <row r="4" spans="2:24" x14ac:dyDescent="0.35">
      <c r="B4" s="5" t="s">
        <v>0</v>
      </c>
      <c r="C4" s="138" t="e">
        <f>Ennoncé!#REF!</f>
        <v>#REF!</v>
      </c>
      <c r="D4" s="139" t="s">
        <v>3</v>
      </c>
      <c r="E4" s="141" t="e">
        <f>Ennoncé!#REF!</f>
        <v>#REF!</v>
      </c>
      <c r="F4" s="140" t="s">
        <v>4</v>
      </c>
      <c r="G4" s="9" t="e">
        <f>Ennoncé!#REF!</f>
        <v>#REF!</v>
      </c>
      <c r="H4" s="10" t="s">
        <v>5</v>
      </c>
      <c r="I4" s="142" t="e">
        <f>Ennoncé!#REF!</f>
        <v>#REF!</v>
      </c>
      <c r="J4" s="133">
        <f>Ennoncé!G8</f>
        <v>0</v>
      </c>
      <c r="K4" s="133">
        <f>Ennoncé!H8</f>
        <v>0</v>
      </c>
      <c r="L4" s="133">
        <f>Ennoncé!I8</f>
        <v>0</v>
      </c>
      <c r="M4" s="134">
        <f>Ennoncé!G9</f>
        <v>0</v>
      </c>
      <c r="N4" s="134">
        <f>Ennoncé!H9</f>
        <v>0</v>
      </c>
      <c r="O4" s="134">
        <f>Ennoncé!I9</f>
        <v>0</v>
      </c>
      <c r="P4" s="135">
        <f>Ennoncé!H13</f>
        <v>0</v>
      </c>
      <c r="Q4" s="135">
        <f>Ennoncé!I13</f>
        <v>0</v>
      </c>
      <c r="R4" s="135">
        <f>Ennoncé!H14</f>
        <v>0</v>
      </c>
      <c r="S4" s="135">
        <f>Ennoncé!I14</f>
        <v>0</v>
      </c>
      <c r="T4" s="136">
        <f>SUM(Ennoncé!X7:AO7)</f>
        <v>0</v>
      </c>
      <c r="U4" s="136">
        <f>SUM(Ennoncé!X15:AO15)</f>
        <v>0</v>
      </c>
      <c r="V4" s="151">
        <f>Ennoncé!AS5</f>
        <v>0</v>
      </c>
      <c r="W4" s="137">
        <f>Ennoncé!CC5</f>
        <v>0</v>
      </c>
      <c r="X4" s="152">
        <f>Ennoncé!CE6</f>
        <v>0</v>
      </c>
    </row>
    <row r="5" spans="2:24" x14ac:dyDescent="0.35">
      <c r="B5" s="5" t="s">
        <v>0</v>
      </c>
      <c r="C5" s="138" t="e">
        <f>Ennoncé!#REF!</f>
        <v>#REF!</v>
      </c>
      <c r="D5" s="139" t="s">
        <v>3</v>
      </c>
      <c r="E5" s="141" t="e">
        <f>Ennoncé!#REF!</f>
        <v>#REF!</v>
      </c>
      <c r="F5" s="140" t="s">
        <v>4</v>
      </c>
      <c r="G5" s="9" t="e">
        <f>Ennoncé!#REF!</f>
        <v>#REF!</v>
      </c>
      <c r="H5" s="10" t="s">
        <v>5</v>
      </c>
      <c r="I5" s="142" t="e">
        <f>Ennoncé!#REF!</f>
        <v>#REF!</v>
      </c>
      <c r="J5" s="133">
        <f>Ennoncé!G9</f>
        <v>0</v>
      </c>
      <c r="K5" s="133">
        <f>Ennoncé!H9</f>
        <v>0</v>
      </c>
      <c r="L5" s="133">
        <f>Ennoncé!I9</f>
        <v>0</v>
      </c>
      <c r="M5" s="134">
        <f>Ennoncé!G10</f>
        <v>0</v>
      </c>
      <c r="N5" s="134">
        <f>Ennoncé!H10</f>
        <v>0</v>
      </c>
      <c r="O5" s="134">
        <f>Ennoncé!I10</f>
        <v>0</v>
      </c>
      <c r="P5" s="135">
        <f>Ennoncé!H14</f>
        <v>0</v>
      </c>
      <c r="Q5" s="135">
        <f>Ennoncé!I14</f>
        <v>0</v>
      </c>
      <c r="R5" s="135">
        <f>Ennoncé!H15</f>
        <v>0</v>
      </c>
      <c r="S5" s="135">
        <f>Ennoncé!I15</f>
        <v>0</v>
      </c>
      <c r="T5" s="136">
        <f>SUM(Ennoncé!X8:AO8)</f>
        <v>0</v>
      </c>
      <c r="U5" s="136">
        <f>SUM(Ennoncé!X16:AO16)</f>
        <v>0</v>
      </c>
      <c r="V5" s="151">
        <f>Ennoncé!AS6</f>
        <v>0</v>
      </c>
      <c r="W5" s="137">
        <f>Ennoncé!CC6</f>
        <v>0</v>
      </c>
      <c r="X5" s="152">
        <f>Ennoncé!CE7</f>
        <v>0</v>
      </c>
    </row>
    <row r="6" spans="2:24" ht="16" customHeight="1" x14ac:dyDescent="0.35">
      <c r="B6" s="5" t="s">
        <v>0</v>
      </c>
      <c r="C6" s="138" t="e">
        <f>Ennoncé!#REF!</f>
        <v>#REF!</v>
      </c>
      <c r="D6" s="139" t="s">
        <v>3</v>
      </c>
      <c r="E6" s="141" t="e">
        <f>Ennoncé!#REF!</f>
        <v>#REF!</v>
      </c>
      <c r="F6" s="140" t="s">
        <v>4</v>
      </c>
      <c r="G6" s="9" t="e">
        <f>Ennoncé!#REF!</f>
        <v>#REF!</v>
      </c>
      <c r="H6" s="10" t="s">
        <v>5</v>
      </c>
      <c r="I6" s="142" t="e">
        <f>Ennoncé!#REF!</f>
        <v>#REF!</v>
      </c>
      <c r="J6" s="133">
        <f>Ennoncé!G10</f>
        <v>0</v>
      </c>
      <c r="K6" s="133">
        <f>Ennoncé!H10</f>
        <v>0</v>
      </c>
      <c r="L6" s="133">
        <f>Ennoncé!I10</f>
        <v>0</v>
      </c>
      <c r="M6" s="134">
        <f>Ennoncé!G11</f>
        <v>0</v>
      </c>
      <c r="N6" s="134">
        <f>Ennoncé!H11</f>
        <v>0</v>
      </c>
      <c r="O6" s="134">
        <f>Ennoncé!I11</f>
        <v>0</v>
      </c>
      <c r="P6" s="135">
        <f>Ennoncé!H15</f>
        <v>0</v>
      </c>
      <c r="Q6" s="135">
        <f>Ennoncé!I15</f>
        <v>0</v>
      </c>
      <c r="R6" s="135">
        <f>Ennoncé!H16</f>
        <v>0</v>
      </c>
      <c r="S6" s="135">
        <f>Ennoncé!I16</f>
        <v>0</v>
      </c>
      <c r="T6" s="136">
        <f>SUM(Ennoncé!X9:AO9)</f>
        <v>0</v>
      </c>
      <c r="U6" s="136">
        <f>SUM(Ennoncé!X17:AO17)</f>
        <v>0</v>
      </c>
      <c r="V6" s="151">
        <f>Ennoncé!AS7</f>
        <v>0</v>
      </c>
      <c r="W6" s="137">
        <f>Ennoncé!CC7</f>
        <v>0</v>
      </c>
      <c r="X6" s="152">
        <f>Ennoncé!CE8</f>
        <v>0</v>
      </c>
    </row>
    <row r="7" spans="2:24" ht="14.15" customHeight="1" x14ac:dyDescent="0.35"/>
    <row r="8" spans="2:24" ht="14.15" customHeight="1" x14ac:dyDescent="0.35"/>
    <row r="9" spans="2:24" ht="14.15" customHeight="1" x14ac:dyDescent="0.35"/>
    <row r="10" spans="2:24" ht="14.15" customHeight="1" x14ac:dyDescent="0.35"/>
    <row r="11" spans="2:24" ht="14.15" customHeight="1" x14ac:dyDescent="0.35"/>
    <row r="14" spans="2:24" ht="16" customHeight="1" x14ac:dyDescent="0.35"/>
    <row r="20" ht="16" customHeight="1" x14ac:dyDescent="0.35"/>
    <row r="21" ht="14.15" customHeight="1" x14ac:dyDescent="0.35"/>
    <row r="23" ht="15.75" customHeight="1" x14ac:dyDescent="0.35"/>
    <row r="25" ht="16" customHeight="1" x14ac:dyDescent="0.35"/>
    <row r="26" ht="15.75" customHeight="1" x14ac:dyDescent="0.35"/>
    <row r="28" ht="15.75" customHeight="1" x14ac:dyDescent="0.35"/>
    <row r="29" ht="15.75" customHeight="1" x14ac:dyDescent="0.35"/>
    <row r="31" ht="15.75" customHeight="1" x14ac:dyDescent="0.35"/>
    <row r="34" ht="17.149999999999999" customHeight="1" x14ac:dyDescent="0.35"/>
    <row r="39" ht="16" customHeight="1" x14ac:dyDescent="0.35"/>
    <row r="40" ht="14.15" customHeight="1" x14ac:dyDescent="0.35"/>
    <row r="41" ht="15" customHeight="1" x14ac:dyDescent="0.35"/>
    <row r="43" ht="15.75" customHeight="1" x14ac:dyDescent="0.35"/>
    <row r="45" ht="15.75" customHeight="1" x14ac:dyDescent="0.3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B92A9E-F020-4502-90BC-216FD32BC1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Directives</vt:lpstr>
      <vt:lpstr>Ennoncé</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 Ramdani</dc:creator>
  <cp:lastModifiedBy>Salha Hemed</cp:lastModifiedBy>
  <dcterms:created xsi:type="dcterms:W3CDTF">2020-03-12T19:48:50Z</dcterms:created>
  <dcterms:modified xsi:type="dcterms:W3CDTF">2020-12-04T17:38:12Z</dcterms:modified>
</cp:coreProperties>
</file>