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_\OneDrive\Automne 2020 (Session 5-2)\Économie\TP\TP3\"/>
    </mc:Choice>
  </mc:AlternateContent>
  <xr:revisionPtr revIDLastSave="5" documentId="8_{27633ACC-E7F8-4265-BC88-62E7663C5E83}" xr6:coauthVersionLast="45" xr6:coauthVersionMax="45" xr10:uidLastSave="{1482F673-CEFB-403E-A92F-885CC32BD741}"/>
  <bookViews>
    <workbookView minimized="1" xWindow="2660" yWindow="1240" windowWidth="11610" windowHeight="13800" xr2:uid="{5F50F68D-EFE4-4566-A793-83CC88CAF9D7}"/>
  </bookViews>
  <sheets>
    <sheet name="Feuil1" sheetId="1" r:id="rId1"/>
  </sheets>
  <definedNames>
    <definedName name="solver_adj" localSheetId="0" hidden="1">Feuil1!$P$37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Feuil1!$P$36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6" i="1" l="1"/>
  <c r="P20" i="1" l="1"/>
  <c r="P32" i="1"/>
  <c r="R42" i="1"/>
  <c r="P40" i="1"/>
  <c r="P39" i="1"/>
  <c r="M34" i="1"/>
  <c r="P33" i="1"/>
  <c r="M31" i="1"/>
  <c r="M32" i="1"/>
  <c r="P30" i="1"/>
  <c r="P19" i="1"/>
  <c r="M23" i="1"/>
  <c r="M24" i="1"/>
  <c r="M22" i="1"/>
  <c r="M21" i="1"/>
  <c r="M20" i="1"/>
  <c r="M19" i="1"/>
  <c r="C11" i="1"/>
  <c r="B11" i="1"/>
  <c r="P21" i="1"/>
  <c r="P25" i="1"/>
  <c r="K31" i="1"/>
  <c r="K13" i="1"/>
  <c r="B13" i="1"/>
  <c r="D13" i="1"/>
  <c r="C13" i="1"/>
  <c r="C12" i="1"/>
  <c r="C10" i="1"/>
  <c r="B12" i="1"/>
  <c r="B10" i="1"/>
  <c r="B9" i="1"/>
  <c r="Q2" i="1"/>
  <c r="N10" i="1"/>
  <c r="O2" i="1"/>
  <c r="M2" i="1"/>
  <c r="M4" i="1"/>
  <c r="M12" i="1"/>
  <c r="D54" i="1"/>
  <c r="C51" i="1"/>
  <c r="F11" i="1"/>
  <c r="F12" i="1"/>
  <c r="F13" i="1"/>
  <c r="F30" i="1"/>
  <c r="G42" i="1"/>
  <c r="D53" i="1"/>
  <c r="D58" i="1"/>
  <c r="D46" i="1"/>
  <c r="G46" i="1"/>
  <c r="D45" i="1"/>
  <c r="D44" i="1"/>
  <c r="D43" i="1"/>
  <c r="F42" i="1"/>
  <c r="E42" i="1"/>
  <c r="C53" i="1"/>
  <c r="C58" i="1"/>
  <c r="D42" i="1"/>
  <c r="B53" i="1"/>
  <c r="B44" i="1"/>
  <c r="C41" i="1"/>
  <c r="A28" i="1"/>
  <c r="A27" i="1"/>
  <c r="A26" i="1"/>
  <c r="C24" i="1"/>
  <c r="A10" i="1"/>
  <c r="F10" i="1"/>
  <c r="A9" i="1"/>
  <c r="F9" i="1"/>
  <c r="A8" i="1"/>
  <c r="F8" i="1"/>
  <c r="N12" i="1"/>
  <c r="O12" i="1"/>
  <c r="N6" i="1"/>
  <c r="E44" i="1"/>
  <c r="E43" i="1"/>
  <c r="G43" i="1"/>
  <c r="F44" i="1"/>
  <c r="F45" i="1"/>
  <c r="E45" i="1"/>
  <c r="N8" i="1"/>
  <c r="C56" i="1"/>
  <c r="D56" i="1"/>
  <c r="C55" i="1"/>
  <c r="D55" i="1"/>
  <c r="C59" i="1"/>
  <c r="B29" i="1"/>
  <c r="C29" i="1"/>
  <c r="B26" i="1"/>
  <c r="F26" i="1"/>
  <c r="C28" i="1"/>
  <c r="B28" i="1"/>
  <c r="C31" i="1"/>
  <c r="B27" i="1"/>
  <c r="C27" i="1"/>
  <c r="B31" i="1"/>
  <c r="N4" i="1"/>
  <c r="O4" i="1"/>
  <c r="M6" i="1"/>
  <c r="F21" i="1"/>
  <c r="G45" i="1"/>
  <c r="D57" i="1"/>
  <c r="B59" i="1"/>
  <c r="D59" i="1"/>
  <c r="G59" i="1"/>
  <c r="O6" i="1"/>
  <c r="M8" i="1"/>
  <c r="O8" i="1"/>
  <c r="F31" i="1"/>
  <c r="G44" i="1"/>
  <c r="F28" i="1"/>
  <c r="F29" i="1"/>
  <c r="F27" i="1"/>
  <c r="F39" i="1"/>
  <c r="G49" i="1"/>
  <c r="M10" i="1"/>
  <c r="O10" i="1"/>
</calcChain>
</file>

<file path=xl/sharedStrings.xml><?xml version="1.0" encoding="utf-8"?>
<sst xmlns="http://schemas.openxmlformats.org/spreadsheetml/2006/main" count="113" uniqueCount="64">
  <si>
    <t>Montants</t>
  </si>
  <si>
    <t>Montants act.</t>
  </si>
  <si>
    <t>Réponse</t>
  </si>
  <si>
    <t>i</t>
  </si>
  <si>
    <t>Fact.Act1</t>
  </si>
  <si>
    <t>Fact.Act2</t>
  </si>
  <si>
    <t>Fact.Act3</t>
  </si>
  <si>
    <t>Fact.Act4</t>
  </si>
  <si>
    <t>Partie 2</t>
  </si>
  <si>
    <t>Calculs</t>
  </si>
  <si>
    <t>Partie 1</t>
  </si>
  <si>
    <t>Partie 3</t>
  </si>
  <si>
    <t>NOM :</t>
  </si>
  <si>
    <t>Prénom :</t>
  </si>
  <si>
    <t>Matricule:</t>
  </si>
  <si>
    <t>Gr:</t>
  </si>
  <si>
    <t>a)</t>
  </si>
  <si>
    <t>b)</t>
  </si>
  <si>
    <t>Aug. Salaire</t>
  </si>
  <si>
    <t>% dernier salaire</t>
  </si>
  <si>
    <t>TRAM</t>
  </si>
  <si>
    <t xml:space="preserve">Montant </t>
  </si>
  <si>
    <t>Montant act.</t>
  </si>
  <si>
    <t>Montant</t>
  </si>
  <si>
    <t>Facteur act.</t>
  </si>
  <si>
    <t>Partie 4</t>
  </si>
  <si>
    <t>c)</t>
  </si>
  <si>
    <t>d)</t>
  </si>
  <si>
    <t>e)</t>
  </si>
  <si>
    <t>Partie 5</t>
  </si>
  <si>
    <t>Hemed</t>
  </si>
  <si>
    <t>Salha</t>
  </si>
  <si>
    <r>
      <t>i</t>
    </r>
    <r>
      <rPr>
        <b/>
        <vertAlign val="subscript"/>
        <sz val="11"/>
        <color theme="1"/>
        <rFont val="Times New Roman"/>
        <family val="1"/>
      </rPr>
      <t>1</t>
    </r>
  </si>
  <si>
    <r>
      <t>i</t>
    </r>
    <r>
      <rPr>
        <b/>
        <vertAlign val="subscript"/>
        <sz val="11"/>
        <color theme="1"/>
        <rFont val="Times New Roman"/>
        <family val="1"/>
      </rPr>
      <t>2</t>
    </r>
  </si>
  <si>
    <t>ra</t>
  </si>
  <si>
    <t>m</t>
  </si>
  <si>
    <t>v</t>
  </si>
  <si>
    <t>ipp</t>
  </si>
  <si>
    <t>Données:</t>
  </si>
  <si>
    <t>Étape 1:</t>
  </si>
  <si>
    <t>Année 0</t>
  </si>
  <si>
    <t>Année 1</t>
  </si>
  <si>
    <t>Année 2 à 10</t>
  </si>
  <si>
    <t>Total:</t>
  </si>
  <si>
    <t>Étape 2:</t>
  </si>
  <si>
    <t>n1</t>
  </si>
  <si>
    <t>n2</t>
  </si>
  <si>
    <t>n3</t>
  </si>
  <si>
    <t>n4</t>
  </si>
  <si>
    <t>g</t>
  </si>
  <si>
    <t>n</t>
  </si>
  <si>
    <t>Montant total=A+P(P/A;8%;10)+G(P/G;8%;10)</t>
  </si>
  <si>
    <t>V</t>
  </si>
  <si>
    <t>b</t>
  </si>
  <si>
    <t>r</t>
  </si>
  <si>
    <t>I=V*b/m=</t>
  </si>
  <si>
    <t>VA=I(P/A;r;n)+V(P/F;r;n)=</t>
  </si>
  <si>
    <t>P</t>
  </si>
  <si>
    <t>(Résolu avec le solveur Excell)</t>
  </si>
  <si>
    <t>(P/A;r%;n)</t>
  </si>
  <si>
    <t>(P/F;r%;n)</t>
  </si>
  <si>
    <t>VAN(r)=0</t>
  </si>
  <si>
    <t>Rendement effectif annuel =</t>
  </si>
  <si>
    <t>Rendement nominal annuel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</si>
</sst>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$&quot;_);[Red]\(#,##0.00\ &quot;$&quot;\)"/>
    <numFmt numFmtId="44" formatCode="_ * #,##0.00_)\ &quot;$&quot;_ ;_ * \(#,##0.00\)\ &quot;$&quot;_ ;_ * &quot;-&quot;??_)\ &quot;$&quot;_ ;_ @_ "/>
    <numFmt numFmtId="164" formatCode="_ * #,##0_)\ &quot;$&quot;_ ;_ * \(#,##0\)\ &quot;$&quot;_ ;_ * &quot;-&quot;??_)\ &quot;$&quot;_ ;_ @_ "/>
    <numFmt numFmtId="165" formatCode="0.000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  <font>
      <b/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3" fillId="0" borderId="0" xfId="0" applyFont="1"/>
    <xf numFmtId="0" fontId="4" fillId="0" borderId="1" xfId="0" applyFont="1" applyBorder="1"/>
    <xf numFmtId="2" fontId="4" fillId="0" borderId="1" xfId="0" applyNumberFormat="1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64" fontId="3" fillId="0" borderId="5" xfId="1" applyNumberFormat="1" applyFont="1" applyBorder="1"/>
    <xf numFmtId="2" fontId="3" fillId="0" borderId="6" xfId="0" applyNumberFormat="1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2" fontId="3" fillId="0" borderId="9" xfId="0" applyNumberFormat="1" applyFont="1" applyBorder="1"/>
    <xf numFmtId="164" fontId="3" fillId="0" borderId="10" xfId="1" applyNumberFormat="1" applyFont="1" applyBorder="1"/>
    <xf numFmtId="0" fontId="4" fillId="0" borderId="11" xfId="0" applyFont="1" applyBorder="1"/>
    <xf numFmtId="164" fontId="4" fillId="2" borderId="12" xfId="1" applyNumberFormat="1" applyFont="1" applyFill="1" applyBorder="1"/>
    <xf numFmtId="0" fontId="4" fillId="0" borderId="13" xfId="0" applyFont="1" applyBorder="1"/>
    <xf numFmtId="2" fontId="3" fillId="0" borderId="14" xfId="0" applyNumberFormat="1" applyFont="1" applyBorder="1"/>
    <xf numFmtId="2" fontId="3" fillId="0" borderId="15" xfId="0" applyNumberFormat="1" applyFont="1" applyBorder="1"/>
    <xf numFmtId="0" fontId="4" fillId="0" borderId="16" xfId="0" applyFont="1" applyBorder="1"/>
    <xf numFmtId="0" fontId="4" fillId="0" borderId="0" xfId="0" applyFont="1"/>
    <xf numFmtId="0" fontId="3" fillId="0" borderId="22" xfId="0" applyFont="1" applyBorder="1"/>
    <xf numFmtId="0" fontId="4" fillId="0" borderId="23" xfId="0" applyFont="1" applyBorder="1"/>
    <xf numFmtId="0" fontId="6" fillId="0" borderId="0" xfId="0" applyFont="1"/>
    <xf numFmtId="0" fontId="6" fillId="0" borderId="20" xfId="0" applyFont="1" applyBorder="1"/>
    <xf numFmtId="0" fontId="4" fillId="0" borderId="25" xfId="0" applyFont="1" applyBorder="1" applyAlignment="1">
      <alignment vertical="center"/>
    </xf>
    <xf numFmtId="0" fontId="6" fillId="0" borderId="17" xfId="0" applyFont="1" applyBorder="1"/>
    <xf numFmtId="0" fontId="6" fillId="0" borderId="17" xfId="2" applyNumberFormat="1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 applyAlignment="1">
      <alignment wrapText="1"/>
    </xf>
    <xf numFmtId="0" fontId="6" fillId="0" borderId="21" xfId="0" applyFont="1" applyBorder="1"/>
    <xf numFmtId="0" fontId="6" fillId="0" borderId="22" xfId="0" applyFont="1" applyBorder="1"/>
    <xf numFmtId="0" fontId="2" fillId="0" borderId="0" xfId="0" applyFont="1"/>
    <xf numFmtId="0" fontId="6" fillId="0" borderId="0" xfId="0" applyFont="1" applyBorder="1"/>
    <xf numFmtId="0" fontId="3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164" fontId="3" fillId="2" borderId="16" xfId="1" applyNumberFormat="1" applyFont="1" applyFill="1" applyBorder="1" applyAlignment="1">
      <alignment horizontal="center"/>
    </xf>
    <xf numFmtId="164" fontId="3" fillId="2" borderId="24" xfId="1" applyNumberFormat="1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Alignment="1">
      <alignment horizontal="right"/>
    </xf>
    <xf numFmtId="164" fontId="4" fillId="2" borderId="16" xfId="1" applyNumberFormat="1" applyFont="1" applyFill="1" applyBorder="1" applyAlignment="1">
      <alignment horizontal="center"/>
    </xf>
    <xf numFmtId="164" fontId="4" fillId="2" borderId="24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/>
    <xf numFmtId="0" fontId="4" fillId="0" borderId="0" xfId="0" applyFont="1" applyFill="1" applyBorder="1"/>
    <xf numFmtId="164" fontId="3" fillId="0" borderId="0" xfId="1" applyNumberFormat="1" applyFont="1" applyFill="1" applyBorder="1" applyAlignment="1">
      <alignment horizontal="center"/>
    </xf>
    <xf numFmtId="0" fontId="4" fillId="0" borderId="6" xfId="0" applyFont="1" applyBorder="1"/>
    <xf numFmtId="0" fontId="3" fillId="0" borderId="6" xfId="0" applyFont="1" applyBorder="1"/>
    <xf numFmtId="44" fontId="4" fillId="2" borderId="6" xfId="1" applyFont="1" applyFill="1" applyBorder="1"/>
    <xf numFmtId="44" fontId="3" fillId="0" borderId="6" xfId="1" applyFont="1" applyBorder="1"/>
    <xf numFmtId="9" fontId="6" fillId="0" borderId="0" xfId="0" applyNumberFormat="1" applyFont="1" applyBorder="1"/>
    <xf numFmtId="164" fontId="0" fillId="0" borderId="0" xfId="0" applyNumberFormat="1"/>
    <xf numFmtId="44" fontId="0" fillId="0" borderId="0" xfId="0" applyNumberFormat="1"/>
    <xf numFmtId="0" fontId="0" fillId="0" borderId="0" xfId="0" applyFill="1" applyBorder="1"/>
    <xf numFmtId="164" fontId="4" fillId="0" borderId="0" xfId="1" applyNumberFormat="1" applyFont="1" applyFill="1" applyBorder="1" applyAlignment="1"/>
    <xf numFmtId="0" fontId="6" fillId="0" borderId="6" xfId="0" applyFont="1" applyBorder="1"/>
    <xf numFmtId="0" fontId="8" fillId="0" borderId="17" xfId="0" applyFont="1" applyBorder="1"/>
    <xf numFmtId="0" fontId="9" fillId="0" borderId="19" xfId="0" applyFont="1" applyBorder="1"/>
    <xf numFmtId="0" fontId="4" fillId="0" borderId="9" xfId="0" applyFont="1" applyBorder="1"/>
    <xf numFmtId="0" fontId="4" fillId="0" borderId="28" xfId="0" applyFont="1" applyBorder="1"/>
    <xf numFmtId="0" fontId="6" fillId="0" borderId="1" xfId="0" applyFont="1" applyBorder="1"/>
    <xf numFmtId="0" fontId="6" fillId="0" borderId="29" xfId="0" applyFont="1" applyBorder="1"/>
    <xf numFmtId="0" fontId="6" fillId="0" borderId="30" xfId="0" applyFont="1" applyBorder="1"/>
    <xf numFmtId="164" fontId="6" fillId="0" borderId="0" xfId="1" applyNumberFormat="1" applyFont="1" applyBorder="1"/>
    <xf numFmtId="2" fontId="6" fillId="0" borderId="0" xfId="0" applyNumberFormat="1" applyFont="1" applyBorder="1"/>
    <xf numFmtId="2" fontId="6" fillId="0" borderId="0" xfId="0" applyNumberFormat="1" applyFont="1" applyBorder="1" applyAlignment="1">
      <alignment wrapText="1"/>
    </xf>
    <xf numFmtId="8" fontId="6" fillId="0" borderId="0" xfId="0" applyNumberFormat="1" applyFont="1" applyBorder="1"/>
    <xf numFmtId="2" fontId="6" fillId="0" borderId="22" xfId="0" applyNumberFormat="1" applyFont="1" applyBorder="1"/>
    <xf numFmtId="164" fontId="8" fillId="0" borderId="0" xfId="1" applyNumberFormat="1" applyFont="1" applyFill="1" applyBorder="1"/>
    <xf numFmtId="164" fontId="4" fillId="0" borderId="22" xfId="1" applyNumberFormat="1" applyFont="1" applyBorder="1"/>
    <xf numFmtId="165" fontId="3" fillId="0" borderId="6" xfId="0" applyNumberFormat="1" applyFont="1" applyBorder="1"/>
    <xf numFmtId="166" fontId="3" fillId="0" borderId="6" xfId="0" applyNumberFormat="1" applyFont="1" applyBorder="1"/>
    <xf numFmtId="0" fontId="4" fillId="0" borderId="6" xfId="0" applyNumberFormat="1" applyFont="1" applyBorder="1"/>
    <xf numFmtId="44" fontId="4" fillId="2" borderId="6" xfId="1" applyNumberFormat="1" applyFont="1" applyFill="1" applyBorder="1"/>
    <xf numFmtId="0" fontId="4" fillId="0" borderId="31" xfId="0" applyFont="1" applyFill="1" applyBorder="1"/>
    <xf numFmtId="164" fontId="3" fillId="0" borderId="0" xfId="0" applyNumberFormat="1" applyFont="1"/>
    <xf numFmtId="0" fontId="3" fillId="0" borderId="19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NumberFormat="1" applyFont="1"/>
    <xf numFmtId="164" fontId="4" fillId="0" borderId="0" xfId="0" applyNumberFormat="1" applyFont="1"/>
    <xf numFmtId="0" fontId="10" fillId="0" borderId="17" xfId="0" applyFont="1" applyBorder="1" applyAlignment="1">
      <alignment horizontal="center" vertical="center"/>
    </xf>
    <xf numFmtId="44" fontId="6" fillId="0" borderId="0" xfId="1" applyFont="1" applyBorder="1"/>
    <xf numFmtId="1" fontId="6" fillId="0" borderId="0" xfId="0" applyNumberFormat="1" applyFont="1" applyBorder="1"/>
    <xf numFmtId="0" fontId="6" fillId="0" borderId="0" xfId="3" applyNumberFormat="1" applyFont="1" applyBorder="1"/>
    <xf numFmtId="49" fontId="6" fillId="0" borderId="0" xfId="0" applyNumberFormat="1" applyFont="1" applyBorder="1"/>
    <xf numFmtId="44" fontId="6" fillId="0" borderId="20" xfId="0" applyNumberFormat="1" applyFont="1" applyBorder="1"/>
    <xf numFmtId="44" fontId="8" fillId="0" borderId="20" xfId="0" applyNumberFormat="1" applyFont="1" applyBorder="1"/>
    <xf numFmtId="0" fontId="3" fillId="0" borderId="21" xfId="0" applyFont="1" applyBorder="1"/>
    <xf numFmtId="44" fontId="6" fillId="0" borderId="6" xfId="1" applyFont="1" applyBorder="1"/>
    <xf numFmtId="1" fontId="6" fillId="0" borderId="6" xfId="0" applyNumberFormat="1" applyFont="1" applyBorder="1"/>
    <xf numFmtId="0" fontId="6" fillId="0" borderId="6" xfId="3" applyNumberFormat="1" applyFont="1" applyBorder="1"/>
    <xf numFmtId="0" fontId="6" fillId="0" borderId="5" xfId="0" applyFont="1" applyBorder="1"/>
    <xf numFmtId="0" fontId="3" fillId="0" borderId="5" xfId="0" applyFont="1" applyBorder="1"/>
    <xf numFmtId="44" fontId="3" fillId="0" borderId="20" xfId="0" applyNumberFormat="1" applyFont="1" applyFill="1" applyBorder="1"/>
    <xf numFmtId="44" fontId="6" fillId="0" borderId="20" xfId="1" applyFont="1" applyBorder="1"/>
    <xf numFmtId="0" fontId="6" fillId="0" borderId="6" xfId="0" applyNumberFormat="1" applyFont="1" applyBorder="1"/>
    <xf numFmtId="0" fontId="3" fillId="0" borderId="17" xfId="0" applyFont="1" applyBorder="1"/>
    <xf numFmtId="2" fontId="6" fillId="0" borderId="0" xfId="1" applyNumberFormat="1" applyFont="1" applyBorder="1"/>
    <xf numFmtId="0" fontId="3" fillId="0" borderId="0" xfId="0" applyFont="1" applyBorder="1" applyAlignment="1"/>
    <xf numFmtId="0" fontId="3" fillId="0" borderId="19" xfId="0" applyFont="1" applyBorder="1"/>
    <xf numFmtId="44" fontId="3" fillId="0" borderId="22" xfId="0" applyNumberFormat="1" applyFont="1" applyFill="1" applyBorder="1"/>
    <xf numFmtId="0" fontId="3" fillId="0" borderId="18" xfId="0" applyFont="1" applyBorder="1"/>
    <xf numFmtId="0" fontId="3" fillId="0" borderId="20" xfId="0" applyFont="1" applyBorder="1"/>
    <xf numFmtId="165" fontId="4" fillId="0" borderId="0" xfId="0" applyNumberFormat="1" applyFont="1" applyBorder="1"/>
    <xf numFmtId="44" fontId="3" fillId="0" borderId="6" xfId="1" applyNumberFormat="1" applyFont="1" applyBorder="1"/>
    <xf numFmtId="44" fontId="4" fillId="2" borderId="27" xfId="0" applyNumberFormat="1" applyFont="1" applyFill="1" applyBorder="1"/>
    <xf numFmtId="10" fontId="4" fillId="2" borderId="27" xfId="3" applyNumberFormat="1" applyFont="1" applyFill="1" applyBorder="1"/>
    <xf numFmtId="0" fontId="3" fillId="0" borderId="0" xfId="0" applyFont="1" applyBorder="1" applyAlignment="1">
      <alignment horizontal="center"/>
    </xf>
    <xf numFmtId="0" fontId="6" fillId="0" borderId="17" xfId="2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2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</cellXfs>
  <cellStyles count="4">
    <cellStyle name="Monétaire" xfId="1" builtinId="4"/>
    <cellStyle name="Normal" xfId="0" builtinId="0"/>
    <cellStyle name="Pourcentage" xfId="3" builtinId="5"/>
    <cellStyle name="Pourcentage 2" xfId="2" xr:uid="{ECCAAE3C-7EF3-462D-9E2D-ED118CD12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38BE-B0EC-4BDF-A225-114B986C922D}">
  <dimension ref="A1:V95"/>
  <sheetViews>
    <sheetView tabSelected="1" view="pageLayout" topLeftCell="L21" zoomScale="98" zoomScaleNormal="100" zoomScalePageLayoutView="98" workbookViewId="0">
      <selection activeCell="P37" sqref="P37"/>
    </sheetView>
  </sheetViews>
  <sheetFormatPr baseColWidth="10" defaultColWidth="10.7265625" defaultRowHeight="14.5" x14ac:dyDescent="0.35"/>
  <cols>
    <col min="4" max="4" width="13.1796875" bestFit="1" customWidth="1"/>
    <col min="5" max="5" width="11.26953125" bestFit="1" customWidth="1"/>
    <col min="6" max="6" width="13.54296875" customWidth="1"/>
    <col min="7" max="7" width="10.90625" customWidth="1"/>
    <col min="8" max="8" width="14" customWidth="1"/>
    <col min="9" max="9" width="10.90625" customWidth="1"/>
    <col min="13" max="13" width="17.08984375" bestFit="1" customWidth="1"/>
    <col min="14" max="14" width="20.26953125" customWidth="1"/>
    <col min="15" max="15" width="16.81640625" bestFit="1" customWidth="1"/>
    <col min="16" max="16" width="11.08984375" bestFit="1" customWidth="1"/>
    <col min="18" max="18" width="17.08984375" customWidth="1"/>
  </cols>
  <sheetData>
    <row r="1" spans="1:21" x14ac:dyDescent="0.35">
      <c r="A1" s="19" t="s">
        <v>12</v>
      </c>
      <c r="B1" s="111" t="s">
        <v>30</v>
      </c>
      <c r="C1" s="111"/>
      <c r="D1" s="19" t="s">
        <v>13</v>
      </c>
      <c r="E1" s="111" t="s">
        <v>31</v>
      </c>
      <c r="F1" s="111"/>
      <c r="G1" s="41" t="s">
        <v>14</v>
      </c>
      <c r="H1" s="112">
        <v>1949062</v>
      </c>
      <c r="I1" s="112"/>
      <c r="J1" s="41" t="s">
        <v>15</v>
      </c>
      <c r="K1">
        <v>3</v>
      </c>
      <c r="L1" s="32" t="s">
        <v>25</v>
      </c>
    </row>
    <row r="2" spans="1:21" x14ac:dyDescent="0.35">
      <c r="L2" s="19" t="s">
        <v>18</v>
      </c>
      <c r="M2" s="1">
        <f>3%</f>
        <v>0.03</v>
      </c>
      <c r="N2" s="19" t="s">
        <v>19</v>
      </c>
      <c r="O2" s="1">
        <f>0.72</f>
        <v>0.72</v>
      </c>
      <c r="P2" s="19" t="s">
        <v>20</v>
      </c>
      <c r="Q2" s="1">
        <f>6%</f>
        <v>0.06</v>
      </c>
      <c r="R2" s="1"/>
      <c r="S2" s="1"/>
    </row>
    <row r="3" spans="1:21" x14ac:dyDescent="0.35">
      <c r="L3" s="48"/>
      <c r="M3" s="48" t="s">
        <v>21</v>
      </c>
      <c r="N3" s="74" t="s">
        <v>24</v>
      </c>
      <c r="O3" s="48" t="s">
        <v>22</v>
      </c>
      <c r="P3" s="34"/>
      <c r="Q3" s="44"/>
      <c r="R3" s="44"/>
      <c r="S3" s="44"/>
      <c r="T3" s="45"/>
    </row>
    <row r="4" spans="1:21" x14ac:dyDescent="0.35">
      <c r="L4" s="49" t="s">
        <v>16</v>
      </c>
      <c r="M4" s="51">
        <f>76000</f>
        <v>76000</v>
      </c>
      <c r="N4" s="8">
        <f>FV(M2,39,,-1)</f>
        <v>3.1670269825233714</v>
      </c>
      <c r="O4" s="50">
        <f>PRODUCT(M4:N4)</f>
        <v>240694.05067177623</v>
      </c>
      <c r="P4" s="34"/>
      <c r="Q4" s="44"/>
      <c r="R4" s="44"/>
      <c r="S4" s="44"/>
      <c r="T4" s="45"/>
    </row>
    <row r="5" spans="1:21" x14ac:dyDescent="0.35">
      <c r="A5" s="32" t="s">
        <v>10</v>
      </c>
      <c r="L5" s="49"/>
      <c r="M5" s="48" t="s">
        <v>21</v>
      </c>
      <c r="N5" s="74" t="s">
        <v>24</v>
      </c>
      <c r="O5" s="48" t="s">
        <v>22</v>
      </c>
      <c r="P5" s="40"/>
      <c r="Q5" s="46"/>
      <c r="R5" s="47"/>
      <c r="S5" s="47"/>
      <c r="T5" s="45"/>
    </row>
    <row r="6" spans="1:21" ht="16.5" thickBot="1" x14ac:dyDescent="0.45">
      <c r="A6" s="1" t="s">
        <v>16</v>
      </c>
      <c r="B6" s="2" t="s">
        <v>32</v>
      </c>
      <c r="C6" s="3">
        <v>0.1</v>
      </c>
      <c r="D6" s="2" t="s">
        <v>33</v>
      </c>
      <c r="E6" s="3">
        <v>0.08</v>
      </c>
      <c r="F6" s="1"/>
      <c r="L6" s="49" t="s">
        <v>17</v>
      </c>
      <c r="M6" s="51">
        <f>O4*O2</f>
        <v>173299.71648367887</v>
      </c>
      <c r="N6" s="8">
        <f>PV(Q2,30,-1)</f>
        <v>13.76483115148943</v>
      </c>
      <c r="O6" s="50">
        <f>PRODUCT(M6:N6)</f>
        <v>2385441.335998829</v>
      </c>
      <c r="P6" s="34"/>
      <c r="Q6" s="44"/>
      <c r="R6" s="44"/>
      <c r="S6" s="44"/>
      <c r="T6" s="45"/>
    </row>
    <row r="7" spans="1:21" x14ac:dyDescent="0.35">
      <c r="A7" s="4" t="s">
        <v>0</v>
      </c>
      <c r="B7" s="5" t="s">
        <v>4</v>
      </c>
      <c r="C7" s="5" t="s">
        <v>5</v>
      </c>
      <c r="D7" s="5" t="s">
        <v>6</v>
      </c>
      <c r="E7" s="15" t="s">
        <v>7</v>
      </c>
      <c r="F7" s="6" t="s">
        <v>1</v>
      </c>
      <c r="G7" s="76" t="s">
        <v>45</v>
      </c>
      <c r="H7" s="81" t="s">
        <v>46</v>
      </c>
      <c r="I7" s="46" t="s">
        <v>47</v>
      </c>
      <c r="J7" s="46" t="s">
        <v>48</v>
      </c>
      <c r="K7" s="46" t="s">
        <v>49</v>
      </c>
      <c r="L7" s="48"/>
      <c r="M7" s="48" t="s">
        <v>21</v>
      </c>
      <c r="N7" s="74" t="s">
        <v>24</v>
      </c>
      <c r="O7" s="48" t="s">
        <v>22</v>
      </c>
      <c r="P7" s="34"/>
      <c r="Q7" s="44"/>
      <c r="R7" s="44"/>
      <c r="S7" s="44"/>
      <c r="T7" s="45"/>
    </row>
    <row r="8" spans="1:21" x14ac:dyDescent="0.35">
      <c r="A8" s="7">
        <f>-300</f>
        <v>-300</v>
      </c>
      <c r="B8" s="8"/>
      <c r="C8" s="8"/>
      <c r="D8" s="8"/>
      <c r="E8" s="8"/>
      <c r="F8" s="9">
        <f>PRODUCT(A8:E8)</f>
        <v>-300</v>
      </c>
      <c r="G8" s="1"/>
      <c r="H8" s="77"/>
      <c r="I8" s="1"/>
      <c r="J8" s="1"/>
      <c r="K8" s="1"/>
      <c r="L8" s="49" t="s">
        <v>26</v>
      </c>
      <c r="M8" s="106">
        <f>O6</f>
        <v>2385441.335998829</v>
      </c>
      <c r="N8" s="72">
        <f>PMT(Q2,40,,-1)</f>
        <v>6.4615359206755185E-3</v>
      </c>
      <c r="O8" s="50">
        <f>PRODUCT(M8:N8)</f>
        <v>15413.614879220633</v>
      </c>
      <c r="P8" s="34"/>
      <c r="Q8" s="44"/>
      <c r="R8" s="44"/>
      <c r="S8" s="44"/>
      <c r="T8" s="45"/>
    </row>
    <row r="9" spans="1:21" x14ac:dyDescent="0.35">
      <c r="A9" s="7">
        <f>310</f>
        <v>310</v>
      </c>
      <c r="B9" s="8">
        <f>PV(C6,G9,-1)</f>
        <v>2.4868519909842246</v>
      </c>
      <c r="C9" s="8"/>
      <c r="D9" s="8"/>
      <c r="E9" s="8"/>
      <c r="F9" s="9">
        <f t="shared" ref="F9:F13" si="0">PRODUCT(A9:E9)</f>
        <v>770.92411720510961</v>
      </c>
      <c r="G9" s="1">
        <v>3</v>
      </c>
      <c r="H9" s="77"/>
      <c r="I9" s="1"/>
      <c r="J9" s="1"/>
      <c r="K9" s="1"/>
      <c r="L9" s="49"/>
      <c r="M9" s="48" t="s">
        <v>21</v>
      </c>
      <c r="N9" s="74" t="s">
        <v>24</v>
      </c>
      <c r="O9" s="48" t="s">
        <v>22</v>
      </c>
      <c r="P9" s="34"/>
      <c r="Q9" s="44"/>
      <c r="R9" s="44"/>
      <c r="S9" s="44"/>
      <c r="T9" s="45"/>
    </row>
    <row r="10" spans="1:21" ht="14.5" customHeight="1" x14ac:dyDescent="0.35">
      <c r="A10" s="7">
        <f>320</f>
        <v>320</v>
      </c>
      <c r="B10" s="8">
        <f>PV(C6,G10,-1)</f>
        <v>2.4868519909842246</v>
      </c>
      <c r="C10" s="8">
        <f>PV(C6,H10,,-1)</f>
        <v>0.75131480090157754</v>
      </c>
      <c r="D10" s="8"/>
      <c r="E10" s="8"/>
      <c r="F10" s="9">
        <f t="shared" si="0"/>
        <v>597.89078671296136</v>
      </c>
      <c r="G10" s="78">
        <v>3</v>
      </c>
      <c r="H10" s="79">
        <v>3</v>
      </c>
      <c r="I10" s="1"/>
      <c r="J10" s="1"/>
      <c r="K10" s="1"/>
      <c r="L10" s="49" t="s">
        <v>27</v>
      </c>
      <c r="M10" s="51">
        <f>O6</f>
        <v>2385441.335998829</v>
      </c>
      <c r="N10" s="73">
        <f>PV(Q2,40,,-1)</f>
        <v>9.7222187708505589E-2</v>
      </c>
      <c r="O10" s="75">
        <f>PRODUCT(M10:N10)</f>
        <v>231917.8253361065</v>
      </c>
      <c r="P10" s="34"/>
      <c r="Q10" s="44"/>
      <c r="R10" s="44"/>
      <c r="S10" s="44"/>
      <c r="T10" s="45"/>
    </row>
    <row r="11" spans="1:21" x14ac:dyDescent="0.35">
      <c r="A11" s="7">
        <v>50</v>
      </c>
      <c r="B11" s="8">
        <f>(1/C6)*(((((1+C6)^G11)-1)/(C6*(1+C6)^G11))-(G11/(1+C6)^G11))</f>
        <v>2.3290758827949221</v>
      </c>
      <c r="C11" s="8">
        <f>PV(C6,H11,,-1)</f>
        <v>0.75131480090157754</v>
      </c>
      <c r="D11" s="8"/>
      <c r="E11" s="8"/>
      <c r="F11" s="9">
        <f t="shared" si="0"/>
        <v>87.493459158336648</v>
      </c>
      <c r="G11" s="78">
        <v>3</v>
      </c>
      <c r="H11" s="79">
        <v>3</v>
      </c>
      <c r="I11" s="1"/>
      <c r="J11" s="1"/>
      <c r="K11" s="1"/>
      <c r="L11" s="49"/>
      <c r="M11" s="48" t="s">
        <v>23</v>
      </c>
      <c r="N11" s="74" t="s">
        <v>24</v>
      </c>
      <c r="O11" s="48" t="s">
        <v>22</v>
      </c>
      <c r="P11" s="34"/>
      <c r="Q11" s="46"/>
      <c r="R11" s="47"/>
      <c r="S11" s="47"/>
      <c r="T11" s="45"/>
    </row>
    <row r="12" spans="1:21" x14ac:dyDescent="0.35">
      <c r="A12" s="7">
        <v>-300</v>
      </c>
      <c r="B12" s="8">
        <f>PV(E6,G12,,-1)</f>
        <v>0.92592592592592582</v>
      </c>
      <c r="C12" s="8">
        <f>PV(C6,H12,,-1)</f>
        <v>0.56447393005377722</v>
      </c>
      <c r="D12" s="8"/>
      <c r="E12" s="8"/>
      <c r="F12" s="9">
        <f t="shared" si="0"/>
        <v>-156.79831390382699</v>
      </c>
      <c r="G12" s="1">
        <v>1</v>
      </c>
      <c r="H12" s="1">
        <v>6</v>
      </c>
      <c r="I12" s="1"/>
      <c r="J12" s="1"/>
      <c r="K12" s="1"/>
      <c r="L12" s="49" t="s">
        <v>28</v>
      </c>
      <c r="M12" s="51">
        <f>M4</f>
        <v>76000</v>
      </c>
      <c r="N12" s="8">
        <f>((1-((1+(M2))^40)*((1+Q2)^-40))/(Q2-(M2)))</f>
        <v>22.761918315800905</v>
      </c>
      <c r="O12" s="50">
        <f>PRODUCT(M12:N12)</f>
        <v>1729905.7920008688</v>
      </c>
      <c r="P12" s="34"/>
      <c r="Q12" s="44"/>
      <c r="R12" s="44"/>
      <c r="S12" s="44"/>
      <c r="T12" s="45"/>
    </row>
    <row r="13" spans="1:21" x14ac:dyDescent="0.35">
      <c r="A13" s="7">
        <v>420</v>
      </c>
      <c r="B13" s="8">
        <f>((1-((1+K13)^G13)*((1+E6)^-3))/(E6-K13))</f>
        <v>2.4568314027333247</v>
      </c>
      <c r="C13" s="8">
        <f>PV(E6,H13,,-1)</f>
        <v>0.85733882030178321</v>
      </c>
      <c r="D13" s="8">
        <f>PV(C6,I13,,-1)</f>
        <v>0.56447393005377722</v>
      </c>
      <c r="E13" s="8"/>
      <c r="F13" s="9">
        <f t="shared" si="0"/>
        <v>499.36836119665111</v>
      </c>
      <c r="G13" s="1">
        <v>3</v>
      </c>
      <c r="H13" s="80">
        <v>2</v>
      </c>
      <c r="I13" s="1">
        <v>6</v>
      </c>
      <c r="J13" s="1"/>
      <c r="K13" s="1">
        <f>-5%</f>
        <v>-0.05</v>
      </c>
      <c r="L13" s="39"/>
      <c r="M13" s="39"/>
      <c r="N13" s="39"/>
      <c r="O13" s="39"/>
      <c r="P13" s="39"/>
      <c r="Q13" s="46"/>
      <c r="R13" s="44"/>
      <c r="S13" s="44"/>
      <c r="T13" s="45"/>
    </row>
    <row r="14" spans="1:21" x14ac:dyDescent="0.35">
      <c r="A14" s="7"/>
      <c r="B14" s="8"/>
      <c r="C14" s="8"/>
      <c r="D14" s="8"/>
      <c r="E14" s="16"/>
      <c r="F14" s="9"/>
      <c r="H14" s="54"/>
      <c r="L14" s="39" t="s">
        <v>29</v>
      </c>
      <c r="M14" s="39"/>
      <c r="N14" s="39"/>
      <c r="O14" s="39"/>
      <c r="P14" s="39"/>
      <c r="Q14" s="46"/>
      <c r="R14" s="44"/>
      <c r="S14" s="44"/>
      <c r="T14" s="45"/>
    </row>
    <row r="15" spans="1:21" x14ac:dyDescent="0.35">
      <c r="A15" s="7"/>
      <c r="B15" s="8"/>
      <c r="C15" s="8"/>
      <c r="D15" s="8"/>
      <c r="E15" s="16"/>
      <c r="F15" s="9"/>
      <c r="H15" s="54"/>
      <c r="L15" s="39"/>
      <c r="M15" s="39"/>
      <c r="N15" s="39"/>
      <c r="O15" s="39"/>
      <c r="P15" s="34"/>
      <c r="Q15" s="46"/>
      <c r="R15" s="47"/>
      <c r="S15" s="47"/>
      <c r="T15" s="55"/>
      <c r="U15" s="40"/>
    </row>
    <row r="16" spans="1:21" x14ac:dyDescent="0.35">
      <c r="A16" s="7"/>
      <c r="B16" s="8"/>
      <c r="C16" s="8"/>
      <c r="D16" s="8"/>
      <c r="E16" s="16"/>
      <c r="F16" s="9"/>
      <c r="H16" s="54"/>
      <c r="L16" s="34" t="s">
        <v>16</v>
      </c>
      <c r="M16" s="34"/>
      <c r="N16" s="34"/>
      <c r="O16" s="34"/>
      <c r="P16" s="34"/>
      <c r="Q16" s="34"/>
      <c r="R16" s="34"/>
      <c r="S16" s="34"/>
      <c r="T16" s="40"/>
      <c r="U16" s="40"/>
    </row>
    <row r="17" spans="1:22" ht="15" thickBot="1" x14ac:dyDescent="0.4">
      <c r="A17" s="7"/>
      <c r="B17" s="8"/>
      <c r="C17" s="8"/>
      <c r="D17" s="8"/>
      <c r="E17" s="16"/>
      <c r="F17" s="9"/>
      <c r="H17" s="54"/>
      <c r="L17" s="39"/>
      <c r="M17" s="34"/>
      <c r="N17" s="34"/>
      <c r="O17" s="34"/>
      <c r="P17" s="34"/>
      <c r="Q17" s="34"/>
      <c r="R17" s="34"/>
      <c r="S17" s="34"/>
      <c r="T17" s="40"/>
      <c r="U17" s="40"/>
    </row>
    <row r="18" spans="1:22" x14ac:dyDescent="0.35">
      <c r="A18" s="7"/>
      <c r="B18" s="8"/>
      <c r="C18" s="8"/>
      <c r="D18" s="8"/>
      <c r="E18" s="16"/>
      <c r="F18" s="9"/>
      <c r="L18" s="113" t="s">
        <v>38</v>
      </c>
      <c r="M18" s="114"/>
      <c r="N18" s="82"/>
      <c r="O18" s="82" t="s">
        <v>9</v>
      </c>
      <c r="P18" s="27"/>
      <c r="Q18" s="33"/>
      <c r="R18" s="33"/>
      <c r="S18" s="33"/>
      <c r="T18" s="33"/>
      <c r="U18" s="40"/>
      <c r="V18" s="40"/>
    </row>
    <row r="19" spans="1:22" x14ac:dyDescent="0.35">
      <c r="A19" s="7"/>
      <c r="B19" s="8"/>
      <c r="C19" s="8"/>
      <c r="D19" s="8"/>
      <c r="E19" s="16"/>
      <c r="F19" s="9"/>
      <c r="L19" s="93" t="s">
        <v>52</v>
      </c>
      <c r="M19" s="90">
        <f>1355</f>
        <v>1355</v>
      </c>
      <c r="N19" s="83"/>
      <c r="O19" s="86" t="s">
        <v>55</v>
      </c>
      <c r="P19" s="96">
        <f>M19*M20/M21</f>
        <v>33.875</v>
      </c>
      <c r="Q19" s="33"/>
      <c r="R19" s="33"/>
      <c r="S19" s="33"/>
      <c r="T19" s="33"/>
      <c r="U19" s="40"/>
      <c r="V19" s="40"/>
    </row>
    <row r="20" spans="1:22" ht="15" thickBot="1" x14ac:dyDescent="0.4">
      <c r="A20" s="10"/>
      <c r="B20" s="11"/>
      <c r="C20" s="11"/>
      <c r="D20" s="11"/>
      <c r="E20" s="17"/>
      <c r="F20" s="12"/>
      <c r="H20" s="53"/>
      <c r="L20" s="93" t="s">
        <v>53</v>
      </c>
      <c r="M20" s="97">
        <f>5%</f>
        <v>0.05</v>
      </c>
      <c r="N20" s="52"/>
      <c r="O20" s="52" t="s">
        <v>54</v>
      </c>
      <c r="P20" s="23">
        <f>((1+M23/M21)^(M21/M22))-1</f>
        <v>5.4999999999999938E-2</v>
      </c>
      <c r="Q20" s="33"/>
      <c r="R20" s="33"/>
      <c r="S20" s="33"/>
      <c r="T20" s="33"/>
      <c r="U20" s="40"/>
      <c r="V20" s="40"/>
    </row>
    <row r="21" spans="1:22" ht="15" thickBot="1" x14ac:dyDescent="0.4">
      <c r="A21" s="1"/>
      <c r="B21" s="1"/>
      <c r="C21" s="1"/>
      <c r="D21" s="13" t="s">
        <v>2</v>
      </c>
      <c r="E21" s="18"/>
      <c r="F21" s="14">
        <f>SUM(F8:F20)</f>
        <v>1498.8784103692319</v>
      </c>
      <c r="L21" s="93" t="s">
        <v>35</v>
      </c>
      <c r="M21" s="91">
        <f>2</f>
        <v>2</v>
      </c>
      <c r="N21" s="84"/>
      <c r="O21" s="66" t="s">
        <v>56</v>
      </c>
      <c r="P21" s="88">
        <f>P19*PV(P20,M24,-1) + M19*PV(P20,M24,,-1)</f>
        <v>869.2169519876652</v>
      </c>
      <c r="Q21" s="33"/>
      <c r="R21" s="33"/>
      <c r="S21" s="33"/>
      <c r="T21" s="33"/>
      <c r="U21" s="40"/>
      <c r="V21" s="40"/>
    </row>
    <row r="22" spans="1:22" x14ac:dyDescent="0.35">
      <c r="L22" s="93" t="s">
        <v>36</v>
      </c>
      <c r="M22" s="57">
        <f>2</f>
        <v>2</v>
      </c>
      <c r="N22" s="33"/>
      <c r="O22" s="33"/>
      <c r="P22" s="87"/>
      <c r="Q22" s="33"/>
      <c r="R22" s="35"/>
      <c r="S22" s="35"/>
      <c r="T22" s="35"/>
      <c r="U22" s="40"/>
      <c r="V22" s="40"/>
    </row>
    <row r="23" spans="1:22" x14ac:dyDescent="0.35">
      <c r="A23" s="32"/>
      <c r="L23" s="93" t="s">
        <v>34</v>
      </c>
      <c r="M23" s="92">
        <f>11%</f>
        <v>0.11</v>
      </c>
      <c r="N23" s="85"/>
      <c r="O23" s="33"/>
      <c r="P23" s="23"/>
      <c r="Q23" s="33"/>
      <c r="R23" s="39"/>
      <c r="S23" s="56"/>
      <c r="T23" s="56"/>
      <c r="U23" s="40"/>
      <c r="V23" s="40"/>
    </row>
    <row r="24" spans="1:22" ht="15" thickBot="1" x14ac:dyDescent="0.4">
      <c r="A24" s="1" t="s">
        <v>17</v>
      </c>
      <c r="B24" s="2" t="s">
        <v>3</v>
      </c>
      <c r="C24" s="3">
        <f>C6</f>
        <v>0.1</v>
      </c>
      <c r="D24" s="1"/>
      <c r="E24" s="1"/>
      <c r="F24" s="1"/>
      <c r="L24" s="94" t="s">
        <v>50</v>
      </c>
      <c r="M24" s="49">
        <f>2*10</f>
        <v>20</v>
      </c>
      <c r="N24" s="34"/>
      <c r="O24" s="34"/>
      <c r="P24" s="95"/>
      <c r="Q24" s="40"/>
      <c r="R24" s="40"/>
      <c r="S24" s="40"/>
      <c r="T24" s="40"/>
      <c r="U24" s="40"/>
      <c r="V24" s="40"/>
    </row>
    <row r="25" spans="1:22" ht="15" thickBot="1" x14ac:dyDescent="0.4">
      <c r="A25" s="4" t="s">
        <v>0</v>
      </c>
      <c r="B25" s="5" t="s">
        <v>4</v>
      </c>
      <c r="C25" s="5" t="s">
        <v>5</v>
      </c>
      <c r="D25" s="5" t="s">
        <v>6</v>
      </c>
      <c r="E25" s="15" t="s">
        <v>7</v>
      </c>
      <c r="F25" s="6" t="s">
        <v>1</v>
      </c>
      <c r="G25" s="76" t="s">
        <v>45</v>
      </c>
      <c r="H25" s="81" t="s">
        <v>46</v>
      </c>
      <c r="I25" s="46" t="s">
        <v>47</v>
      </c>
      <c r="J25" s="46" t="s">
        <v>48</v>
      </c>
      <c r="K25" s="46" t="s">
        <v>49</v>
      </c>
      <c r="L25" s="89"/>
      <c r="M25" s="20"/>
      <c r="N25" s="20"/>
      <c r="O25" s="20"/>
      <c r="P25" s="107">
        <f>P21</f>
        <v>869.2169519876652</v>
      </c>
      <c r="Q25" s="40"/>
      <c r="R25" s="40"/>
      <c r="S25" s="40"/>
      <c r="T25" s="40"/>
      <c r="U25" s="40"/>
    </row>
    <row r="26" spans="1:22" x14ac:dyDescent="0.35">
      <c r="A26" s="7">
        <f>-300</f>
        <v>-300</v>
      </c>
      <c r="B26" s="8">
        <f>FV(C24,G26,,-1)</f>
        <v>1.9487171000000012</v>
      </c>
      <c r="C26" s="8"/>
      <c r="D26" s="8"/>
      <c r="E26" s="8"/>
      <c r="F26" s="9">
        <f>PRODUCT(A26:E26)</f>
        <v>-584.61513000000036</v>
      </c>
      <c r="G26" s="1">
        <v>7</v>
      </c>
      <c r="H26" s="77"/>
      <c r="I26" s="1"/>
      <c r="J26" s="1"/>
      <c r="K26" s="1"/>
      <c r="L26" s="40"/>
      <c r="M26" s="40"/>
      <c r="N26" s="40"/>
      <c r="O26" s="40"/>
      <c r="P26" s="40"/>
      <c r="Q26" s="40"/>
      <c r="R26" s="40"/>
      <c r="S26" s="40"/>
      <c r="T26" s="40"/>
      <c r="U26" s="40"/>
    </row>
    <row r="27" spans="1:22" x14ac:dyDescent="0.35">
      <c r="A27" s="7">
        <f>310</f>
        <v>310</v>
      </c>
      <c r="B27" s="8">
        <f>PV(C24,G27,-1)</f>
        <v>2.4868519909842246</v>
      </c>
      <c r="C27" s="8">
        <f>FV(C24,H27,,-1)</f>
        <v>1.9487171000000012</v>
      </c>
      <c r="D27" s="8"/>
      <c r="E27" s="8"/>
      <c r="F27" s="9">
        <f t="shared" ref="F27:F31" si="1">PRODUCT(A27:E27)</f>
        <v>1502.3130100000021</v>
      </c>
      <c r="G27" s="1">
        <v>3</v>
      </c>
      <c r="H27" s="80">
        <v>7</v>
      </c>
      <c r="I27" s="1"/>
      <c r="J27" s="1"/>
      <c r="K27" s="1"/>
      <c r="L27" s="40" t="s">
        <v>17</v>
      </c>
      <c r="M27" s="40"/>
      <c r="N27" s="40"/>
      <c r="O27" s="40"/>
      <c r="P27" s="40"/>
      <c r="Q27" s="40"/>
      <c r="R27" s="40"/>
      <c r="S27" s="40"/>
      <c r="T27" s="40"/>
      <c r="U27" s="40"/>
    </row>
    <row r="28" spans="1:22" ht="15" thickBot="1" x14ac:dyDescent="0.4">
      <c r="A28" s="7">
        <f>320</f>
        <v>320</v>
      </c>
      <c r="B28" s="8">
        <f>FV(C24,G28,-1)</f>
        <v>3.3100000000000041</v>
      </c>
      <c r="C28" s="8">
        <f>FV(C24,H28,,-1)</f>
        <v>1.1000000000000001</v>
      </c>
      <c r="D28" s="8"/>
      <c r="E28" s="8"/>
      <c r="F28" s="9">
        <f t="shared" si="1"/>
        <v>1165.1200000000015</v>
      </c>
      <c r="G28" s="78">
        <v>3</v>
      </c>
      <c r="H28" s="79">
        <v>1</v>
      </c>
      <c r="I28" s="1"/>
      <c r="J28" s="1"/>
      <c r="K28" s="1"/>
      <c r="L28" s="40"/>
      <c r="M28" s="40"/>
      <c r="N28" s="40"/>
      <c r="O28" s="40"/>
      <c r="P28" s="40"/>
      <c r="Q28" s="40"/>
      <c r="R28" s="40"/>
      <c r="S28" s="40"/>
      <c r="T28" s="40"/>
      <c r="U28" s="40"/>
    </row>
    <row r="29" spans="1:22" x14ac:dyDescent="0.35">
      <c r="A29" s="7">
        <v>50</v>
      </c>
      <c r="B29" s="8">
        <f>(1/C24)*(((((1+C24)^G29)-1)/(C24*(1+C24)^G29))-(G29/(1+C24)^G29))</f>
        <v>2.3290758827949221</v>
      </c>
      <c r="C29" s="8">
        <f>FV(C24,H29,,-1)</f>
        <v>1.4641000000000004</v>
      </c>
      <c r="D29" s="8"/>
      <c r="E29" s="8"/>
      <c r="F29" s="9">
        <f t="shared" si="1"/>
        <v>170.50000000000233</v>
      </c>
      <c r="G29" s="78">
        <v>3</v>
      </c>
      <c r="H29" s="79">
        <v>4</v>
      </c>
      <c r="I29" s="1"/>
      <c r="J29" s="1"/>
      <c r="K29" s="1"/>
      <c r="L29" s="113" t="s">
        <v>38</v>
      </c>
      <c r="M29" s="114"/>
      <c r="N29" s="98"/>
      <c r="O29" s="82" t="s">
        <v>9</v>
      </c>
      <c r="P29" s="25"/>
      <c r="Q29" s="98"/>
      <c r="R29" s="103"/>
      <c r="S29" s="40"/>
      <c r="T29" s="40"/>
      <c r="U29" s="40"/>
    </row>
    <row r="30" spans="1:22" x14ac:dyDescent="0.35">
      <c r="A30" s="7">
        <v>-300</v>
      </c>
      <c r="B30" s="8"/>
      <c r="C30" s="8"/>
      <c r="D30" s="8"/>
      <c r="E30" s="8"/>
      <c r="F30" s="9">
        <f t="shared" si="1"/>
        <v>-300</v>
      </c>
      <c r="G30" s="1"/>
      <c r="H30" s="1"/>
      <c r="I30" s="1"/>
      <c r="J30" s="1"/>
      <c r="K30" s="1"/>
      <c r="L30" s="93" t="s">
        <v>52</v>
      </c>
      <c r="M30" s="90">
        <v>900</v>
      </c>
      <c r="N30" s="34"/>
      <c r="O30" s="86" t="s">
        <v>55</v>
      </c>
      <c r="P30" s="83">
        <f>M30*M31/M32</f>
        <v>40.5</v>
      </c>
      <c r="Q30" s="34"/>
      <c r="R30" s="104"/>
      <c r="S30" s="40"/>
    </row>
    <row r="31" spans="1:22" x14ac:dyDescent="0.35">
      <c r="A31" s="7">
        <v>420</v>
      </c>
      <c r="B31" s="8">
        <f>((1-((1+K31)^3)*((1+C24)^-3))/(C24-K31))</f>
        <v>2.3722764838467332</v>
      </c>
      <c r="C31" s="8">
        <f>PV(C24,H31,,-1)</f>
        <v>0.90909090909090906</v>
      </c>
      <c r="D31" s="8"/>
      <c r="E31" s="8"/>
      <c r="F31" s="9">
        <f t="shared" si="1"/>
        <v>905.77829383238895</v>
      </c>
      <c r="G31" s="1">
        <v>3</v>
      </c>
      <c r="H31" s="80">
        <v>1</v>
      </c>
      <c r="I31" s="1"/>
      <c r="J31" s="1"/>
      <c r="K31" s="1">
        <f>-5%</f>
        <v>-0.05</v>
      </c>
      <c r="L31" s="93" t="s">
        <v>53</v>
      </c>
      <c r="M31" s="97">
        <f>9%</f>
        <v>0.09</v>
      </c>
      <c r="N31" s="34"/>
      <c r="O31" s="86"/>
      <c r="P31" s="83"/>
      <c r="Q31" s="34"/>
      <c r="R31" s="104"/>
      <c r="S31" s="40"/>
    </row>
    <row r="32" spans="1:22" x14ac:dyDescent="0.35">
      <c r="A32" s="7"/>
      <c r="B32" s="8"/>
      <c r="C32" s="8"/>
      <c r="D32" s="8"/>
      <c r="E32" s="16"/>
      <c r="F32" s="9"/>
      <c r="L32" s="93" t="s">
        <v>35</v>
      </c>
      <c r="M32" s="91">
        <f>2</f>
        <v>2</v>
      </c>
      <c r="N32" s="34"/>
      <c r="O32" s="34" t="s">
        <v>59</v>
      </c>
      <c r="P32" s="99">
        <f>PV(P37,M34,-1)</f>
        <v>9.3230926011915667</v>
      </c>
      <c r="Q32" s="34"/>
      <c r="R32" s="104"/>
      <c r="S32" s="40"/>
    </row>
    <row r="33" spans="1:19" x14ac:dyDescent="0.35">
      <c r="A33" s="7"/>
      <c r="B33" s="8"/>
      <c r="C33" s="8"/>
      <c r="D33" s="8"/>
      <c r="E33" s="16"/>
      <c r="F33" s="9"/>
      <c r="L33" s="93" t="s">
        <v>57</v>
      </c>
      <c r="M33" s="57">
        <v>600</v>
      </c>
      <c r="N33" s="34"/>
      <c r="O33" s="34" t="s">
        <v>60</v>
      </c>
      <c r="P33" s="99">
        <f>PV(P37,M34,,-1)</f>
        <v>0.24712658554016614</v>
      </c>
      <c r="Q33" s="34"/>
      <c r="R33" s="104"/>
      <c r="S33" s="40"/>
    </row>
    <row r="34" spans="1:19" x14ac:dyDescent="0.35">
      <c r="A34" s="7"/>
      <c r="B34" s="8"/>
      <c r="C34" s="8"/>
      <c r="D34" s="8"/>
      <c r="E34" s="16"/>
      <c r="F34" s="9"/>
      <c r="L34" s="93" t="s">
        <v>50</v>
      </c>
      <c r="M34" s="92">
        <f>2*9</f>
        <v>18</v>
      </c>
      <c r="N34" s="34"/>
      <c r="O34" s="86"/>
      <c r="P34" s="83"/>
      <c r="Q34" s="34"/>
      <c r="R34" s="104"/>
      <c r="S34" s="40"/>
    </row>
    <row r="35" spans="1:19" x14ac:dyDescent="0.35">
      <c r="A35" s="7"/>
      <c r="B35" s="8"/>
      <c r="C35" s="8"/>
      <c r="D35" s="8"/>
      <c r="E35" s="16"/>
      <c r="F35" s="9"/>
      <c r="L35" s="93" t="s">
        <v>36</v>
      </c>
      <c r="M35" s="92">
        <v>1</v>
      </c>
      <c r="N35" s="34"/>
      <c r="O35" s="86"/>
      <c r="P35" s="83"/>
      <c r="Q35" s="34"/>
      <c r="R35" s="104"/>
      <c r="S35" s="40"/>
    </row>
    <row r="36" spans="1:19" x14ac:dyDescent="0.35">
      <c r="A36" s="7"/>
      <c r="B36" s="8"/>
      <c r="C36" s="8"/>
      <c r="D36" s="8"/>
      <c r="E36" s="16"/>
      <c r="F36" s="9"/>
      <c r="L36" s="28"/>
      <c r="M36" s="85"/>
      <c r="N36" s="34"/>
      <c r="O36" s="34" t="s">
        <v>61</v>
      </c>
      <c r="P36" s="83">
        <f>-M33+(P30*P32)+(M30*P33)</f>
        <v>-8.2266559201116252E-4</v>
      </c>
      <c r="Q36" s="34"/>
      <c r="R36" s="104"/>
      <c r="S36" s="40"/>
    </row>
    <row r="37" spans="1:19" x14ac:dyDescent="0.35">
      <c r="A37" s="7"/>
      <c r="B37" s="8"/>
      <c r="C37" s="8"/>
      <c r="D37" s="8"/>
      <c r="E37" s="16"/>
      <c r="F37" s="9"/>
      <c r="L37" s="101"/>
      <c r="M37" s="34"/>
      <c r="N37" s="34"/>
      <c r="O37" s="34" t="s">
        <v>54</v>
      </c>
      <c r="P37" s="39">
        <v>8.0753613276737218E-2</v>
      </c>
      <c r="Q37" s="34" t="s">
        <v>58</v>
      </c>
      <c r="R37" s="104"/>
      <c r="S37" s="40"/>
    </row>
    <row r="38" spans="1:19" ht="15" thickBot="1" x14ac:dyDescent="0.4">
      <c r="A38" s="10"/>
      <c r="B38" s="11"/>
      <c r="C38" s="11"/>
      <c r="D38" s="11"/>
      <c r="E38" s="17"/>
      <c r="F38" s="12"/>
      <c r="L38" s="101"/>
      <c r="M38" s="34"/>
      <c r="N38" s="34"/>
      <c r="O38" s="34"/>
      <c r="P38" s="34"/>
      <c r="Q38" s="34"/>
      <c r="R38" s="104"/>
      <c r="S38" s="40"/>
    </row>
    <row r="39" spans="1:19" ht="15" thickBot="1" x14ac:dyDescent="0.4">
      <c r="A39" s="1"/>
      <c r="B39" s="1"/>
      <c r="C39" s="1"/>
      <c r="D39" s="13" t="s">
        <v>2</v>
      </c>
      <c r="E39" s="18"/>
      <c r="F39" s="14">
        <f>SUM(F26:F38)</f>
        <v>2859.0961738323945</v>
      </c>
      <c r="L39" s="101"/>
      <c r="M39" s="34"/>
      <c r="N39" s="109" t="s">
        <v>63</v>
      </c>
      <c r="O39" s="109"/>
      <c r="P39" s="105">
        <f>P37*M32</f>
        <v>0.16150722655347444</v>
      </c>
      <c r="Q39" s="34"/>
      <c r="R39" s="104"/>
      <c r="S39" s="40"/>
    </row>
    <row r="40" spans="1:19" x14ac:dyDescent="0.35">
      <c r="L40" s="101"/>
      <c r="M40" s="34"/>
      <c r="N40" s="109" t="s">
        <v>62</v>
      </c>
      <c r="O40" s="109"/>
      <c r="P40" s="105">
        <f>((1+(P39/M32))^(M32/M35)) -1</f>
        <v>0.16802837261072323</v>
      </c>
      <c r="Q40" s="34"/>
      <c r="R40" s="104"/>
      <c r="S40" s="40"/>
    </row>
    <row r="41" spans="1:19" ht="15" thickBot="1" x14ac:dyDescent="0.4">
      <c r="A41" s="19" t="s">
        <v>8</v>
      </c>
      <c r="B41" s="60" t="s">
        <v>37</v>
      </c>
      <c r="C41" s="61">
        <f>((1+B44/B45)^(B45/B46))-1</f>
        <v>0.10250000000000004</v>
      </c>
      <c r="D41" s="1"/>
      <c r="E41" s="1"/>
      <c r="F41" s="1"/>
      <c r="G41" s="1"/>
      <c r="H41" s="1"/>
      <c r="L41" s="101"/>
      <c r="M41" s="34"/>
      <c r="N41" s="100"/>
      <c r="O41" s="100"/>
      <c r="P41" s="34"/>
      <c r="Q41" s="34"/>
      <c r="R41" s="104"/>
      <c r="S41" s="40"/>
    </row>
    <row r="42" spans="1:19" ht="15" thickBot="1" x14ac:dyDescent="0.4">
      <c r="A42" s="24" t="s">
        <v>9</v>
      </c>
      <c r="B42" s="25"/>
      <c r="C42" s="26"/>
      <c r="D42" s="58" t="str">
        <f>A25</f>
        <v>Montants</v>
      </c>
      <c r="E42" s="58" t="str">
        <f>B25</f>
        <v>Fact.Act1</v>
      </c>
      <c r="F42" s="58" t="str">
        <f>C25</f>
        <v>Fact.Act2</v>
      </c>
      <c r="G42" s="58" t="str">
        <f>F25</f>
        <v>Montants act.</v>
      </c>
      <c r="H42" s="27"/>
      <c r="I42" s="22" t="s">
        <v>45</v>
      </c>
      <c r="J42" s="22" t="s">
        <v>46</v>
      </c>
      <c r="K42" s="22"/>
      <c r="L42" s="89"/>
      <c r="M42" s="20"/>
      <c r="N42" s="20"/>
      <c r="O42" s="20"/>
      <c r="P42" s="102"/>
      <c r="Q42" s="20"/>
      <c r="R42" s="108">
        <f>P40</f>
        <v>0.16802837261072323</v>
      </c>
      <c r="S42" s="40"/>
    </row>
    <row r="43" spans="1:19" x14ac:dyDescent="0.35">
      <c r="A43" s="59" t="s">
        <v>38</v>
      </c>
      <c r="B43" s="33"/>
      <c r="C43" s="33"/>
      <c r="D43" s="65">
        <f>4230</f>
        <v>4230</v>
      </c>
      <c r="E43" s="66">
        <f>FV(C41,I43,,-1)</f>
        <v>2.6532977051444209</v>
      </c>
      <c r="F43" s="66"/>
      <c r="G43" s="65">
        <f>PRODUCT(D43:F43)</f>
        <v>11223.449292760901</v>
      </c>
      <c r="H43" s="23"/>
      <c r="I43">
        <v>10</v>
      </c>
      <c r="O43" s="55"/>
    </row>
    <row r="44" spans="1:19" x14ac:dyDescent="0.35">
      <c r="A44" s="57" t="s">
        <v>34</v>
      </c>
      <c r="B44" s="57">
        <f>10%</f>
        <v>0.1</v>
      </c>
      <c r="C44" s="33"/>
      <c r="D44" s="65">
        <f>2890</f>
        <v>2890</v>
      </c>
      <c r="E44" s="66">
        <f>FV(C41,I44,-1)</f>
        <v>6.1355573344140621</v>
      </c>
      <c r="F44" s="66">
        <f>FV(C41,J44,,-1)</f>
        <v>1.6288946267774416</v>
      </c>
      <c r="G44" s="65">
        <f t="shared" ref="G44:G46" si="2">PRODUCT(D44:F44)</f>
        <v>28883.169721761646</v>
      </c>
      <c r="H44" s="23"/>
      <c r="I44">
        <v>5</v>
      </c>
      <c r="J44">
        <v>5</v>
      </c>
      <c r="O44" s="40"/>
    </row>
    <row r="45" spans="1:19" x14ac:dyDescent="0.35">
      <c r="A45" s="57" t="s">
        <v>35</v>
      </c>
      <c r="B45" s="57">
        <v>2</v>
      </c>
      <c r="C45" s="33"/>
      <c r="D45" s="65">
        <f>7080</f>
        <v>7080</v>
      </c>
      <c r="E45" s="66">
        <f>FV(C41,I45,-1)</f>
        <v>3.3180062499999985</v>
      </c>
      <c r="F45" s="66">
        <f>FV(C41,J45,,-1)</f>
        <v>1.21550625</v>
      </c>
      <c r="G45" s="65">
        <f t="shared" si="2"/>
        <v>28554.04592765155</v>
      </c>
      <c r="H45" s="23"/>
      <c r="I45">
        <v>3</v>
      </c>
      <c r="J45">
        <v>2</v>
      </c>
      <c r="O45" s="40"/>
    </row>
    <row r="46" spans="1:19" x14ac:dyDescent="0.35">
      <c r="A46" s="62" t="s">
        <v>36</v>
      </c>
      <c r="B46" s="62">
        <v>1</v>
      </c>
      <c r="C46" s="33"/>
      <c r="D46" s="65">
        <f>8099</f>
        <v>8099</v>
      </c>
      <c r="E46" s="66"/>
      <c r="F46" s="67"/>
      <c r="G46" s="65">
        <f t="shared" si="2"/>
        <v>8099</v>
      </c>
      <c r="H46" s="29"/>
      <c r="O46" s="40"/>
    </row>
    <row r="47" spans="1:19" x14ac:dyDescent="0.35">
      <c r="A47" s="64"/>
      <c r="B47" s="63"/>
      <c r="C47" s="33"/>
      <c r="D47" s="33"/>
      <c r="E47" s="33"/>
      <c r="F47" s="36"/>
      <c r="G47" s="36"/>
      <c r="H47" s="23"/>
      <c r="O47" s="40"/>
    </row>
    <row r="48" spans="1:19" ht="15" thickBot="1" x14ac:dyDescent="0.4">
      <c r="A48" s="28"/>
      <c r="B48" s="33"/>
      <c r="C48" s="33"/>
      <c r="D48" s="33"/>
      <c r="E48" s="33"/>
      <c r="F48" s="33"/>
      <c r="G48" s="33"/>
      <c r="H48" s="23"/>
      <c r="O48" s="55"/>
    </row>
    <row r="49" spans="1:16" ht="15" thickBot="1" x14ac:dyDescent="0.4">
      <c r="A49" s="30"/>
      <c r="B49" s="31"/>
      <c r="C49" s="31"/>
      <c r="D49" s="20"/>
      <c r="E49" s="20"/>
      <c r="F49" s="21" t="s">
        <v>2</v>
      </c>
      <c r="G49" s="42">
        <f>SUM(G43:G46)</f>
        <v>76759.664942174102</v>
      </c>
      <c r="H49" s="38"/>
      <c r="L49" s="22"/>
      <c r="M49" s="22"/>
      <c r="N49" s="22"/>
    </row>
    <row r="51" spans="1:16" ht="15" thickBot="1" x14ac:dyDescent="0.4">
      <c r="A51" s="19" t="s">
        <v>11</v>
      </c>
      <c r="B51" s="60" t="s">
        <v>3</v>
      </c>
      <c r="C51" s="61">
        <f>8%</f>
        <v>0.08</v>
      </c>
      <c r="D51" s="60" t="s">
        <v>50</v>
      </c>
      <c r="E51" s="61">
        <v>10</v>
      </c>
      <c r="F51" s="1"/>
      <c r="G51" s="1"/>
      <c r="H51" s="1"/>
    </row>
    <row r="52" spans="1:16" ht="15" thickBot="1" x14ac:dyDescent="0.4">
      <c r="A52" s="24" t="s">
        <v>9</v>
      </c>
      <c r="B52" s="25"/>
      <c r="C52" s="110" t="s">
        <v>51</v>
      </c>
      <c r="D52" s="110"/>
      <c r="E52" s="110"/>
      <c r="F52" s="110"/>
      <c r="G52" s="25"/>
      <c r="H52" s="27"/>
      <c r="I52" s="1"/>
    </row>
    <row r="53" spans="1:16" x14ac:dyDescent="0.35">
      <c r="A53" s="28" t="s">
        <v>39</v>
      </c>
      <c r="B53" s="33" t="str">
        <f>D42</f>
        <v>Montants</v>
      </c>
      <c r="C53" s="33" t="str">
        <f>E42</f>
        <v>Fact.Act1</v>
      </c>
      <c r="D53" s="33" t="str">
        <f>G42</f>
        <v>Montants act.</v>
      </c>
      <c r="E53" s="33"/>
      <c r="F53" s="33"/>
      <c r="G53" s="33"/>
      <c r="H53" s="23"/>
      <c r="I53" s="1"/>
    </row>
    <row r="54" spans="1:16" x14ac:dyDescent="0.35">
      <c r="A54" s="28" t="s">
        <v>40</v>
      </c>
      <c r="B54" s="33">
        <v>99500</v>
      </c>
      <c r="C54" s="66">
        <v>1</v>
      </c>
      <c r="D54" s="65">
        <f>PRODUCT(B54:C54)</f>
        <v>99500</v>
      </c>
      <c r="E54" s="33"/>
      <c r="F54" s="33"/>
      <c r="G54" s="33"/>
      <c r="H54" s="23"/>
      <c r="I54" s="1"/>
    </row>
    <row r="55" spans="1:16" x14ac:dyDescent="0.35">
      <c r="A55" s="28" t="s">
        <v>41</v>
      </c>
      <c r="B55" s="66">
        <v>5225</v>
      </c>
      <c r="C55" s="66">
        <f>PV(C51,E51,-1)</f>
        <v>6.7100813989414467</v>
      </c>
      <c r="D55" s="65">
        <f t="shared" ref="D55:D56" si="3">PRODUCT(B55:C55)</f>
        <v>35060.175309469058</v>
      </c>
      <c r="E55" s="68"/>
      <c r="F55" s="33"/>
      <c r="G55" s="33"/>
      <c r="H55" s="23"/>
      <c r="I55" s="34"/>
      <c r="J55" s="40"/>
      <c r="K55" s="40"/>
      <c r="O55" s="22"/>
      <c r="P55" s="22"/>
    </row>
    <row r="56" spans="1:16" x14ac:dyDescent="0.35">
      <c r="A56" s="28" t="s">
        <v>42</v>
      </c>
      <c r="B56" s="33">
        <v>980</v>
      </c>
      <c r="C56" s="66">
        <f>(1/C51)*(((((1+C51)^E51)-1)/(C51*(1+C51)^E51))-(E51/(1+C51)^E51))</f>
        <v>25.97683147618255</v>
      </c>
      <c r="D56" s="65">
        <f t="shared" si="3"/>
        <v>25457.2948466589</v>
      </c>
      <c r="E56" s="33"/>
      <c r="F56" s="35"/>
      <c r="G56" s="35"/>
      <c r="H56" s="29"/>
      <c r="I56" s="34"/>
      <c r="J56" s="40"/>
      <c r="K56" s="40"/>
    </row>
    <row r="57" spans="1:16" x14ac:dyDescent="0.35">
      <c r="A57" s="28"/>
      <c r="B57" s="33"/>
      <c r="C57" s="33" t="s">
        <v>43</v>
      </c>
      <c r="D57" s="70">
        <f>SUM(D54:D56)</f>
        <v>160017.47015612794</v>
      </c>
      <c r="E57" s="33"/>
      <c r="F57" s="36"/>
      <c r="G57" s="36"/>
      <c r="H57" s="23"/>
      <c r="I57" s="34"/>
      <c r="J57" s="34"/>
      <c r="K57" s="34"/>
    </row>
    <row r="58" spans="1:16" ht="15" thickBot="1" x14ac:dyDescent="0.4">
      <c r="A58" s="28" t="s">
        <v>44</v>
      </c>
      <c r="B58" s="33" t="s">
        <v>0</v>
      </c>
      <c r="C58" s="68" t="str">
        <f>C53</f>
        <v>Fact.Act1</v>
      </c>
      <c r="D58" s="33" t="str">
        <f>D53</f>
        <v>Montants act.</v>
      </c>
      <c r="E58" s="33"/>
      <c r="F58" s="33"/>
      <c r="G58" s="33"/>
      <c r="H58" s="23"/>
      <c r="I58" s="34"/>
      <c r="J58" s="34"/>
      <c r="K58" s="34"/>
    </row>
    <row r="59" spans="1:16" ht="15" thickBot="1" x14ac:dyDescent="0.4">
      <c r="A59" s="30"/>
      <c r="B59" s="31">
        <f>D57</f>
        <v>160017.47015612794</v>
      </c>
      <c r="C59" s="69">
        <f>PMT(C51,E51,-1)</f>
        <v>0.14902948869707541</v>
      </c>
      <c r="D59" s="71">
        <f>PRODUCT(B59:C59)</f>
        <v>23847.321759967272</v>
      </c>
      <c r="E59" s="20"/>
      <c r="F59" s="21" t="s">
        <v>2</v>
      </c>
      <c r="G59" s="37">
        <f>D59</f>
        <v>23847.321759967272</v>
      </c>
      <c r="H59" s="43"/>
      <c r="I59" s="34"/>
      <c r="J59" s="34"/>
      <c r="K59" s="34"/>
    </row>
    <row r="60" spans="1:16" x14ac:dyDescent="0.35">
      <c r="I60" s="40"/>
      <c r="J60" s="40"/>
      <c r="K60" s="34"/>
    </row>
    <row r="61" spans="1:16" x14ac:dyDescent="0.35">
      <c r="I61" s="34"/>
      <c r="J61" s="34"/>
      <c r="K61" s="34"/>
    </row>
    <row r="62" spans="1:16" x14ac:dyDescent="0.35">
      <c r="I62" s="34"/>
      <c r="J62" s="34"/>
      <c r="K62" s="34"/>
      <c r="L62" s="40"/>
      <c r="M62" s="40"/>
    </row>
    <row r="63" spans="1:16" x14ac:dyDescent="0.35">
      <c r="I63" s="34"/>
      <c r="J63" s="34"/>
      <c r="K63" s="34"/>
      <c r="L63" s="40"/>
      <c r="M63" s="40"/>
    </row>
    <row r="64" spans="1:16" x14ac:dyDescent="0.35">
      <c r="I64" s="34"/>
      <c r="J64" s="34"/>
      <c r="K64" s="34"/>
      <c r="L64" s="40"/>
      <c r="M64" s="40"/>
    </row>
    <row r="65" spans="9:13" x14ac:dyDescent="0.35">
      <c r="I65" s="33"/>
      <c r="J65" s="33"/>
      <c r="K65" s="33"/>
      <c r="L65" s="40"/>
      <c r="M65" s="40"/>
    </row>
    <row r="66" spans="9:13" x14ac:dyDescent="0.35">
      <c r="I66" s="40"/>
      <c r="J66" s="40"/>
      <c r="K66" s="34"/>
      <c r="L66" s="40"/>
      <c r="M66" s="40"/>
    </row>
    <row r="67" spans="9:13" x14ac:dyDescent="0.35">
      <c r="I67" s="34"/>
      <c r="J67" s="34"/>
      <c r="K67" s="34"/>
      <c r="L67" s="40"/>
      <c r="M67" s="40"/>
    </row>
    <row r="68" spans="9:13" x14ac:dyDescent="0.35">
      <c r="I68" s="34"/>
      <c r="J68" s="34"/>
      <c r="K68" s="34"/>
      <c r="L68" s="40"/>
      <c r="M68" s="40"/>
    </row>
    <row r="69" spans="9:13" x14ac:dyDescent="0.35">
      <c r="I69" s="34"/>
      <c r="J69" s="34"/>
      <c r="K69" s="34"/>
      <c r="L69" s="40"/>
      <c r="M69" s="40"/>
    </row>
    <row r="70" spans="9:13" x14ac:dyDescent="0.35">
      <c r="I70" s="40"/>
      <c r="J70" s="40"/>
      <c r="K70" s="34"/>
      <c r="L70" s="40"/>
      <c r="M70" s="40"/>
    </row>
    <row r="71" spans="9:13" x14ac:dyDescent="0.35">
      <c r="I71" s="34"/>
      <c r="J71" s="34"/>
      <c r="K71" s="34"/>
      <c r="L71" s="40"/>
      <c r="M71" s="40"/>
    </row>
    <row r="72" spans="9:13" x14ac:dyDescent="0.35">
      <c r="I72" s="34"/>
      <c r="J72" s="34"/>
      <c r="K72" s="34"/>
      <c r="L72" s="40"/>
      <c r="M72" s="40"/>
    </row>
    <row r="73" spans="9:13" x14ac:dyDescent="0.35">
      <c r="I73" s="34"/>
      <c r="J73" s="34"/>
      <c r="K73" s="34"/>
      <c r="L73" s="40"/>
      <c r="M73" s="40"/>
    </row>
    <row r="74" spans="9:13" x14ac:dyDescent="0.35">
      <c r="I74" s="34"/>
      <c r="J74" s="34"/>
      <c r="K74" s="34"/>
      <c r="L74" s="40"/>
      <c r="M74" s="40"/>
    </row>
    <row r="75" spans="9:13" x14ac:dyDescent="0.35">
      <c r="I75" s="34"/>
      <c r="J75" s="34"/>
      <c r="K75" s="34"/>
      <c r="L75" s="40"/>
      <c r="M75" s="40"/>
    </row>
    <row r="76" spans="9:13" x14ac:dyDescent="0.35">
      <c r="I76" s="40"/>
      <c r="J76" s="40"/>
      <c r="K76" s="34"/>
      <c r="L76" s="40"/>
      <c r="M76" s="40"/>
    </row>
    <row r="77" spans="9:13" x14ac:dyDescent="0.35">
      <c r="I77" s="34"/>
      <c r="J77" s="34"/>
      <c r="K77" s="34"/>
      <c r="L77" s="40"/>
      <c r="M77" s="40"/>
    </row>
    <row r="78" spans="9:13" x14ac:dyDescent="0.35">
      <c r="I78" s="34"/>
      <c r="J78" s="34"/>
      <c r="K78" s="34"/>
      <c r="L78" s="40"/>
      <c r="M78" s="40"/>
    </row>
    <row r="79" spans="9:13" x14ac:dyDescent="0.35">
      <c r="I79" s="34"/>
      <c r="J79" s="34"/>
      <c r="K79" s="34"/>
      <c r="L79" s="40"/>
      <c r="M79" s="40"/>
    </row>
    <row r="80" spans="9:13" x14ac:dyDescent="0.35">
      <c r="I80" s="34"/>
      <c r="J80" s="34"/>
      <c r="K80" s="34"/>
      <c r="L80" s="40"/>
      <c r="M80" s="40"/>
    </row>
    <row r="81" spans="9:13" x14ac:dyDescent="0.35">
      <c r="I81" s="34"/>
      <c r="J81" s="34"/>
      <c r="K81" s="34"/>
      <c r="L81" s="40"/>
      <c r="M81" s="40"/>
    </row>
    <row r="82" spans="9:13" x14ac:dyDescent="0.35">
      <c r="I82" s="40"/>
      <c r="J82" s="40"/>
      <c r="K82" s="34"/>
      <c r="L82" s="40"/>
      <c r="M82" s="40"/>
    </row>
    <row r="83" spans="9:13" x14ac:dyDescent="0.35">
      <c r="I83" s="34"/>
      <c r="J83" s="34"/>
      <c r="K83" s="34"/>
      <c r="L83" s="40"/>
      <c r="M83" s="40"/>
    </row>
    <row r="84" spans="9:13" x14ac:dyDescent="0.35">
      <c r="I84" s="40"/>
      <c r="J84" s="40"/>
      <c r="K84" s="40"/>
      <c r="L84" s="40"/>
      <c r="M84" s="40"/>
    </row>
    <row r="85" spans="9:13" x14ac:dyDescent="0.35">
      <c r="I85" s="40"/>
      <c r="J85" s="40"/>
      <c r="K85" s="40"/>
      <c r="L85" s="40"/>
      <c r="M85" s="40"/>
    </row>
    <row r="86" spans="9:13" x14ac:dyDescent="0.35">
      <c r="I86" s="40"/>
      <c r="J86" s="40"/>
      <c r="K86" s="40"/>
      <c r="L86" s="40"/>
      <c r="M86" s="40"/>
    </row>
    <row r="87" spans="9:13" x14ac:dyDescent="0.35">
      <c r="I87" s="40"/>
      <c r="J87" s="40"/>
      <c r="K87" s="40"/>
      <c r="L87" s="40"/>
      <c r="M87" s="40"/>
    </row>
    <row r="88" spans="9:13" x14ac:dyDescent="0.35">
      <c r="I88" s="40"/>
      <c r="J88" s="40"/>
      <c r="K88" s="40"/>
      <c r="L88" s="40"/>
      <c r="M88" s="40"/>
    </row>
    <row r="89" spans="9:13" x14ac:dyDescent="0.35">
      <c r="L89" s="40"/>
      <c r="M89" s="40"/>
    </row>
    <row r="90" spans="9:13" x14ac:dyDescent="0.35">
      <c r="L90" s="40"/>
      <c r="M90" s="40"/>
    </row>
    <row r="91" spans="9:13" x14ac:dyDescent="0.35">
      <c r="L91" s="40"/>
      <c r="M91" s="40"/>
    </row>
    <row r="92" spans="9:13" x14ac:dyDescent="0.35">
      <c r="L92" s="40"/>
      <c r="M92" s="40"/>
    </row>
    <row r="93" spans="9:13" x14ac:dyDescent="0.35">
      <c r="L93" s="40"/>
      <c r="M93" s="40"/>
    </row>
    <row r="94" spans="9:13" x14ac:dyDescent="0.35">
      <c r="L94" s="40"/>
      <c r="M94" s="40"/>
    </row>
    <row r="95" spans="9:13" x14ac:dyDescent="0.35">
      <c r="L95" s="40"/>
      <c r="M95" s="40"/>
    </row>
  </sheetData>
  <mergeCells count="8">
    <mergeCell ref="N39:O39"/>
    <mergeCell ref="N40:O40"/>
    <mergeCell ref="C52:F52"/>
    <mergeCell ref="B1:C1"/>
    <mergeCell ref="E1:F1"/>
    <mergeCell ref="H1:I1"/>
    <mergeCell ref="L18:M18"/>
    <mergeCell ref="L29:M29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ramdani</dc:creator>
  <cp:lastModifiedBy>Salha Hemed</cp:lastModifiedBy>
  <cp:lastPrinted>2020-06-03T19:42:00Z</cp:lastPrinted>
  <dcterms:created xsi:type="dcterms:W3CDTF">2020-05-21T17:31:34Z</dcterms:created>
  <dcterms:modified xsi:type="dcterms:W3CDTF">2020-11-19T23:31:30Z</dcterms:modified>
</cp:coreProperties>
</file>