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SSH3201\Labos\"/>
    </mc:Choice>
  </mc:AlternateContent>
  <bookViews>
    <workbookView xWindow="0" yWindow="0" windowWidth="28800" windowHeight="12330" tabRatio="954"/>
  </bookViews>
  <sheets>
    <sheet name="Modèle" sheetId="97" r:id="rId1"/>
    <sheet name="Calcul perso" sheetId="98" r:id="rId2"/>
  </sheets>
  <calcPr calcId="162913" iterate="1" iterateCount="1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97" l="1"/>
  <c r="H13" i="97" s="1"/>
  <c r="H19" i="97" s="1"/>
  <c r="H20" i="97" s="1"/>
  <c r="F13" i="97"/>
  <c r="F19" i="97" s="1"/>
  <c r="F20" i="97" s="1"/>
  <c r="D53" i="97"/>
  <c r="I42" i="97" s="1"/>
  <c r="D52" i="97"/>
  <c r="I41" i="97" s="1"/>
  <c r="E9" i="98"/>
  <c r="I43" i="97"/>
  <c r="G57" i="98"/>
  <c r="F57" i="98"/>
  <c r="E57" i="98"/>
  <c r="C44" i="98"/>
  <c r="D41" i="98"/>
  <c r="H15" i="98"/>
  <c r="I7" i="98"/>
  <c r="H7" i="98"/>
  <c r="H8" i="98"/>
  <c r="G7" i="98"/>
  <c r="F7" i="98"/>
  <c r="L60" i="98"/>
  <c r="K60" i="98"/>
  <c r="D50" i="98"/>
  <c r="D49" i="98"/>
  <c r="I38" i="98" s="1"/>
  <c r="D48" i="98"/>
  <c r="F42" i="98"/>
  <c r="C42" i="98"/>
  <c r="G42" i="98" s="1"/>
  <c r="I33" i="98"/>
  <c r="D26" i="98"/>
  <c r="I32" i="98" s="1"/>
  <c r="I37" i="98" s="1"/>
  <c r="D25" i="98"/>
  <c r="I19" i="98"/>
  <c r="H19" i="98"/>
  <c r="G19" i="98"/>
  <c r="F19" i="98"/>
  <c r="E19" i="98"/>
  <c r="D19" i="98"/>
  <c r="I18" i="98"/>
  <c r="H18" i="98"/>
  <c r="G18" i="98"/>
  <c r="F18" i="98"/>
  <c r="D18" i="98"/>
  <c r="E18" i="98" s="1"/>
  <c r="E11" i="98"/>
  <c r="F10" i="98"/>
  <c r="E10" i="98"/>
  <c r="F9" i="98"/>
  <c r="E56" i="98" s="1"/>
  <c r="E15" i="98"/>
  <c r="E16" i="98" s="1"/>
  <c r="E7" i="98"/>
  <c r="G5" i="98"/>
  <c r="G10" i="98" s="1"/>
  <c r="F5" i="98"/>
  <c r="F11" i="98" s="1"/>
  <c r="F15" i="98" s="1"/>
  <c r="H46" i="97"/>
  <c r="I46" i="97"/>
  <c r="G46" i="97"/>
  <c r="F46" i="97"/>
  <c r="E46" i="97"/>
  <c r="D47" i="97"/>
  <c r="D46" i="97"/>
  <c r="C46" i="97"/>
  <c r="D45" i="97"/>
  <c r="D54" i="97"/>
  <c r="I37" i="97"/>
  <c r="I36" i="97"/>
  <c r="I35" i="97"/>
  <c r="F22" i="97"/>
  <c r="I23" i="97"/>
  <c r="I22" i="97"/>
  <c r="H23" i="97"/>
  <c r="H22" i="97"/>
  <c r="G23" i="97"/>
  <c r="G22" i="97"/>
  <c r="F23" i="97"/>
  <c r="E23" i="97"/>
  <c r="E22" i="97"/>
  <c r="F11" i="97"/>
  <c r="E11" i="97"/>
  <c r="D23" i="97"/>
  <c r="D22" i="97"/>
  <c r="D30" i="97"/>
  <c r="D29" i="97"/>
  <c r="F15" i="97"/>
  <c r="G15" i="97"/>
  <c r="H15" i="97"/>
  <c r="I15" i="97"/>
  <c r="E15" i="97"/>
  <c r="F14" i="97"/>
  <c r="G14" i="97"/>
  <c r="H14" i="97"/>
  <c r="I14" i="97"/>
  <c r="E14" i="97"/>
  <c r="G13" i="97"/>
  <c r="G19" i="97" s="1"/>
  <c r="G20" i="97" s="1"/>
  <c r="G11" i="97"/>
  <c r="H11" i="97"/>
  <c r="I11" i="97"/>
  <c r="G9" i="97"/>
  <c r="H9" i="97"/>
  <c r="I9" i="97" s="1"/>
  <c r="F9" i="97"/>
  <c r="I13" i="97" l="1"/>
  <c r="I19" i="97" s="1"/>
  <c r="I20" i="97" s="1"/>
  <c r="I25" i="97" s="1"/>
  <c r="I26" i="97" s="1"/>
  <c r="I27" i="97" s="1"/>
  <c r="I45" i="97" s="1"/>
  <c r="E13" i="97"/>
  <c r="E19" i="97" s="1"/>
  <c r="E20" i="97" s="1"/>
  <c r="H25" i="97"/>
  <c r="H26" i="97" s="1"/>
  <c r="H27" i="97" s="1"/>
  <c r="H45" i="97" s="1"/>
  <c r="E21" i="98"/>
  <c r="E22" i="98" s="1"/>
  <c r="E23" i="98" s="1"/>
  <c r="E41" i="98" s="1"/>
  <c r="E43" i="98" s="1"/>
  <c r="D57" i="98" s="1"/>
  <c r="F16" i="98"/>
  <c r="G11" i="98"/>
  <c r="H5" i="98"/>
  <c r="G9" i="98"/>
  <c r="I31" i="98"/>
  <c r="D42" i="98"/>
  <c r="D43" i="98" s="1"/>
  <c r="H42" i="98"/>
  <c r="D56" i="98"/>
  <c r="E42" i="98"/>
  <c r="I42" i="98"/>
  <c r="G25" i="97"/>
  <c r="G26" i="97" s="1"/>
  <c r="G27" i="97" s="1"/>
  <c r="G45" i="97" s="1"/>
  <c r="F25" i="97"/>
  <c r="F26" i="97" s="1"/>
  <c r="F27" i="97" s="1"/>
  <c r="F45" i="97" s="1"/>
  <c r="F47" i="97" s="1"/>
  <c r="E61" i="97" s="1"/>
  <c r="K64" i="97"/>
  <c r="E25" i="97" l="1"/>
  <c r="E26" i="97" s="1"/>
  <c r="E27" i="97"/>
  <c r="E45" i="97" s="1"/>
  <c r="E47" i="97" s="1"/>
  <c r="D61" i="97" s="1"/>
  <c r="G15" i="98"/>
  <c r="F56" i="98"/>
  <c r="F21" i="98"/>
  <c r="F22" i="98" s="1"/>
  <c r="F23" i="98" s="1"/>
  <c r="F41" i="98" s="1"/>
  <c r="F43" i="98" s="1"/>
  <c r="G16" i="98"/>
  <c r="H10" i="98"/>
  <c r="H9" i="98"/>
  <c r="I5" i="98"/>
  <c r="H11" i="98"/>
  <c r="G47" i="97"/>
  <c r="F61" i="97" s="1"/>
  <c r="L64" i="97"/>
  <c r="I11" i="98" l="1"/>
  <c r="I10" i="98"/>
  <c r="I9" i="98"/>
  <c r="G21" i="98"/>
  <c r="G22" i="98" s="1"/>
  <c r="G23" i="98" s="1"/>
  <c r="G41" i="98" s="1"/>
  <c r="G43" i="98" s="1"/>
  <c r="G56" i="98"/>
  <c r="H16" i="98"/>
  <c r="H47" i="97"/>
  <c r="G61" i="97" s="1"/>
  <c r="I47" i="97"/>
  <c r="C48" i="97" s="1"/>
  <c r="I62" i="97" l="1"/>
  <c r="I60" i="97"/>
  <c r="H61" i="97"/>
  <c r="I15" i="98"/>
  <c r="H56" i="98"/>
  <c r="H21" i="98"/>
  <c r="H22" i="98" s="1"/>
  <c r="H23" i="98" s="1"/>
  <c r="H41" i="98" s="1"/>
  <c r="H43" i="98" s="1"/>
  <c r="I16" i="98"/>
  <c r="I21" i="98" l="1"/>
  <c r="I22" i="98" s="1"/>
  <c r="I23" i="98" s="1"/>
  <c r="I41" i="98" s="1"/>
  <c r="I43" i="98" s="1"/>
  <c r="H57" i="98" l="1"/>
</calcChain>
</file>

<file path=xl/sharedStrings.xml><?xml version="1.0" encoding="utf-8"?>
<sst xmlns="http://schemas.openxmlformats.org/spreadsheetml/2006/main" count="107" uniqueCount="54">
  <si>
    <t>Flux monétaires</t>
  </si>
  <si>
    <t>Facteur d'actualisation</t>
  </si>
  <si>
    <t>Flux monétaires actualisés</t>
  </si>
  <si>
    <t>Valeur actuelle nette</t>
  </si>
  <si>
    <t xml:space="preserve">Année </t>
  </si>
  <si>
    <t>Flux monétaires nets d'exploitation</t>
  </si>
  <si>
    <t>Flux monétaires nets après impôts</t>
  </si>
  <si>
    <t>Coûts</t>
  </si>
  <si>
    <t>Coût totaux</t>
  </si>
  <si>
    <t>Produits des ventes</t>
  </si>
  <si>
    <t>DATA</t>
  </si>
  <si>
    <t>Ventes en unité</t>
  </si>
  <si>
    <t>Prix de vente unitaire</t>
  </si>
  <si>
    <t>Écart</t>
  </si>
  <si>
    <t>Partie 1</t>
  </si>
  <si>
    <t>Impact sur la VAN en %</t>
  </si>
  <si>
    <t>Impact fiscal de l'exploitation</t>
  </si>
  <si>
    <t xml:space="preserve">Conclusion: </t>
  </si>
  <si>
    <t>Matricule</t>
  </si>
  <si>
    <t>Gr.</t>
  </si>
  <si>
    <t>Méthodes d'analyse des projets APRÈS impôt</t>
  </si>
  <si>
    <t>Calcul des ajustements fiscaux des valeurs de récupération</t>
  </si>
  <si>
    <t>NOM :</t>
  </si>
  <si>
    <t>Prén. :</t>
  </si>
  <si>
    <t xml:space="preserve">Explication de votre méthode : </t>
  </si>
  <si>
    <t>Impôt à payer</t>
  </si>
  <si>
    <t>Partie 2 - Analyse de sensibilité - QUESTION OBLIGATOIRE</t>
  </si>
  <si>
    <t>VAN après impôt</t>
  </si>
  <si>
    <t>Calcul, questionnement et notes</t>
  </si>
  <si>
    <t>Lab 6</t>
  </si>
  <si>
    <t>Effet fiscal sur disposition d'actifs</t>
  </si>
  <si>
    <t>Valeurs de récupération</t>
  </si>
  <si>
    <t>Investissements</t>
  </si>
  <si>
    <t>Salloum</t>
  </si>
  <si>
    <t>Maya</t>
  </si>
  <si>
    <t>Kenza</t>
  </si>
  <si>
    <t>Rami Yahyaoui</t>
  </si>
  <si>
    <t>Matière première (MP)</t>
  </si>
  <si>
    <t>Main d'œuvre directe (MOD)</t>
  </si>
  <si>
    <t>Frais généraux (FG)</t>
  </si>
  <si>
    <t xml:space="preserve">Frais fixes </t>
  </si>
  <si>
    <t xml:space="preserve">Terrain </t>
  </si>
  <si>
    <t>Immeuble</t>
  </si>
  <si>
    <t>Équipements</t>
  </si>
  <si>
    <t>Équipement (non-fermeture)</t>
  </si>
  <si>
    <t>Immeuble (fermeture)</t>
  </si>
  <si>
    <t>DPA Immeuble</t>
  </si>
  <si>
    <t>DPA Équipements</t>
  </si>
  <si>
    <t>montant imposable</t>
  </si>
  <si>
    <t>FNACC immeuble</t>
  </si>
  <si>
    <t>FNACC équipement</t>
  </si>
  <si>
    <t>TRAM après impôts</t>
  </si>
  <si>
    <t>terrain</t>
  </si>
  <si>
    <t>Explication de votre méthode : VAN à 10%/VAN à 0%-1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</si>
</sst>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€_-;\-* #,##0.00\ _€_-;_-* &quot;-&quot;??\ _€_-;_-@_-"/>
    <numFmt numFmtId="164" formatCode="_ * #,##0.00_)\ &quot;$&quot;_ ;_ * \(#,##0.00\)\ &quot;$&quot;_ ;_ * &quot;-&quot;??_)\ &quot;$&quot;_ ;_ @_ "/>
    <numFmt numFmtId="165" formatCode="#,##0\ &quot;$&quot;_-;[Red]#,##0\ &quot;$&quot;\-"/>
    <numFmt numFmtId="166" formatCode="_-* #,##0.00\ &quot;$&quot;_-;_-* #,##0.00\ &quot;$&quot;\-;_-* &quot;-&quot;??\ &quot;$&quot;_-;_-@_-"/>
    <numFmt numFmtId="167" formatCode="#,##0\ &quot;$&quot;_-"/>
    <numFmt numFmtId="168" formatCode="0.0000"/>
    <numFmt numFmtId="169" formatCode="_ * #,##0_)\ &quot;$&quot;_ ;_ * \(#,##0\)\ &quot;$&quot;_ ;_ * &quot;-&quot;??_)\ &quot;$&quot;_ ;_ @_ "/>
    <numFmt numFmtId="170" formatCode="_-* #,##0\ &quot;$&quot;_-;_-* #,##0\ &quot;$&quot;\-;_-* &quot;-&quot;??\ &quot;$&quot;_-;_-@_-"/>
    <numFmt numFmtId="171" formatCode="h&quot; h &quot;mm;@"/>
    <numFmt numFmtId="172" formatCode="[$-F800]dddd\,\ mmmm\ dd\,\ yyyy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84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52">
    <xf numFmtId="0" fontId="0" fillId="0" borderId="0" xfId="0"/>
    <xf numFmtId="0" fontId="3" fillId="0" borderId="0" xfId="0" applyFont="1"/>
    <xf numFmtId="0" fontId="3" fillId="0" borderId="1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9" fontId="0" fillId="0" borderId="0" xfId="0" applyNumberFormat="1" applyFont="1" applyBorder="1"/>
    <xf numFmtId="0" fontId="0" fillId="0" borderId="6" xfId="0" applyFont="1" applyBorder="1"/>
    <xf numFmtId="0" fontId="0" fillId="0" borderId="2" xfId="0" applyFont="1" applyBorder="1"/>
    <xf numFmtId="169" fontId="0" fillId="0" borderId="0" xfId="0" applyNumberFormat="1" applyFont="1"/>
    <xf numFmtId="0" fontId="0" fillId="0" borderId="2" xfId="0" applyFont="1" applyBorder="1" applyAlignment="1">
      <alignment horizontal="center"/>
    </xf>
    <xf numFmtId="169" fontId="0" fillId="0" borderId="0" xfId="0" applyNumberFormat="1" applyFont="1" applyFill="1" applyBorder="1"/>
    <xf numFmtId="10" fontId="0" fillId="0" borderId="0" xfId="2" applyNumberFormat="1" applyFont="1" applyAlignment="1">
      <alignment horizontal="center"/>
    </xf>
    <xf numFmtId="0" fontId="0" fillId="0" borderId="7" xfId="0" applyFont="1" applyBorder="1"/>
    <xf numFmtId="169" fontId="3" fillId="0" borderId="10" xfId="0" applyNumberFormat="1" applyFont="1" applyFill="1" applyBorder="1"/>
    <xf numFmtId="169" fontId="3" fillId="0" borderId="11" xfId="0" applyNumberFormat="1" applyFont="1" applyFill="1" applyBorder="1"/>
    <xf numFmtId="169" fontId="0" fillId="0" borderId="2" xfId="0" applyNumberFormat="1" applyFont="1" applyFill="1" applyBorder="1"/>
    <xf numFmtId="169" fontId="0" fillId="0" borderId="8" xfId="0" applyNumberFormat="1" applyFont="1" applyFill="1" applyBorder="1"/>
    <xf numFmtId="169" fontId="0" fillId="0" borderId="6" xfId="0" applyNumberFormat="1" applyFont="1" applyFill="1" applyBorder="1"/>
    <xf numFmtId="169" fontId="0" fillId="0" borderId="5" xfId="0" applyNumberFormat="1" applyFont="1" applyFill="1" applyBorder="1"/>
    <xf numFmtId="169" fontId="0" fillId="0" borderId="7" xfId="0" applyNumberFormat="1" applyFont="1" applyFill="1" applyBorder="1"/>
    <xf numFmtId="169" fontId="6" fillId="0" borderId="0" xfId="0" applyNumberFormat="1" applyFont="1" applyFill="1" applyBorder="1"/>
    <xf numFmtId="169" fontId="6" fillId="0" borderId="6" xfId="0" applyNumberFormat="1" applyFont="1" applyFill="1" applyBorder="1"/>
    <xf numFmtId="169" fontId="0" fillId="0" borderId="0" xfId="1" applyNumberFormat="1" applyFont="1" applyFill="1" applyBorder="1" applyAlignment="1">
      <alignment horizontal="right"/>
    </xf>
    <xf numFmtId="169" fontId="0" fillId="0" borderId="6" xfId="1" applyNumberFormat="1" applyFont="1" applyFill="1" applyBorder="1" applyAlignment="1">
      <alignment horizontal="right"/>
    </xf>
    <xf numFmtId="169" fontId="7" fillId="0" borderId="6" xfId="0" applyNumberFormat="1" applyFont="1" applyFill="1" applyBorder="1"/>
    <xf numFmtId="169" fontId="3" fillId="0" borderId="6" xfId="1" applyNumberFormat="1" applyFont="1" applyFill="1" applyBorder="1"/>
    <xf numFmtId="169" fontId="0" fillId="0" borderId="10" xfId="0" applyNumberFormat="1" applyFont="1" applyFill="1" applyBorder="1"/>
    <xf numFmtId="169" fontId="0" fillId="0" borderId="11" xfId="0" applyNumberFormat="1" applyFont="1" applyFill="1" applyBorder="1"/>
    <xf numFmtId="169" fontId="3" fillId="0" borderId="2" xfId="0" applyNumberFormat="1" applyFont="1" applyFill="1" applyBorder="1" applyAlignment="1">
      <alignment horizontal="center"/>
    </xf>
    <xf numFmtId="169" fontId="3" fillId="0" borderId="8" xfId="0" applyNumberFormat="1" applyFont="1" applyFill="1" applyBorder="1" applyAlignment="1">
      <alignment horizontal="center"/>
    </xf>
    <xf numFmtId="169" fontId="3" fillId="0" borderId="5" xfId="0" applyNumberFormat="1" applyFont="1" applyFill="1" applyBorder="1" applyAlignment="1">
      <alignment horizontal="center"/>
    </xf>
    <xf numFmtId="169" fontId="3" fillId="0" borderId="5" xfId="0" applyNumberFormat="1" applyFont="1" applyFill="1" applyBorder="1"/>
    <xf numFmtId="169" fontId="3" fillId="0" borderId="7" xfId="0" applyNumberFormat="1" applyFont="1" applyFill="1" applyBorder="1"/>
    <xf numFmtId="0" fontId="6" fillId="0" borderId="0" xfId="0" applyFont="1" applyBorder="1"/>
    <xf numFmtId="10" fontId="0" fillId="0" borderId="0" xfId="0" applyNumberFormat="1" applyFont="1" applyBorder="1"/>
    <xf numFmtId="0" fontId="0" fillId="0" borderId="0" xfId="0" applyNumberFormat="1" applyFont="1" applyAlignment="1">
      <alignment horizontal="center"/>
    </xf>
    <xf numFmtId="0" fontId="3" fillId="0" borderId="12" xfId="0" applyFont="1" applyBorder="1"/>
    <xf numFmtId="169" fontId="7" fillId="0" borderId="0" xfId="0" applyNumberFormat="1" applyFont="1" applyFill="1" applyBorder="1"/>
    <xf numFmtId="169" fontId="0" fillId="0" borderId="0" xfId="0" applyNumberFormat="1" applyFont="1" applyBorder="1" applyAlignment="1">
      <alignment horizontal="right"/>
    </xf>
    <xf numFmtId="10" fontId="0" fillId="2" borderId="15" xfId="2" applyNumberFormat="1" applyFont="1" applyFill="1" applyBorder="1" applyAlignment="1">
      <alignment horizontal="right"/>
    </xf>
    <xf numFmtId="0" fontId="3" fillId="3" borderId="12" xfId="0" applyFont="1" applyFill="1" applyBorder="1" applyAlignment="1">
      <alignment horizontal="center"/>
    </xf>
    <xf numFmtId="9" fontId="0" fillId="3" borderId="15" xfId="0" applyNumberFormat="1" applyFont="1" applyFill="1" applyBorder="1" applyAlignment="1">
      <alignment horizontal="center"/>
    </xf>
    <xf numFmtId="170" fontId="0" fillId="3" borderId="15" xfId="1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5" fontId="0" fillId="3" borderId="15" xfId="0" applyNumberFormat="1" applyFont="1" applyFill="1" applyBorder="1" applyAlignment="1">
      <alignment horizontal="center"/>
    </xf>
    <xf numFmtId="165" fontId="0" fillId="3" borderId="14" xfId="0" applyNumberFormat="1" applyFont="1" applyFill="1" applyBorder="1" applyAlignment="1">
      <alignment horizontal="center"/>
    </xf>
    <xf numFmtId="9" fontId="0" fillId="3" borderId="13" xfId="0" applyNumberFormat="1" applyFont="1" applyFill="1" applyBorder="1" applyAlignment="1">
      <alignment horizontal="center"/>
    </xf>
    <xf numFmtId="9" fontId="0" fillId="3" borderId="14" xfId="0" applyNumberFormat="1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6" fillId="3" borderId="13" xfId="0" applyFont="1" applyFill="1" applyBorder="1" applyAlignment="1"/>
    <xf numFmtId="0" fontId="6" fillId="3" borderId="15" xfId="0" applyFont="1" applyFill="1" applyBorder="1" applyAlignment="1"/>
    <xf numFmtId="0" fontId="0" fillId="3" borderId="15" xfId="0" applyFont="1" applyFill="1" applyBorder="1"/>
    <xf numFmtId="0" fontId="0" fillId="3" borderId="14" xfId="0" applyFont="1" applyFill="1" applyBorder="1"/>
    <xf numFmtId="167" fontId="0" fillId="3" borderId="13" xfId="0" applyNumberFormat="1" applyFont="1" applyFill="1" applyBorder="1" applyAlignment="1">
      <alignment horizontal="center"/>
    </xf>
    <xf numFmtId="10" fontId="0" fillId="3" borderId="15" xfId="0" applyNumberFormat="1" applyFont="1" applyFill="1" applyBorder="1" applyAlignment="1">
      <alignment horizontal="center"/>
    </xf>
    <xf numFmtId="49" fontId="8" fillId="0" borderId="9" xfId="0" applyNumberFormat="1" applyFont="1" applyBorder="1" applyAlignment="1"/>
    <xf numFmtId="49" fontId="9" fillId="0" borderId="9" xfId="0" applyNumberFormat="1" applyFont="1" applyBorder="1"/>
    <xf numFmtId="49" fontId="11" fillId="0" borderId="12" xfId="0" applyNumberFormat="1" applyFont="1" applyBorder="1"/>
    <xf numFmtId="0" fontId="10" fillId="0" borderId="12" xfId="0" applyFont="1" applyBorder="1"/>
    <xf numFmtId="0" fontId="8" fillId="0" borderId="12" xfId="0" applyFont="1" applyBorder="1" applyAlignment="1">
      <alignment horizontal="right"/>
    </xf>
    <xf numFmtId="49" fontId="11" fillId="0" borderId="0" xfId="0" applyNumberFormat="1" applyFont="1" applyBorder="1" applyAlignment="1"/>
    <xf numFmtId="0" fontId="10" fillId="0" borderId="0" xfId="0" applyFont="1" applyBorder="1"/>
    <xf numFmtId="49" fontId="10" fillId="0" borderId="0" xfId="0" applyNumberFormat="1" applyFont="1" applyBorder="1"/>
    <xf numFmtId="49" fontId="10" fillId="0" borderId="0" xfId="0" applyNumberFormat="1" applyFont="1" applyBorder="1" applyAlignme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1" fontId="0" fillId="3" borderId="6" xfId="0" applyNumberFormat="1" applyFont="1" applyFill="1" applyBorder="1" applyAlignment="1">
      <alignment horizontal="center"/>
    </xf>
    <xf numFmtId="165" fontId="0" fillId="3" borderId="0" xfId="0" applyNumberFormat="1" applyFont="1" applyFill="1" applyBorder="1" applyAlignment="1">
      <alignment horizontal="center"/>
    </xf>
    <xf numFmtId="165" fontId="0" fillId="3" borderId="6" xfId="0" applyNumberFormat="1" applyFont="1" applyFill="1" applyBorder="1" applyAlignment="1">
      <alignment horizontal="center"/>
    </xf>
    <xf numFmtId="168" fontId="0" fillId="3" borderId="0" xfId="0" applyNumberFormat="1" applyFont="1" applyFill="1" applyBorder="1" applyAlignment="1">
      <alignment horizontal="center"/>
    </xf>
    <xf numFmtId="168" fontId="0" fillId="3" borderId="6" xfId="0" applyNumberFormat="1" applyFont="1" applyFill="1" applyBorder="1" applyAlignment="1">
      <alignment horizontal="center"/>
    </xf>
    <xf numFmtId="169" fontId="0" fillId="3" borderId="2" xfId="0" applyNumberFormat="1" applyFont="1" applyFill="1" applyBorder="1"/>
    <xf numFmtId="169" fontId="0" fillId="3" borderId="8" xfId="0" applyNumberFormat="1" applyFont="1" applyFill="1" applyBorder="1"/>
    <xf numFmtId="169" fontId="0" fillId="3" borderId="0" xfId="0" applyNumberFormat="1" applyFont="1" applyFill="1" applyBorder="1"/>
    <xf numFmtId="169" fontId="0" fillId="3" borderId="6" xfId="0" applyNumberFormat="1" applyFont="1" applyFill="1" applyBorder="1"/>
    <xf numFmtId="169" fontId="6" fillId="3" borderId="0" xfId="0" applyNumberFormat="1" applyFont="1" applyFill="1" applyBorder="1"/>
    <xf numFmtId="169" fontId="6" fillId="3" borderId="6" xfId="0" applyNumberFormat="1" applyFont="1" applyFill="1" applyBorder="1"/>
    <xf numFmtId="169" fontId="6" fillId="0" borderId="10" xfId="1" applyNumberFormat="1" applyFont="1" applyFill="1" applyBorder="1"/>
    <xf numFmtId="169" fontId="6" fillId="0" borderId="11" xfId="1" applyNumberFormat="1" applyFont="1" applyFill="1" applyBorder="1"/>
    <xf numFmtId="0" fontId="1" fillId="0" borderId="0" xfId="283"/>
    <xf numFmtId="0" fontId="12" fillId="0" borderId="0" xfId="283" applyFont="1"/>
    <xf numFmtId="171" fontId="13" fillId="0" borderId="0" xfId="0" applyNumberFormat="1" applyFont="1"/>
    <xf numFmtId="169" fontId="0" fillId="0" borderId="10" xfId="0" applyNumberFormat="1" applyFont="1" applyFill="1" applyBorder="1" applyAlignment="1">
      <alignment horizontal="center"/>
    </xf>
    <xf numFmtId="169" fontId="0" fillId="0" borderId="2" xfId="0" applyNumberFormat="1" applyFont="1" applyFill="1" applyBorder="1" applyAlignment="1">
      <alignment horizontal="center"/>
    </xf>
    <xf numFmtId="169" fontId="0" fillId="0" borderId="0" xfId="0" applyNumberFormat="1" applyFont="1" applyFill="1" applyBorder="1" applyAlignment="1">
      <alignment horizontal="center"/>
    </xf>
    <xf numFmtId="169" fontId="0" fillId="0" borderId="5" xfId="0" applyNumberFormat="1" applyFont="1" applyFill="1" applyBorder="1" applyAlignment="1">
      <alignment horizontal="center"/>
    </xf>
    <xf numFmtId="169" fontId="0" fillId="0" borderId="9" xfId="0" applyNumberFormat="1" applyFont="1" applyFill="1" applyBorder="1"/>
    <xf numFmtId="169" fontId="0" fillId="3" borderId="0" xfId="0" applyNumberFormat="1" applyFont="1" applyFill="1" applyBorder="1" applyAlignment="1">
      <alignment horizontal="center"/>
    </xf>
    <xf numFmtId="169" fontId="3" fillId="0" borderId="9" xfId="0" applyNumberFormat="1" applyFont="1" applyFill="1" applyBorder="1"/>
    <xf numFmtId="169" fontId="0" fillId="0" borderId="5" xfId="0" applyNumberFormat="1" applyFont="1" applyFill="1" applyBorder="1" applyAlignment="1">
      <alignment horizontal="right"/>
    </xf>
    <xf numFmtId="169" fontId="0" fillId="0" borderId="7" xfId="0" applyNumberFormat="1" applyFont="1" applyFill="1" applyBorder="1" applyAlignment="1">
      <alignment horizontal="right"/>
    </xf>
    <xf numFmtId="0" fontId="3" fillId="0" borderId="11" xfId="0" applyFont="1" applyBorder="1" applyAlignment="1">
      <alignment horizontal="center"/>
    </xf>
    <xf numFmtId="169" fontId="3" fillId="0" borderId="0" xfId="1" applyNumberFormat="1" applyFont="1" applyFill="1" applyBorder="1"/>
    <xf numFmtId="9" fontId="3" fillId="0" borderId="0" xfId="2" applyFont="1" applyBorder="1" applyAlignment="1">
      <alignment vertical="top"/>
    </xf>
    <xf numFmtId="169" fontId="0" fillId="0" borderId="2" xfId="0" applyNumberFormat="1" applyFont="1" applyBorder="1" applyAlignment="1">
      <alignment horizontal="right"/>
    </xf>
    <xf numFmtId="10" fontId="0" fillId="2" borderId="13" xfId="2" applyNumberFormat="1" applyFont="1" applyFill="1" applyBorder="1" applyAlignment="1">
      <alignment horizontal="right"/>
    </xf>
    <xf numFmtId="169" fontId="0" fillId="0" borderId="5" xfId="0" applyNumberFormat="1" applyFont="1" applyBorder="1" applyAlignment="1">
      <alignment horizontal="right"/>
    </xf>
    <xf numFmtId="10" fontId="0" fillId="2" borderId="14" xfId="2" applyNumberFormat="1" applyFont="1" applyFill="1" applyBorder="1" applyAlignment="1">
      <alignment horizontal="right"/>
    </xf>
    <xf numFmtId="169" fontId="0" fillId="0" borderId="5" xfId="0" applyNumberFormat="1" applyFont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0" fillId="0" borderId="3" xfId="2" applyNumberFormat="1" applyFont="1" applyBorder="1" applyAlignment="1">
      <alignment horizontal="center" wrapText="1"/>
    </xf>
    <xf numFmtId="0" fontId="0" fillId="0" borderId="0" xfId="2" applyNumberFormat="1" applyFont="1" applyBorder="1" applyAlignment="1">
      <alignment horizontal="center" wrapText="1"/>
    </xf>
    <xf numFmtId="0" fontId="0" fillId="0" borderId="6" xfId="2" applyNumberFormat="1" applyFont="1" applyBorder="1" applyAlignment="1">
      <alignment horizontal="center" wrapText="1"/>
    </xf>
    <xf numFmtId="0" fontId="0" fillId="0" borderId="4" xfId="2" applyNumberFormat="1" applyFont="1" applyBorder="1" applyAlignment="1">
      <alignment horizontal="center" wrapText="1"/>
    </xf>
    <xf numFmtId="0" fontId="0" fillId="0" borderId="5" xfId="2" applyNumberFormat="1" applyFont="1" applyBorder="1" applyAlignment="1">
      <alignment horizontal="center" wrapText="1"/>
    </xf>
    <xf numFmtId="0" fontId="0" fillId="0" borderId="7" xfId="2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1" fillId="0" borderId="0" xfId="0" applyFont="1" applyAlignment="1">
      <alignment horizontal="center"/>
    </xf>
    <xf numFmtId="164" fontId="3" fillId="2" borderId="9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9" fontId="3" fillId="0" borderId="0" xfId="2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2" fontId="13" fillId="0" borderId="0" xfId="0" applyNumberFormat="1" applyFont="1" applyAlignment="1">
      <alignment horizontal="left"/>
    </xf>
    <xf numFmtId="49" fontId="10" fillId="0" borderId="9" xfId="0" applyNumberFormat="1" applyFont="1" applyBorder="1" applyAlignment="1">
      <alignment horizontal="center"/>
    </xf>
    <xf numFmtId="49" fontId="10" fillId="0" borderId="11" xfId="0" applyNumberFormat="1" applyFont="1" applyBorder="1" applyAlignment="1">
      <alignment horizontal="center"/>
    </xf>
    <xf numFmtId="9" fontId="3" fillId="0" borderId="3" xfId="2" applyFont="1" applyBorder="1" applyAlignment="1">
      <alignment horizontal="center"/>
    </xf>
    <xf numFmtId="9" fontId="3" fillId="0" borderId="6" xfId="2" applyFont="1" applyBorder="1" applyAlignment="1">
      <alignment horizontal="center"/>
    </xf>
    <xf numFmtId="9" fontId="3" fillId="0" borderId="4" xfId="2" applyFont="1" applyBorder="1" applyAlignment="1">
      <alignment horizontal="center"/>
    </xf>
    <xf numFmtId="9" fontId="3" fillId="0" borderId="7" xfId="2" applyFont="1" applyBorder="1" applyAlignment="1">
      <alignment horizontal="center"/>
    </xf>
    <xf numFmtId="9" fontId="3" fillId="0" borderId="1" xfId="2" applyFont="1" applyBorder="1" applyAlignment="1">
      <alignment horizontal="center"/>
    </xf>
    <xf numFmtId="9" fontId="3" fillId="0" borderId="8" xfId="2" applyFont="1" applyBorder="1" applyAlignment="1">
      <alignment horizontal="center"/>
    </xf>
    <xf numFmtId="49" fontId="14" fillId="0" borderId="9" xfId="0" applyNumberFormat="1" applyFont="1" applyBorder="1"/>
    <xf numFmtId="43" fontId="6" fillId="0" borderId="10" xfId="1" applyNumberFormat="1" applyFont="1" applyFill="1" applyBorder="1"/>
    <xf numFmtId="10" fontId="0" fillId="0" borderId="0" xfId="0" applyNumberFormat="1" applyFont="1" applyBorder="1" applyAlignment="1">
      <alignment horizontal="center"/>
    </xf>
    <xf numFmtId="43" fontId="3" fillId="0" borderId="2" xfId="0" applyNumberFormat="1" applyFont="1" applyFill="1" applyBorder="1" applyAlignment="1">
      <alignment horizontal="center"/>
    </xf>
    <xf numFmtId="168" fontId="1" fillId="3" borderId="0" xfId="0" applyNumberFormat="1" applyFont="1" applyFill="1" applyBorder="1" applyAlignment="1">
      <alignment horizontal="center"/>
    </xf>
    <xf numFmtId="43" fontId="3" fillId="2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165" fontId="1" fillId="3" borderId="15" xfId="0" applyNumberFormat="1" applyFont="1" applyFill="1" applyBorder="1" applyAlignment="1">
      <alignment horizontal="center"/>
    </xf>
  </cellXfs>
  <cellStyles count="284"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Monétaire" xfId="1" builtinId="4"/>
    <cellStyle name="Normal" xfId="0" builtinId="0"/>
    <cellStyle name="Normal 2" xfId="283"/>
    <cellStyle name="Pourcentage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7"/>
  <sheetViews>
    <sheetView tabSelected="1" view="pageLayout" topLeftCell="A26" zoomScale="85" zoomScaleNormal="85" zoomScalePageLayoutView="85" workbookViewId="0">
      <selection activeCell="C14" sqref="C14"/>
    </sheetView>
  </sheetViews>
  <sheetFormatPr baseColWidth="10" defaultColWidth="11.42578125" defaultRowHeight="12.75" x14ac:dyDescent="0.2"/>
  <cols>
    <col min="1" max="1" width="8" style="4" customWidth="1"/>
    <col min="2" max="2" width="18.7109375" style="4" customWidth="1"/>
    <col min="3" max="3" width="8.7109375" style="4" customWidth="1"/>
    <col min="4" max="4" width="14.85546875" style="5" customWidth="1"/>
    <col min="5" max="5" width="12.42578125" style="4" customWidth="1"/>
    <col min="6" max="6" width="13.42578125" style="4" customWidth="1"/>
    <col min="7" max="7" width="14.42578125" style="4" customWidth="1"/>
    <col min="8" max="8" width="12.42578125" style="4" bestFit="1" customWidth="1"/>
    <col min="9" max="9" width="13" style="4" bestFit="1" customWidth="1"/>
    <col min="10" max="10" width="13.42578125" style="4" customWidth="1"/>
    <col min="11" max="16384" width="11.42578125" style="4"/>
  </cols>
  <sheetData>
    <row r="1" spans="1:14" ht="15" x14ac:dyDescent="0.25">
      <c r="A1" s="61" t="s">
        <v>22</v>
      </c>
      <c r="B1" s="143" t="s">
        <v>36</v>
      </c>
      <c r="C1" s="40" t="s">
        <v>23</v>
      </c>
      <c r="D1" s="135" t="s">
        <v>35</v>
      </c>
      <c r="E1" s="136"/>
      <c r="F1" s="63" t="s">
        <v>18</v>
      </c>
      <c r="G1" s="64">
        <v>1903555</v>
      </c>
      <c r="H1" s="65" t="s">
        <v>19</v>
      </c>
      <c r="I1" s="64">
        <v>1</v>
      </c>
    </row>
    <row r="2" spans="1:14" ht="12.95" customHeight="1" x14ac:dyDescent="0.25">
      <c r="A2" s="61" t="s">
        <v>22</v>
      </c>
      <c r="B2" s="143" t="s">
        <v>33</v>
      </c>
      <c r="C2" s="40" t="s">
        <v>23</v>
      </c>
      <c r="D2" s="135" t="s">
        <v>34</v>
      </c>
      <c r="E2" s="136"/>
      <c r="F2" s="63" t="s">
        <v>18</v>
      </c>
      <c r="G2" s="64">
        <v>1791189</v>
      </c>
      <c r="H2" s="65" t="s">
        <v>19</v>
      </c>
      <c r="I2" s="64">
        <v>3</v>
      </c>
    </row>
    <row r="3" spans="1:14" ht="12.95" customHeight="1" x14ac:dyDescent="0.25">
      <c r="A3" s="61" t="s">
        <v>22</v>
      </c>
      <c r="B3" s="62"/>
      <c r="C3" s="40" t="s">
        <v>23</v>
      </c>
      <c r="D3" s="135"/>
      <c r="E3" s="136"/>
      <c r="F3" s="63" t="s">
        <v>18</v>
      </c>
      <c r="G3" s="64"/>
      <c r="H3" s="65" t="s">
        <v>19</v>
      </c>
      <c r="I3" s="64"/>
    </row>
    <row r="4" spans="1:14" ht="12.95" customHeight="1" x14ac:dyDescent="0.25">
      <c r="A4" s="66"/>
      <c r="B4" s="66"/>
      <c r="C4" s="67"/>
      <c r="D4" s="68"/>
      <c r="E4" s="69"/>
      <c r="F4" s="70"/>
      <c r="G4" s="70"/>
      <c r="H4" s="70"/>
      <c r="I4" s="70"/>
      <c r="J4" s="70"/>
    </row>
    <row r="5" spans="1:14" ht="15" x14ac:dyDescent="0.25">
      <c r="A5" s="71" t="s">
        <v>29</v>
      </c>
      <c r="B5" s="71"/>
      <c r="C5" s="124" t="s">
        <v>20</v>
      </c>
      <c r="D5" s="124"/>
      <c r="E5" s="124"/>
      <c r="F5" s="124"/>
      <c r="G5" s="124"/>
      <c r="H5" s="124"/>
      <c r="I5" s="124"/>
      <c r="J5" s="70"/>
    </row>
    <row r="6" spans="1:14" ht="15" x14ac:dyDescent="0.25">
      <c r="A6" s="1" t="s">
        <v>14</v>
      </c>
      <c r="B6" s="71"/>
      <c r="C6" s="71"/>
      <c r="D6" s="70"/>
      <c r="E6" s="72"/>
      <c r="F6" s="70"/>
      <c r="G6" s="70"/>
      <c r="H6" s="70"/>
      <c r="I6" s="70"/>
      <c r="J6" s="70"/>
    </row>
    <row r="7" spans="1:14" x14ac:dyDescent="0.2">
      <c r="A7" s="108" t="s">
        <v>27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10"/>
    </row>
    <row r="8" spans="1:14" x14ac:dyDescent="0.2">
      <c r="A8" s="118" t="s">
        <v>4</v>
      </c>
      <c r="B8" s="119"/>
      <c r="C8" s="44" t="s">
        <v>10</v>
      </c>
      <c r="D8" s="2">
        <v>2018</v>
      </c>
      <c r="E8" s="2">
        <v>2019</v>
      </c>
      <c r="F8" s="2">
        <v>2020</v>
      </c>
      <c r="G8" s="2">
        <v>2021</v>
      </c>
      <c r="H8" s="2">
        <v>2022</v>
      </c>
      <c r="I8" s="2">
        <v>2023</v>
      </c>
      <c r="J8" s="2"/>
      <c r="K8" s="2"/>
      <c r="L8" s="2"/>
      <c r="M8" s="2"/>
      <c r="N8" s="100"/>
    </row>
    <row r="9" spans="1:14" x14ac:dyDescent="0.2">
      <c r="A9" s="122" t="s">
        <v>11</v>
      </c>
      <c r="B9" s="123"/>
      <c r="C9" s="45">
        <v>0.05</v>
      </c>
      <c r="D9" s="73"/>
      <c r="E9" s="74">
        <v>55</v>
      </c>
      <c r="F9" s="74">
        <f>E9*(1+$C$9)</f>
        <v>57.75</v>
      </c>
      <c r="G9" s="74">
        <f>F9*(1+$C$9)</f>
        <v>60.637500000000003</v>
      </c>
      <c r="H9" s="74">
        <f t="shared" ref="G9:J9" si="0">G9*(1+$C$9)</f>
        <v>63.669375000000002</v>
      </c>
      <c r="I9" s="74">
        <f t="shared" si="0"/>
        <v>66.852843750000005</v>
      </c>
      <c r="J9" s="74"/>
      <c r="K9" s="74"/>
      <c r="L9" s="74"/>
      <c r="M9" s="74"/>
      <c r="N9" s="75"/>
    </row>
    <row r="10" spans="1:14" x14ac:dyDescent="0.2">
      <c r="A10" s="122" t="s">
        <v>12</v>
      </c>
      <c r="B10" s="123"/>
      <c r="C10" s="46"/>
      <c r="D10" s="73"/>
      <c r="E10" s="76">
        <v>1760</v>
      </c>
      <c r="F10" s="76">
        <v>1760</v>
      </c>
      <c r="G10" s="76">
        <v>1760</v>
      </c>
      <c r="H10" s="76">
        <v>1760</v>
      </c>
      <c r="I10" s="76">
        <v>1760</v>
      </c>
      <c r="J10" s="76"/>
      <c r="K10" s="76"/>
      <c r="L10" s="76"/>
      <c r="M10" s="76"/>
      <c r="N10" s="77"/>
    </row>
    <row r="11" spans="1:14" x14ac:dyDescent="0.2">
      <c r="A11" s="118" t="s">
        <v>9</v>
      </c>
      <c r="B11" s="119"/>
      <c r="C11" s="47"/>
      <c r="D11" s="91"/>
      <c r="E11" s="17">
        <f>E10*E9</f>
        <v>96800</v>
      </c>
      <c r="F11" s="17">
        <f>F10*F9</f>
        <v>101640</v>
      </c>
      <c r="G11" s="17">
        <f t="shared" ref="F11:J11" si="1">G10*G9</f>
        <v>106722</v>
      </c>
      <c r="H11" s="17">
        <f t="shared" si="1"/>
        <v>112058.1</v>
      </c>
      <c r="I11" s="17">
        <f t="shared" si="1"/>
        <v>117661.005</v>
      </c>
      <c r="J11" s="17"/>
      <c r="K11" s="17"/>
      <c r="L11" s="17"/>
      <c r="M11" s="17"/>
      <c r="N11" s="18"/>
    </row>
    <row r="12" spans="1:14" x14ac:dyDescent="0.2">
      <c r="A12" s="120" t="s">
        <v>7</v>
      </c>
      <c r="B12" s="121"/>
      <c r="C12" s="48"/>
      <c r="D12" s="92"/>
      <c r="E12" s="19"/>
      <c r="F12" s="19"/>
      <c r="G12" s="19"/>
      <c r="H12" s="19"/>
      <c r="I12" s="19"/>
      <c r="J12" s="19"/>
      <c r="K12" s="19"/>
      <c r="L12" s="19"/>
      <c r="M12" s="19"/>
      <c r="N12" s="20"/>
    </row>
    <row r="13" spans="1:14" x14ac:dyDescent="0.2">
      <c r="A13" s="122" t="s">
        <v>37</v>
      </c>
      <c r="B13" s="123"/>
      <c r="C13" s="151">
        <f>210</f>
        <v>210</v>
      </c>
      <c r="D13" s="93"/>
      <c r="E13" s="14">
        <f>$C$13*E9</f>
        <v>11550</v>
      </c>
      <c r="F13" s="14">
        <f>$C$13*F9</f>
        <v>12127.5</v>
      </c>
      <c r="G13" s="14">
        <f t="shared" ref="F13:J13" si="2">$C$13*G9</f>
        <v>12733.875</v>
      </c>
      <c r="H13" s="14">
        <f t="shared" si="2"/>
        <v>13370.56875</v>
      </c>
      <c r="I13" s="14">
        <f t="shared" si="2"/>
        <v>14039.097187500001</v>
      </c>
      <c r="J13" s="14"/>
      <c r="K13" s="14"/>
      <c r="L13" s="14"/>
      <c r="M13" s="14"/>
      <c r="N13" s="21"/>
    </row>
    <row r="14" spans="1:14" x14ac:dyDescent="0.2">
      <c r="A14" s="122" t="s">
        <v>38</v>
      </c>
      <c r="B14" s="123"/>
      <c r="C14" s="49">
        <v>378</v>
      </c>
      <c r="D14" s="93"/>
      <c r="E14" s="14">
        <f>$C$14*E9</f>
        <v>20790</v>
      </c>
      <c r="F14" s="14">
        <f t="shared" ref="F14:J14" si="3">$C$14*F9</f>
        <v>21829.5</v>
      </c>
      <c r="G14" s="14">
        <f t="shared" si="3"/>
        <v>22920.975000000002</v>
      </c>
      <c r="H14" s="14">
        <f t="shared" si="3"/>
        <v>24067.02375</v>
      </c>
      <c r="I14" s="14">
        <f t="shared" si="3"/>
        <v>25270.374937500001</v>
      </c>
      <c r="J14" s="14"/>
      <c r="K14" s="14"/>
      <c r="L14" s="14"/>
      <c r="M14" s="14"/>
      <c r="N14" s="21"/>
    </row>
    <row r="15" spans="1:14" x14ac:dyDescent="0.2">
      <c r="A15" s="122" t="s">
        <v>39</v>
      </c>
      <c r="B15" s="123"/>
      <c r="C15" s="49">
        <v>38</v>
      </c>
      <c r="D15" s="93"/>
      <c r="E15" s="14">
        <f>$C$15*E9</f>
        <v>2090</v>
      </c>
      <c r="F15" s="14">
        <f t="shared" ref="F15:J15" si="4">$C$15*F9</f>
        <v>2194.5</v>
      </c>
      <c r="G15" s="14">
        <f t="shared" si="4"/>
        <v>2304.2249999999999</v>
      </c>
      <c r="H15" s="14">
        <f t="shared" si="4"/>
        <v>2419.4362500000002</v>
      </c>
      <c r="I15" s="14">
        <f t="shared" si="4"/>
        <v>2540.4080625000001</v>
      </c>
      <c r="J15" s="14"/>
      <c r="K15" s="14"/>
      <c r="L15" s="14"/>
      <c r="M15" s="14"/>
      <c r="N15" s="21"/>
    </row>
    <row r="16" spans="1:14" x14ac:dyDescent="0.2">
      <c r="A16" s="122" t="s">
        <v>40</v>
      </c>
      <c r="B16" s="123"/>
      <c r="C16" s="49">
        <v>29300</v>
      </c>
      <c r="D16" s="93"/>
      <c r="E16" s="14">
        <v>29300</v>
      </c>
      <c r="F16" s="14">
        <v>29300</v>
      </c>
      <c r="G16" s="14">
        <v>29300</v>
      </c>
      <c r="H16" s="14">
        <v>29300</v>
      </c>
      <c r="I16" s="14">
        <v>29300</v>
      </c>
      <c r="J16" s="14"/>
      <c r="K16" s="14"/>
      <c r="L16" s="14"/>
      <c r="M16" s="14"/>
      <c r="N16" s="21"/>
    </row>
    <row r="17" spans="1:14" x14ac:dyDescent="0.2">
      <c r="A17" s="122"/>
      <c r="B17" s="123"/>
      <c r="C17" s="49"/>
      <c r="D17" s="93"/>
      <c r="E17" s="14"/>
      <c r="F17" s="14"/>
      <c r="G17" s="14"/>
      <c r="H17" s="14"/>
      <c r="I17" s="14"/>
      <c r="J17" s="14"/>
      <c r="K17" s="14"/>
      <c r="L17" s="14"/>
      <c r="M17" s="14"/>
      <c r="N17" s="21"/>
    </row>
    <row r="18" spans="1:14" x14ac:dyDescent="0.2">
      <c r="A18" s="127"/>
      <c r="B18" s="128"/>
      <c r="C18" s="50"/>
      <c r="D18" s="94"/>
      <c r="E18" s="22"/>
      <c r="F18" s="22"/>
      <c r="G18" s="22"/>
      <c r="H18" s="22"/>
      <c r="I18" s="22"/>
      <c r="J18" s="22"/>
      <c r="K18" s="22"/>
      <c r="L18" s="22"/>
      <c r="M18" s="22"/>
      <c r="N18" s="23"/>
    </row>
    <row r="19" spans="1:14" x14ac:dyDescent="0.2">
      <c r="A19" s="118" t="s">
        <v>8</v>
      </c>
      <c r="B19" s="119"/>
      <c r="C19" s="47"/>
      <c r="D19" s="91"/>
      <c r="E19" s="30">
        <f>SUM(E12:E18)</f>
        <v>63730</v>
      </c>
      <c r="F19" s="30">
        <f>SUM(F12:F18)</f>
        <v>65451.5</v>
      </c>
      <c r="G19" s="30">
        <f>SUM(G12:G18)</f>
        <v>67259.075000000012</v>
      </c>
      <c r="H19" s="30">
        <f t="shared" ref="F19:J19" si="5">SUM(H12:H18)</f>
        <v>69157.028749999998</v>
      </c>
      <c r="I19" s="30">
        <f>SUM(I12:I18)</f>
        <v>71149.880187500006</v>
      </c>
      <c r="J19" s="30"/>
      <c r="K19" s="30"/>
      <c r="L19" s="30"/>
      <c r="M19" s="30"/>
      <c r="N19" s="31"/>
    </row>
    <row r="20" spans="1:14" x14ac:dyDescent="0.2">
      <c r="A20" s="122" t="s">
        <v>5</v>
      </c>
      <c r="B20" s="123"/>
      <c r="C20" s="123"/>
      <c r="D20" s="95">
        <v>0</v>
      </c>
      <c r="E20" s="24">
        <f>E11-E19</f>
        <v>33070</v>
      </c>
      <c r="F20" s="24">
        <f>F11-F19</f>
        <v>36188.5</v>
      </c>
      <c r="G20" s="24">
        <f t="shared" ref="F20:J20" si="6">G11-G19</f>
        <v>39462.924999999988</v>
      </c>
      <c r="H20" s="24">
        <f t="shared" si="6"/>
        <v>42901.071250000008</v>
      </c>
      <c r="I20" s="24">
        <f t="shared" si="6"/>
        <v>46511.124812499998</v>
      </c>
      <c r="J20" s="24"/>
      <c r="K20" s="24"/>
      <c r="L20" s="24"/>
      <c r="M20" s="24"/>
      <c r="N20" s="25"/>
    </row>
    <row r="21" spans="1:14" x14ac:dyDescent="0.2">
      <c r="A21" s="120" t="s">
        <v>16</v>
      </c>
      <c r="B21" s="121"/>
      <c r="C21" s="51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1"/>
    </row>
    <row r="22" spans="1:14" x14ac:dyDescent="0.2">
      <c r="A22" s="122" t="s">
        <v>46</v>
      </c>
      <c r="B22" s="123"/>
      <c r="C22" s="45">
        <v>0.1</v>
      </c>
      <c r="D22" s="96">
        <f>D30</f>
        <v>120500</v>
      </c>
      <c r="E22" s="82">
        <f>D22*C22*0.5</f>
        <v>6025</v>
      </c>
      <c r="F22" s="82">
        <f>$C$22*$D$22*(1-($C$22/2))*(1-$C$22)^(2-2)</f>
        <v>11447.5</v>
      </c>
      <c r="G22" s="82">
        <f>$C$22*$D$22*(1-($C$22/2))*(1-$C$22)^(3-2)</f>
        <v>10302.75</v>
      </c>
      <c r="H22" s="82">
        <f>$C$22*$D$22*(1-($C$22/2))*(1-$C$22)^(4-2)</f>
        <v>9272.4750000000004</v>
      </c>
      <c r="I22" s="82">
        <f>$C$22*$D$22*(1-($C$22/2))*(1-$C$22)^(5-2)</f>
        <v>8345.2275000000009</v>
      </c>
      <c r="J22" s="82"/>
      <c r="K22" s="82"/>
      <c r="L22" s="82"/>
      <c r="M22" s="82"/>
      <c r="N22" s="83"/>
    </row>
    <row r="23" spans="1:14" x14ac:dyDescent="0.2">
      <c r="A23" s="122" t="s">
        <v>47</v>
      </c>
      <c r="B23" s="123"/>
      <c r="C23" s="45">
        <v>0.2</v>
      </c>
      <c r="D23" s="82">
        <f>D31</f>
        <v>113800</v>
      </c>
      <c r="E23" s="84">
        <f>D23*C23*0.5</f>
        <v>11380</v>
      </c>
      <c r="F23" s="82">
        <f>$C$23*$D$23*(1-($C$23/2))*(1-$C$23)^(2-2)</f>
        <v>20484</v>
      </c>
      <c r="G23" s="82">
        <f>$C$23*$D$23*(1-($C$23/2))*(1-$C$23)^(3-2)</f>
        <v>16387.2</v>
      </c>
      <c r="H23" s="82">
        <f>$C$23*$D$23*(1-($C$23/2))*(1-$C$23)^(4-2)</f>
        <v>13109.760000000002</v>
      </c>
      <c r="I23" s="82">
        <f>$C$23*$D$23*(1-($C$23/2))*(1-$C$23)^(5-2)</f>
        <v>10487.808000000003</v>
      </c>
      <c r="J23" s="82"/>
      <c r="K23" s="84"/>
      <c r="L23" s="84"/>
      <c r="M23" s="84"/>
      <c r="N23" s="85"/>
    </row>
    <row r="24" spans="1:14" x14ac:dyDescent="0.2">
      <c r="A24" s="122"/>
      <c r="B24" s="123"/>
      <c r="C24" s="45"/>
      <c r="D24" s="82"/>
      <c r="E24" s="84"/>
      <c r="F24" s="84"/>
      <c r="G24" s="84"/>
      <c r="H24" s="84"/>
      <c r="I24" s="84"/>
      <c r="J24" s="84"/>
      <c r="K24" s="84"/>
      <c r="L24" s="84"/>
      <c r="M24" s="84"/>
      <c r="N24" s="85"/>
    </row>
    <row r="25" spans="1:14" x14ac:dyDescent="0.2">
      <c r="A25" s="122" t="s">
        <v>48</v>
      </c>
      <c r="B25" s="123"/>
      <c r="C25" s="45"/>
      <c r="D25" s="82"/>
      <c r="E25" s="84">
        <f>E20-SUM(E22:E23)</f>
        <v>15665</v>
      </c>
      <c r="F25" s="84">
        <f>F20-SUM(F22:F23)</f>
        <v>4257</v>
      </c>
      <c r="G25" s="84">
        <f>G20-SUM(G22:G23)</f>
        <v>12772.974999999988</v>
      </c>
      <c r="H25" s="84">
        <f t="shared" ref="F25:J25" si="7">H20-SUM(H22:H23)</f>
        <v>20518.836250000008</v>
      </c>
      <c r="I25" s="84">
        <f t="shared" si="7"/>
        <v>27678.089312499993</v>
      </c>
      <c r="J25" s="84"/>
      <c r="K25" s="84"/>
      <c r="L25" s="84"/>
      <c r="M25" s="84"/>
      <c r="N25" s="85"/>
    </row>
    <row r="26" spans="1:14" x14ac:dyDescent="0.2">
      <c r="A26" s="127" t="s">
        <v>25</v>
      </c>
      <c r="B26" s="128"/>
      <c r="C26" s="52">
        <v>0.22</v>
      </c>
      <c r="D26" s="95"/>
      <c r="E26" s="144">
        <f>$C$26*E25</f>
        <v>3446.3</v>
      </c>
      <c r="F26" s="144">
        <f t="shared" ref="F26:J26" si="8">$C$26*F25</f>
        <v>936.54</v>
      </c>
      <c r="G26" s="144">
        <f t="shared" si="8"/>
        <v>2810.0544999999975</v>
      </c>
      <c r="H26" s="144">
        <f t="shared" si="8"/>
        <v>4514.1439750000018</v>
      </c>
      <c r="I26" s="144">
        <f t="shared" si="8"/>
        <v>6089.1796487499987</v>
      </c>
      <c r="J26" s="144"/>
      <c r="K26" s="86"/>
      <c r="L26" s="86"/>
      <c r="M26" s="86"/>
      <c r="N26" s="87"/>
    </row>
    <row r="27" spans="1:14" x14ac:dyDescent="0.2">
      <c r="A27" s="122" t="s">
        <v>6</v>
      </c>
      <c r="B27" s="123"/>
      <c r="C27" s="123"/>
      <c r="D27" s="97"/>
      <c r="E27" s="41">
        <f>E20-E26</f>
        <v>29623.7</v>
      </c>
      <c r="F27" s="41">
        <f>F20-F26</f>
        <v>35251.96</v>
      </c>
      <c r="G27" s="41">
        <f>G20-G26</f>
        <v>36652.87049999999</v>
      </c>
      <c r="H27" s="41">
        <f>H20-H26</f>
        <v>38386.927275000009</v>
      </c>
      <c r="I27" s="41">
        <f>I20-I26</f>
        <v>40421.945163750002</v>
      </c>
      <c r="J27" s="41"/>
      <c r="K27" s="41"/>
      <c r="L27" s="41"/>
      <c r="M27" s="41"/>
      <c r="N27" s="28"/>
    </row>
    <row r="28" spans="1:14" x14ac:dyDescent="0.2">
      <c r="A28" s="120" t="s">
        <v>32</v>
      </c>
      <c r="B28" s="121"/>
      <c r="C28" s="48"/>
      <c r="D28" s="92"/>
      <c r="E28" s="19"/>
      <c r="F28" s="19"/>
      <c r="G28" s="19"/>
      <c r="H28" s="19"/>
      <c r="I28" s="19"/>
      <c r="J28" s="19"/>
      <c r="K28" s="19"/>
      <c r="L28" s="19"/>
      <c r="M28" s="19"/>
      <c r="N28" s="20"/>
    </row>
    <row r="29" spans="1:14" x14ac:dyDescent="0.2">
      <c r="A29" s="122" t="s">
        <v>41</v>
      </c>
      <c r="B29" s="123"/>
      <c r="C29" s="53"/>
      <c r="D29" s="26">
        <f>241000*0.5</f>
        <v>120500</v>
      </c>
      <c r="E29" s="14"/>
      <c r="F29" s="14"/>
      <c r="G29" s="14"/>
      <c r="H29" s="14"/>
      <c r="I29" s="14"/>
      <c r="J29" s="14"/>
      <c r="K29" s="14"/>
      <c r="L29" s="14"/>
      <c r="M29" s="14"/>
      <c r="N29" s="21"/>
    </row>
    <row r="30" spans="1:14" x14ac:dyDescent="0.2">
      <c r="A30" s="122" t="s">
        <v>42</v>
      </c>
      <c r="B30" s="123"/>
      <c r="C30" s="53"/>
      <c r="D30" s="26">
        <f>241000*0.5</f>
        <v>120500</v>
      </c>
      <c r="E30" s="14"/>
      <c r="F30" s="14"/>
      <c r="G30" s="14"/>
      <c r="H30" s="14"/>
      <c r="I30" s="14"/>
      <c r="J30" s="14"/>
      <c r="K30" s="14"/>
      <c r="L30" s="14"/>
      <c r="M30" s="14"/>
      <c r="N30" s="21"/>
    </row>
    <row r="31" spans="1:14" x14ac:dyDescent="0.2">
      <c r="A31" s="122" t="s">
        <v>43</v>
      </c>
      <c r="B31" s="123"/>
      <c r="C31" s="53"/>
      <c r="D31" s="26">
        <v>113800</v>
      </c>
      <c r="E31" s="14"/>
      <c r="F31" s="14"/>
      <c r="G31" s="14"/>
      <c r="H31" s="14"/>
      <c r="I31" s="14"/>
      <c r="J31" s="14"/>
      <c r="K31" s="14"/>
      <c r="L31" s="14"/>
      <c r="M31" s="14"/>
      <c r="N31" s="21"/>
    </row>
    <row r="32" spans="1:14" x14ac:dyDescent="0.2">
      <c r="A32" s="122"/>
      <c r="B32" s="123"/>
      <c r="C32" s="53"/>
      <c r="D32" s="26"/>
      <c r="E32" s="14"/>
      <c r="F32" s="14"/>
      <c r="G32" s="14"/>
      <c r="H32" s="14"/>
      <c r="I32" s="14"/>
      <c r="J32" s="14"/>
      <c r="K32" s="14"/>
      <c r="L32" s="14"/>
      <c r="M32" s="14"/>
      <c r="N32" s="21"/>
    </row>
    <row r="33" spans="1:14" x14ac:dyDescent="0.2">
      <c r="A33" s="127"/>
      <c r="B33" s="128"/>
      <c r="C33" s="54"/>
      <c r="D33" s="98"/>
      <c r="E33" s="22"/>
      <c r="F33" s="22"/>
      <c r="G33" s="22"/>
      <c r="H33" s="22"/>
      <c r="I33" s="22"/>
      <c r="J33" s="22"/>
      <c r="K33" s="22"/>
      <c r="L33" s="22"/>
      <c r="M33" s="22"/>
      <c r="N33" s="23"/>
    </row>
    <row r="34" spans="1:14" x14ac:dyDescent="0.2">
      <c r="A34" s="120" t="s">
        <v>31</v>
      </c>
      <c r="B34" s="121"/>
      <c r="C34" s="48"/>
      <c r="D34" s="92"/>
      <c r="E34" s="19"/>
      <c r="F34" s="19"/>
      <c r="G34" s="19"/>
      <c r="H34" s="19"/>
      <c r="I34" s="19"/>
      <c r="J34" s="19"/>
      <c r="K34" s="19"/>
      <c r="L34" s="19"/>
      <c r="M34" s="19"/>
      <c r="N34" s="20"/>
    </row>
    <row r="35" spans="1:14" x14ac:dyDescent="0.2">
      <c r="A35" s="122" t="s">
        <v>41</v>
      </c>
      <c r="B35" s="123"/>
      <c r="C35" s="60">
        <v>1.2</v>
      </c>
      <c r="D35" s="93"/>
      <c r="E35" s="14"/>
      <c r="F35" s="14"/>
      <c r="G35" s="14"/>
      <c r="H35" s="14"/>
      <c r="I35" s="14">
        <f>D29*C35</f>
        <v>144600</v>
      </c>
      <c r="J35" s="14"/>
      <c r="K35" s="14"/>
      <c r="L35" s="14"/>
      <c r="M35" s="14"/>
      <c r="N35" s="10"/>
    </row>
    <row r="36" spans="1:14" x14ac:dyDescent="0.2">
      <c r="A36" s="122" t="s">
        <v>42</v>
      </c>
      <c r="B36" s="123"/>
      <c r="C36" s="60">
        <v>0.8</v>
      </c>
      <c r="D36" s="93"/>
      <c r="E36" s="14"/>
      <c r="F36" s="14"/>
      <c r="G36" s="14"/>
      <c r="H36" s="14"/>
      <c r="I36" s="14">
        <f t="shared" ref="I36:I37" si="9">D30*C36</f>
        <v>96400</v>
      </c>
      <c r="J36" s="14"/>
      <c r="K36" s="14"/>
      <c r="L36" s="14"/>
      <c r="M36" s="14"/>
      <c r="N36" s="10"/>
    </row>
    <row r="37" spans="1:14" x14ac:dyDescent="0.2">
      <c r="A37" s="122" t="s">
        <v>43</v>
      </c>
      <c r="B37" s="123"/>
      <c r="C37" s="45"/>
      <c r="D37" s="93"/>
      <c r="E37" s="14"/>
      <c r="F37" s="14"/>
      <c r="G37" s="14"/>
      <c r="H37" s="14"/>
      <c r="I37" s="14">
        <f>31000</f>
        <v>31000</v>
      </c>
      <c r="J37" s="14"/>
      <c r="K37" s="14"/>
      <c r="L37" s="14"/>
      <c r="M37" s="14"/>
      <c r="N37" s="10"/>
    </row>
    <row r="38" spans="1:14" x14ac:dyDescent="0.2">
      <c r="A38" s="122"/>
      <c r="B38" s="123"/>
      <c r="C38" s="53"/>
      <c r="D38" s="93"/>
      <c r="E38" s="14"/>
      <c r="F38" s="14"/>
      <c r="G38" s="14"/>
      <c r="H38" s="14"/>
      <c r="I38" s="26"/>
      <c r="J38" s="26"/>
      <c r="K38" s="26"/>
      <c r="L38" s="26"/>
      <c r="M38" s="26"/>
      <c r="N38" s="27"/>
    </row>
    <row r="39" spans="1:14" x14ac:dyDescent="0.2">
      <c r="A39" s="127"/>
      <c r="B39" s="128"/>
      <c r="C39" s="54"/>
      <c r="D39" s="94"/>
      <c r="E39" s="22"/>
      <c r="F39" s="22"/>
      <c r="G39" s="22"/>
      <c r="H39" s="22"/>
      <c r="I39" s="98"/>
      <c r="J39" s="98"/>
      <c r="K39" s="98"/>
      <c r="L39" s="98"/>
      <c r="M39" s="98"/>
      <c r="N39" s="99"/>
    </row>
    <row r="40" spans="1:14" x14ac:dyDescent="0.2">
      <c r="A40" s="120" t="s">
        <v>30</v>
      </c>
      <c r="B40" s="121"/>
      <c r="C40" s="121"/>
      <c r="D40" s="92"/>
      <c r="E40" s="19"/>
      <c r="F40" s="19"/>
      <c r="G40" s="19"/>
      <c r="H40" s="19"/>
      <c r="I40" s="19"/>
      <c r="J40" s="19"/>
      <c r="K40" s="19"/>
      <c r="L40" s="19"/>
      <c r="M40" s="19"/>
      <c r="N40" s="20"/>
    </row>
    <row r="41" spans="1:14" x14ac:dyDescent="0.2">
      <c r="A41" s="122" t="s">
        <v>45</v>
      </c>
      <c r="B41" s="123"/>
      <c r="C41" s="55"/>
      <c r="D41" s="14"/>
      <c r="E41" s="14"/>
      <c r="F41" s="14"/>
      <c r="G41" s="14"/>
      <c r="H41" s="14"/>
      <c r="I41" s="41">
        <f>(D52-I36)*C26</f>
        <v>-4684.4495499999966</v>
      </c>
      <c r="J41" s="41"/>
      <c r="K41" s="41"/>
      <c r="L41" s="41"/>
      <c r="M41" s="41"/>
      <c r="N41" s="28"/>
    </row>
    <row r="42" spans="1:14" x14ac:dyDescent="0.2">
      <c r="A42" s="122" t="s">
        <v>44</v>
      </c>
      <c r="B42" s="123"/>
      <c r="C42" s="56"/>
      <c r="D42" s="14"/>
      <c r="E42" s="14"/>
      <c r="F42" s="14"/>
      <c r="G42" s="14"/>
      <c r="H42" s="14"/>
      <c r="I42" s="41">
        <f>(D53-I37)*(C26*C23)/(C23+D54)</f>
        <v>1783.3242339008173</v>
      </c>
      <c r="J42" s="41"/>
      <c r="K42" s="41"/>
      <c r="L42" s="41"/>
      <c r="M42" s="41"/>
      <c r="N42" s="28"/>
    </row>
    <row r="43" spans="1:14" x14ac:dyDescent="0.2">
      <c r="A43" s="122" t="s">
        <v>52</v>
      </c>
      <c r="B43" s="123"/>
      <c r="C43" s="57"/>
      <c r="D43" s="93"/>
      <c r="E43" s="14"/>
      <c r="F43" s="14"/>
      <c r="G43" s="14"/>
      <c r="H43" s="14"/>
      <c r="I43" s="101">
        <f>(I35-D29)*0.5*C26</f>
        <v>2651</v>
      </c>
      <c r="J43" s="101"/>
      <c r="K43" s="101"/>
      <c r="L43" s="101"/>
      <c r="M43" s="101"/>
      <c r="N43" s="29"/>
    </row>
    <row r="44" spans="1:14" x14ac:dyDescent="0.2">
      <c r="A44" s="127"/>
      <c r="B44" s="128"/>
      <c r="C44" s="58"/>
      <c r="D44" s="94"/>
      <c r="E44" s="22"/>
      <c r="F44" s="22"/>
      <c r="G44" s="22"/>
      <c r="H44" s="22"/>
      <c r="I44" s="22"/>
      <c r="J44" s="22"/>
      <c r="K44" s="22"/>
      <c r="L44" s="22"/>
      <c r="M44" s="22"/>
      <c r="N44" s="23"/>
    </row>
    <row r="45" spans="1:14" x14ac:dyDescent="0.2">
      <c r="A45" s="120" t="s">
        <v>0</v>
      </c>
      <c r="B45" s="121"/>
      <c r="C45" s="59"/>
      <c r="D45" s="32">
        <f>D20-SUM(D29:D32)</f>
        <v>-354800</v>
      </c>
      <c r="E45" s="32">
        <f>E27</f>
        <v>29623.7</v>
      </c>
      <c r="F45" s="32">
        <f>F27</f>
        <v>35251.96</v>
      </c>
      <c r="G45" s="32">
        <f t="shared" ref="G45:I45" si="10">G27</f>
        <v>36652.87049999999</v>
      </c>
      <c r="H45" s="32">
        <f>H27</f>
        <v>38386.927275000009</v>
      </c>
      <c r="I45" s="146">
        <f>I27+SUM(I35:I37)+SUM(I41:I43)</f>
        <v>312171.81984765077</v>
      </c>
      <c r="J45" s="32"/>
      <c r="K45" s="32"/>
      <c r="L45" s="32"/>
      <c r="M45" s="32"/>
      <c r="N45" s="33"/>
    </row>
    <row r="46" spans="1:14" x14ac:dyDescent="0.2">
      <c r="A46" s="122" t="s">
        <v>1</v>
      </c>
      <c r="B46" s="123"/>
      <c r="C46" s="60">
        <f>D54</f>
        <v>7.0199999999999999E-2</v>
      </c>
      <c r="D46" s="147">
        <f>(1+C46)^0</f>
        <v>1</v>
      </c>
      <c r="E46" s="147">
        <f>(1+C46)^-1</f>
        <v>0.93440478415249484</v>
      </c>
      <c r="F46" s="147">
        <f>(1+C46)^-2</f>
        <v>0.87311230064707046</v>
      </c>
      <c r="G46" s="147">
        <f>(1+C46)^-3</f>
        <v>0.81584031082701403</v>
      </c>
      <c r="H46" s="147">
        <f>(1+C46)^-4</f>
        <v>0.76232508954122025</v>
      </c>
      <c r="I46" s="147">
        <f>(1+C46)^-5</f>
        <v>0.71232021074679519</v>
      </c>
      <c r="J46" s="78"/>
      <c r="K46" s="78"/>
      <c r="L46" s="78"/>
      <c r="M46" s="78"/>
      <c r="N46" s="79"/>
    </row>
    <row r="47" spans="1:14" ht="12" customHeight="1" x14ac:dyDescent="0.2">
      <c r="A47" s="127" t="s">
        <v>2</v>
      </c>
      <c r="B47" s="128"/>
      <c r="C47" s="52"/>
      <c r="D47" s="34">
        <f>D45*D46</f>
        <v>-354800</v>
      </c>
      <c r="E47" s="34">
        <f t="shared" ref="E47:I47" si="11">E45*E46</f>
        <v>27680.527004298263</v>
      </c>
      <c r="F47" s="34">
        <f t="shared" si="11"/>
        <v>30778.919897918502</v>
      </c>
      <c r="G47" s="34">
        <f t="shared" si="11"/>
        <v>29902.889261422286</v>
      </c>
      <c r="H47" s="34">
        <f t="shared" si="11"/>
        <v>29263.317772126691</v>
      </c>
      <c r="I47" s="34">
        <f t="shared" si="11"/>
        <v>222366.29650308916</v>
      </c>
      <c r="J47" s="35"/>
      <c r="K47" s="35"/>
      <c r="L47" s="35"/>
      <c r="M47" s="35"/>
      <c r="N47" s="36"/>
    </row>
    <row r="48" spans="1:14" x14ac:dyDescent="0.2">
      <c r="A48" s="118" t="s">
        <v>3</v>
      </c>
      <c r="B48" s="119"/>
      <c r="C48" s="125">
        <f>SUM(D47:I47)</f>
        <v>-14808.049561145104</v>
      </c>
      <c r="D48" s="126"/>
      <c r="E48" s="3"/>
      <c r="F48" s="3"/>
      <c r="G48" s="3"/>
      <c r="H48" s="3"/>
      <c r="I48" s="3"/>
    </row>
    <row r="49" spans="1:19" x14ac:dyDescent="0.2">
      <c r="A49" s="123"/>
      <c r="B49" s="123"/>
      <c r="C49" s="39"/>
      <c r="D49" s="39"/>
      <c r="E49" s="3"/>
      <c r="F49" s="3"/>
      <c r="G49" s="3"/>
      <c r="H49" s="3"/>
      <c r="I49" s="3"/>
    </row>
    <row r="50" spans="1:19" x14ac:dyDescent="0.2">
      <c r="A50" s="108" t="s">
        <v>21</v>
      </c>
      <c r="B50" s="109"/>
      <c r="C50" s="109"/>
      <c r="D50" s="109"/>
      <c r="E50" s="109"/>
      <c r="F50" s="109"/>
      <c r="G50" s="109"/>
      <c r="H50" s="109"/>
      <c r="I50" s="110"/>
    </row>
    <row r="51" spans="1:19" x14ac:dyDescent="0.2">
      <c r="A51" s="122"/>
      <c r="B51" s="123"/>
      <c r="C51" s="3"/>
      <c r="D51" s="8"/>
      <c r="E51" s="3"/>
      <c r="F51" s="3"/>
      <c r="G51" s="3"/>
      <c r="H51" s="3"/>
      <c r="I51" s="10"/>
    </row>
    <row r="52" spans="1:19" x14ac:dyDescent="0.2">
      <c r="A52" s="122" t="s">
        <v>49</v>
      </c>
      <c r="B52" s="123"/>
      <c r="C52" s="3"/>
      <c r="D52" s="8">
        <f>$D$22*(1-($C$22/2))*(1-$C$22)^(5-1)</f>
        <v>75107.047500000015</v>
      </c>
      <c r="E52" s="3"/>
      <c r="F52" s="37"/>
      <c r="G52" s="3"/>
      <c r="H52" s="3"/>
      <c r="I52" s="10"/>
    </row>
    <row r="53" spans="1:19" x14ac:dyDescent="0.2">
      <c r="A53" s="122" t="s">
        <v>50</v>
      </c>
      <c r="B53" s="123"/>
      <c r="C53" s="3"/>
      <c r="D53" s="8">
        <f>$D$23*(1-($C$23/2))*(1-$C$23)^(5-1)</f>
        <v>41951.232000000018</v>
      </c>
      <c r="E53" s="3"/>
      <c r="F53" s="38"/>
      <c r="G53" s="3"/>
      <c r="H53" s="3"/>
      <c r="I53" s="10"/>
    </row>
    <row r="54" spans="1:19" x14ac:dyDescent="0.2">
      <c r="A54" s="122" t="s">
        <v>51</v>
      </c>
      <c r="B54" s="123"/>
      <c r="C54" s="3"/>
      <c r="D54" s="145">
        <f>0.09*(1-C26)</f>
        <v>7.0199999999999999E-2</v>
      </c>
      <c r="E54" s="3"/>
      <c r="F54" s="9"/>
      <c r="G54" s="3"/>
      <c r="H54" s="3"/>
      <c r="I54" s="10"/>
    </row>
    <row r="55" spans="1:19" x14ac:dyDescent="0.2">
      <c r="A55" s="127"/>
      <c r="B55" s="128"/>
      <c r="C55" s="6"/>
      <c r="D55" s="7"/>
      <c r="E55" s="6"/>
      <c r="F55" s="107"/>
      <c r="G55" s="6"/>
      <c r="H55" s="6"/>
      <c r="I55" s="16"/>
    </row>
    <row r="56" spans="1:19" x14ac:dyDescent="0.2">
      <c r="A56" s="123"/>
      <c r="B56" s="123"/>
      <c r="C56" s="3"/>
      <c r="D56" s="8"/>
      <c r="E56" s="3"/>
      <c r="F56" s="3"/>
      <c r="G56" s="3"/>
      <c r="H56" s="3"/>
      <c r="I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108" t="s">
        <v>26</v>
      </c>
      <c r="B57" s="109"/>
      <c r="C57" s="109"/>
      <c r="D57" s="109"/>
      <c r="E57" s="109"/>
      <c r="F57" s="109"/>
      <c r="G57" s="109"/>
      <c r="H57" s="109"/>
      <c r="I57" s="110"/>
      <c r="K57" s="129" t="s">
        <v>53</v>
      </c>
      <c r="L57" s="129"/>
      <c r="M57" s="129"/>
      <c r="N57" s="129"/>
      <c r="O57" s="102"/>
      <c r="P57" s="102"/>
      <c r="Q57" s="102"/>
      <c r="R57" s="102"/>
      <c r="S57" s="102"/>
    </row>
    <row r="58" spans="1:19" x14ac:dyDescent="0.2">
      <c r="A58" s="130" t="s">
        <v>13</v>
      </c>
      <c r="B58" s="131"/>
      <c r="C58" s="11"/>
      <c r="D58" s="13"/>
      <c r="E58" s="11"/>
      <c r="F58" s="11"/>
      <c r="G58" s="11"/>
      <c r="H58" s="11"/>
      <c r="I58" s="111" t="s">
        <v>15</v>
      </c>
      <c r="K58" s="129"/>
      <c r="L58" s="129"/>
      <c r="M58" s="129"/>
      <c r="N58" s="129"/>
      <c r="O58" s="102"/>
      <c r="P58" s="102"/>
      <c r="Q58" s="102"/>
      <c r="R58" s="102"/>
      <c r="S58" s="102"/>
    </row>
    <row r="59" spans="1:19" x14ac:dyDescent="0.2">
      <c r="A59" s="132"/>
      <c r="B59" s="133"/>
      <c r="C59" s="6"/>
      <c r="D59" s="7">
        <v>2019</v>
      </c>
      <c r="E59" s="7">
        <v>2020</v>
      </c>
      <c r="F59" s="7">
        <v>2021</v>
      </c>
      <c r="G59" s="150">
        <v>2022</v>
      </c>
      <c r="H59" s="150">
        <v>2023</v>
      </c>
      <c r="I59" s="149"/>
      <c r="K59" s="129"/>
      <c r="L59" s="129"/>
      <c r="M59" s="129"/>
      <c r="N59" s="129"/>
      <c r="O59" s="102"/>
      <c r="P59" s="102"/>
      <c r="Q59" s="102"/>
      <c r="R59" s="102"/>
      <c r="S59" s="102"/>
    </row>
    <row r="60" spans="1:19" x14ac:dyDescent="0.2">
      <c r="A60" s="141">
        <v>-0.1</v>
      </c>
      <c r="B60" s="142"/>
      <c r="C60" s="103"/>
      <c r="D60" s="103">
        <v>28522</v>
      </c>
      <c r="E60" s="103">
        <v>31605</v>
      </c>
      <c r="F60" s="103">
        <v>30713</v>
      </c>
      <c r="G60" s="103">
        <v>30058</v>
      </c>
      <c r="H60" s="103">
        <v>223146</v>
      </c>
      <c r="I60" s="104">
        <f>(SUM(D60:H60)+$D$47)/ABS($C$48)-1</f>
        <v>-1.7263616964264292</v>
      </c>
      <c r="J60" s="12"/>
      <c r="K60" s="129"/>
      <c r="L60" s="129"/>
      <c r="M60" s="129"/>
      <c r="N60" s="129"/>
      <c r="O60" s="102"/>
      <c r="P60" s="102"/>
      <c r="Q60" s="102"/>
      <c r="R60" s="102"/>
      <c r="S60" s="102"/>
    </row>
    <row r="61" spans="1:19" x14ac:dyDescent="0.2">
      <c r="A61" s="137">
        <v>0</v>
      </c>
      <c r="B61" s="138"/>
      <c r="C61" s="42"/>
      <c r="D61" s="34">
        <f>E47</f>
        <v>27680.527004298263</v>
      </c>
      <c r="E61" s="34">
        <f t="shared" ref="E61:H61" si="12">F47</f>
        <v>30778.919897918502</v>
      </c>
      <c r="F61" s="34">
        <f t="shared" si="12"/>
        <v>29902.889261422286</v>
      </c>
      <c r="G61" s="34">
        <f t="shared" si="12"/>
        <v>29263.317772126691</v>
      </c>
      <c r="H61" s="34">
        <f t="shared" si="12"/>
        <v>222366.29650308916</v>
      </c>
      <c r="I61" s="104">
        <v>0</v>
      </c>
      <c r="J61" s="12"/>
      <c r="K61" s="129"/>
      <c r="L61" s="129"/>
      <c r="M61" s="129"/>
      <c r="N61" s="129"/>
      <c r="O61" s="3"/>
      <c r="P61" s="3"/>
      <c r="Q61" s="3"/>
      <c r="R61" s="3"/>
      <c r="S61" s="3"/>
    </row>
    <row r="62" spans="1:19" x14ac:dyDescent="0.2">
      <c r="A62" s="139">
        <v>0.1</v>
      </c>
      <c r="B62" s="140"/>
      <c r="C62" s="105"/>
      <c r="D62" s="105">
        <v>26839</v>
      </c>
      <c r="E62" s="105">
        <v>29953</v>
      </c>
      <c r="F62" s="105">
        <v>29093</v>
      </c>
      <c r="G62" s="105">
        <v>28468</v>
      </c>
      <c r="H62" s="105">
        <v>221586</v>
      </c>
      <c r="I62" s="104">
        <f t="shared" ref="I61:I62" si="13">(SUM(D62:H62)+$D$47)/ABS($C$48)-1</f>
        <v>-2.2736991406004909</v>
      </c>
      <c r="J62" s="12"/>
      <c r="K62" s="129"/>
      <c r="L62" s="129"/>
      <c r="M62" s="129"/>
      <c r="N62" s="129"/>
      <c r="O62" s="3"/>
      <c r="P62" s="3"/>
      <c r="Q62" s="3"/>
      <c r="R62" s="3"/>
      <c r="S62" s="3"/>
    </row>
    <row r="63" spans="1:19" x14ac:dyDescent="0.2">
      <c r="A63" s="130" t="s">
        <v>17</v>
      </c>
      <c r="B63" s="131"/>
      <c r="C63" s="112"/>
      <c r="D63" s="113"/>
      <c r="E63" s="113"/>
      <c r="F63" s="113"/>
      <c r="G63" s="113"/>
      <c r="H63" s="113"/>
      <c r="I63" s="114"/>
      <c r="J63" s="12"/>
      <c r="K63" s="129"/>
      <c r="L63" s="129"/>
      <c r="M63" s="129"/>
      <c r="N63" s="129"/>
      <c r="O63" s="3"/>
      <c r="P63" s="3"/>
      <c r="Q63" s="3"/>
      <c r="R63" s="3"/>
      <c r="S63" s="3"/>
    </row>
    <row r="64" spans="1:19" ht="14.25" x14ac:dyDescent="0.2">
      <c r="A64" s="132"/>
      <c r="B64" s="133"/>
      <c r="C64" s="115"/>
      <c r="D64" s="116"/>
      <c r="E64" s="116"/>
      <c r="F64" s="116"/>
      <c r="G64" s="116"/>
      <c r="H64" s="116"/>
      <c r="I64" s="117"/>
      <c r="J64" s="12"/>
      <c r="K64" s="90">
        <f ca="1">NOW()</f>
        <v>43628.91802488426</v>
      </c>
      <c r="L64" s="134">
        <f ca="1">NOW()</f>
        <v>43628.91802488426</v>
      </c>
      <c r="M64" s="134"/>
      <c r="N64" s="134"/>
      <c r="O64" s="3"/>
      <c r="P64" s="3"/>
      <c r="Q64" s="3"/>
      <c r="R64" s="3"/>
      <c r="S64" s="3"/>
    </row>
    <row r="65" spans="10:19" x14ac:dyDescent="0.2">
      <c r="J65" s="12"/>
      <c r="K65" s="3"/>
      <c r="L65" s="3"/>
      <c r="M65" s="3"/>
      <c r="N65" s="3"/>
      <c r="O65" s="3"/>
      <c r="P65" s="3"/>
      <c r="Q65" s="3"/>
      <c r="R65" s="3"/>
      <c r="S65" s="3"/>
    </row>
    <row r="66" spans="10:19" x14ac:dyDescent="0.2">
      <c r="J66" s="15"/>
      <c r="K66" s="3"/>
      <c r="L66" s="3"/>
      <c r="M66" s="3"/>
      <c r="N66" s="3"/>
      <c r="O66" s="3"/>
      <c r="P66" s="3"/>
      <c r="Q66" s="3"/>
      <c r="R66" s="3"/>
      <c r="S66" s="3"/>
    </row>
    <row r="67" spans="10:19" x14ac:dyDescent="0.2">
      <c r="J67" s="15"/>
      <c r="K67" s="3"/>
      <c r="L67" s="3"/>
      <c r="M67" s="3"/>
      <c r="N67" s="3"/>
      <c r="O67" s="3"/>
      <c r="P67" s="3"/>
      <c r="Q67" s="3"/>
      <c r="R67" s="3"/>
      <c r="S67" s="3"/>
    </row>
  </sheetData>
  <mergeCells count="65">
    <mergeCell ref="A7:N7"/>
    <mergeCell ref="K57:N63"/>
    <mergeCell ref="A63:B64"/>
    <mergeCell ref="L64:N64"/>
    <mergeCell ref="D1:E1"/>
    <mergeCell ref="D2:E2"/>
    <mergeCell ref="D3:E3"/>
    <mergeCell ref="A20:C20"/>
    <mergeCell ref="A27:C27"/>
    <mergeCell ref="A40:C40"/>
    <mergeCell ref="A50:I50"/>
    <mergeCell ref="A61:B61"/>
    <mergeCell ref="A62:B62"/>
    <mergeCell ref="A60:B60"/>
    <mergeCell ref="A58:B59"/>
    <mergeCell ref="A55:B55"/>
    <mergeCell ref="A43:B43"/>
    <mergeCell ref="A44:B44"/>
    <mergeCell ref="A45:B45"/>
    <mergeCell ref="A46:B46"/>
    <mergeCell ref="A56:B56"/>
    <mergeCell ref="A54:B54"/>
    <mergeCell ref="A47:B47"/>
    <mergeCell ref="A48:B48"/>
    <mergeCell ref="A49:B49"/>
    <mergeCell ref="A51:B51"/>
    <mergeCell ref="A52:B52"/>
    <mergeCell ref="A53:B53"/>
    <mergeCell ref="A34:B34"/>
    <mergeCell ref="A35:B35"/>
    <mergeCell ref="A36:B36"/>
    <mergeCell ref="A37:B37"/>
    <mergeCell ref="A39:B39"/>
    <mergeCell ref="C5:I5"/>
    <mergeCell ref="A41:B41"/>
    <mergeCell ref="A42:B42"/>
    <mergeCell ref="C48:D48"/>
    <mergeCell ref="A8:B8"/>
    <mergeCell ref="A9:B9"/>
    <mergeCell ref="A10:B10"/>
    <mergeCell ref="A11:B11"/>
    <mergeCell ref="A12:B12"/>
    <mergeCell ref="A13:B13"/>
    <mergeCell ref="A14:B14"/>
    <mergeCell ref="A26:B26"/>
    <mergeCell ref="A15:B15"/>
    <mergeCell ref="A16:B16"/>
    <mergeCell ref="A17:B17"/>
    <mergeCell ref="A18:B18"/>
    <mergeCell ref="A57:I57"/>
    <mergeCell ref="I58:I59"/>
    <mergeCell ref="C63:I64"/>
    <mergeCell ref="A19:B19"/>
    <mergeCell ref="A21:B21"/>
    <mergeCell ref="A22:B22"/>
    <mergeCell ref="A23:B23"/>
    <mergeCell ref="A24:B24"/>
    <mergeCell ref="A25:B25"/>
    <mergeCell ref="A38:B38"/>
    <mergeCell ref="A28:B28"/>
    <mergeCell ref="A29:B29"/>
    <mergeCell ref="A30:B30"/>
    <mergeCell ref="A31:B31"/>
    <mergeCell ref="A32:B32"/>
    <mergeCell ref="A33:B33"/>
  </mergeCells>
  <phoneticPr fontId="2" type="noConversion"/>
  <pageMargins left="0.2" right="0.2" top="0.2" bottom="0.2" header="0" footer="0"/>
  <pageSetup scale="73" orientation="landscape" r:id="rId1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E9" sqref="E9"/>
    </sheetView>
  </sheetViews>
  <sheetFormatPr baseColWidth="10" defaultColWidth="10.85546875" defaultRowHeight="12.75" x14ac:dyDescent="0.2"/>
  <cols>
    <col min="1" max="3" width="10.85546875" style="88"/>
    <col min="4" max="4" width="11.42578125" style="88" bestFit="1" customWidth="1"/>
    <col min="5" max="5" width="13.42578125" style="88" bestFit="1" customWidth="1"/>
    <col min="6" max="6" width="16.140625" style="88" bestFit="1" customWidth="1"/>
    <col min="7" max="7" width="24" style="88" bestFit="1" customWidth="1"/>
    <col min="8" max="8" width="23.42578125" style="88" bestFit="1" customWidth="1"/>
    <col min="9" max="9" width="21.85546875" style="88" bestFit="1" customWidth="1"/>
    <col min="10" max="16384" width="10.85546875" style="88"/>
  </cols>
  <sheetData>
    <row r="1" spans="1:14" ht="31.5" x14ac:dyDescent="0.5">
      <c r="A1" s="89" t="s">
        <v>28</v>
      </c>
    </row>
    <row r="3" spans="1:14" x14ac:dyDescent="0.2">
      <c r="A3" s="108" t="s">
        <v>27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10"/>
    </row>
    <row r="4" spans="1:14" x14ac:dyDescent="0.2">
      <c r="A4" s="118" t="s">
        <v>4</v>
      </c>
      <c r="B4" s="119"/>
      <c r="C4" s="44" t="s">
        <v>10</v>
      </c>
      <c r="D4" s="2">
        <v>2018</v>
      </c>
      <c r="E4" s="2">
        <v>2019</v>
      </c>
      <c r="F4" s="2">
        <v>2020</v>
      </c>
      <c r="G4" s="2">
        <v>2021</v>
      </c>
      <c r="H4" s="2">
        <v>2022</v>
      </c>
      <c r="I4" s="2">
        <v>2023</v>
      </c>
      <c r="J4" s="2"/>
      <c r="K4" s="2"/>
      <c r="L4" s="2"/>
      <c r="M4" s="2"/>
      <c r="N4" s="100"/>
    </row>
    <row r="5" spans="1:14" x14ac:dyDescent="0.2">
      <c r="A5" s="122" t="s">
        <v>11</v>
      </c>
      <c r="B5" s="123"/>
      <c r="C5" s="45">
        <v>0.05</v>
      </c>
      <c r="D5" s="73"/>
      <c r="E5" s="74">
        <v>55</v>
      </c>
      <c r="F5" s="74">
        <f>E5*(1+$C$9)</f>
        <v>11605</v>
      </c>
      <c r="G5" s="74">
        <f>F5*(1+$C$9)</f>
        <v>2448655</v>
      </c>
      <c r="H5" s="74">
        <f t="shared" ref="H5:K5" si="0">G5*(1+$C$9)</f>
        <v>516666205</v>
      </c>
      <c r="I5" s="74">
        <f t="shared" si="0"/>
        <v>109016569255</v>
      </c>
      <c r="J5" s="74"/>
      <c r="K5" s="74"/>
      <c r="L5" s="74"/>
      <c r="M5" s="74"/>
      <c r="N5" s="75"/>
    </row>
    <row r="6" spans="1:14" x14ac:dyDescent="0.2">
      <c r="A6" s="122" t="s">
        <v>12</v>
      </c>
      <c r="B6" s="123"/>
      <c r="C6" s="46"/>
      <c r="D6" s="73"/>
      <c r="E6" s="76">
        <v>1760</v>
      </c>
      <c r="F6" s="76">
        <v>1760</v>
      </c>
      <c r="G6" s="76">
        <v>1760</v>
      </c>
      <c r="H6" s="76">
        <v>1760</v>
      </c>
      <c r="I6" s="76">
        <v>1760</v>
      </c>
      <c r="J6" s="76"/>
      <c r="K6" s="76"/>
      <c r="L6" s="76"/>
      <c r="M6" s="76"/>
      <c r="N6" s="77"/>
    </row>
    <row r="7" spans="1:14" x14ac:dyDescent="0.2">
      <c r="A7" s="118" t="s">
        <v>9</v>
      </c>
      <c r="B7" s="119"/>
      <c r="C7" s="47"/>
      <c r="D7" s="91"/>
      <c r="E7" s="17">
        <f>E6*E5</f>
        <v>96800</v>
      </c>
      <c r="F7" s="17">
        <f>F6*F5</f>
        <v>20424800</v>
      </c>
      <c r="G7" s="17">
        <f>G6*G5</f>
        <v>4309632800</v>
      </c>
      <c r="H7" s="17">
        <f>H6*H5</f>
        <v>909332520800</v>
      </c>
      <c r="I7" s="17">
        <f>I6*I5</f>
        <v>191869161888800</v>
      </c>
      <c r="J7" s="17"/>
      <c r="K7" s="17"/>
      <c r="L7" s="17"/>
      <c r="M7" s="17"/>
      <c r="N7" s="18"/>
    </row>
    <row r="8" spans="1:14" x14ac:dyDescent="0.2">
      <c r="A8" s="120" t="s">
        <v>7</v>
      </c>
      <c r="B8" s="121"/>
      <c r="C8" s="48"/>
      <c r="D8" s="92"/>
      <c r="E8" s="19"/>
      <c r="F8" s="19"/>
      <c r="G8" s="19"/>
      <c r="H8" s="17">
        <f t="shared" ref="G7:I8" si="1">H7*H6</f>
        <v>1600425236608000</v>
      </c>
      <c r="I8" s="19"/>
      <c r="J8" s="19"/>
      <c r="K8" s="19"/>
      <c r="L8" s="19"/>
      <c r="M8" s="19"/>
      <c r="N8" s="20"/>
    </row>
    <row r="9" spans="1:14" x14ac:dyDescent="0.2">
      <c r="A9" s="122" t="s">
        <v>37</v>
      </c>
      <c r="B9" s="123"/>
      <c r="C9" s="49">
        <v>210</v>
      </c>
      <c r="D9" s="93"/>
      <c r="E9" s="14">
        <f>$C$13*E5</f>
        <v>0</v>
      </c>
      <c r="F9" s="14">
        <f>$C$13*F5</f>
        <v>0</v>
      </c>
      <c r="G9" s="14">
        <f t="shared" ref="G9:K9" si="2">$C$13*G5</f>
        <v>0</v>
      </c>
      <c r="H9" s="14">
        <f t="shared" si="2"/>
        <v>0</v>
      </c>
      <c r="I9" s="14">
        <f t="shared" si="2"/>
        <v>0</v>
      </c>
      <c r="J9" s="14"/>
      <c r="K9" s="14"/>
      <c r="L9" s="14"/>
      <c r="M9" s="14"/>
      <c r="N9" s="21"/>
    </row>
    <row r="10" spans="1:14" x14ac:dyDescent="0.2">
      <c r="A10" s="122" t="s">
        <v>38</v>
      </c>
      <c r="B10" s="123"/>
      <c r="C10" s="49">
        <v>378</v>
      </c>
      <c r="D10" s="93"/>
      <c r="E10" s="14">
        <f>$C$14*E5</f>
        <v>0</v>
      </c>
      <c r="F10" s="14">
        <f t="shared" ref="F10:J10" si="3">$C$14*F5</f>
        <v>0</v>
      </c>
      <c r="G10" s="14">
        <f t="shared" si="3"/>
        <v>0</v>
      </c>
      <c r="H10" s="14">
        <f t="shared" si="3"/>
        <v>0</v>
      </c>
      <c r="I10" s="14">
        <f t="shared" si="3"/>
        <v>0</v>
      </c>
      <c r="J10" s="14"/>
      <c r="K10" s="14"/>
      <c r="L10" s="14"/>
      <c r="M10" s="14"/>
      <c r="N10" s="21"/>
    </row>
    <row r="11" spans="1:14" x14ac:dyDescent="0.2">
      <c r="A11" s="122" t="s">
        <v>39</v>
      </c>
      <c r="B11" s="123"/>
      <c r="C11" s="49">
        <v>38</v>
      </c>
      <c r="D11" s="93"/>
      <c r="E11" s="14">
        <f>$C$15*E5</f>
        <v>0</v>
      </c>
      <c r="F11" s="14">
        <f t="shared" ref="F11:J11" si="4">$C$15*F5</f>
        <v>0</v>
      </c>
      <c r="G11" s="14">
        <f t="shared" si="4"/>
        <v>0</v>
      </c>
      <c r="H11" s="14">
        <f t="shared" si="4"/>
        <v>0</v>
      </c>
      <c r="I11" s="14">
        <f t="shared" si="4"/>
        <v>0</v>
      </c>
      <c r="J11" s="14"/>
      <c r="K11" s="14"/>
      <c r="L11" s="14"/>
      <c r="M11" s="14"/>
      <c r="N11" s="21"/>
    </row>
    <row r="12" spans="1:14" x14ac:dyDescent="0.2">
      <c r="A12" s="122" t="s">
        <v>40</v>
      </c>
      <c r="B12" s="123"/>
      <c r="C12" s="49">
        <v>29300</v>
      </c>
      <c r="D12" s="93"/>
      <c r="E12" s="14">
        <v>29300</v>
      </c>
      <c r="F12" s="14">
        <v>29300</v>
      </c>
      <c r="G12" s="14">
        <v>29300</v>
      </c>
      <c r="H12" s="14">
        <v>29300</v>
      </c>
      <c r="I12" s="14">
        <v>29300</v>
      </c>
      <c r="J12" s="14"/>
      <c r="K12" s="14"/>
      <c r="L12" s="14"/>
      <c r="M12" s="14"/>
      <c r="N12" s="21"/>
    </row>
    <row r="13" spans="1:14" x14ac:dyDescent="0.2">
      <c r="A13" s="122"/>
      <c r="B13" s="123"/>
      <c r="C13" s="49"/>
      <c r="D13" s="93"/>
      <c r="E13" s="14"/>
      <c r="F13" s="14"/>
      <c r="G13" s="14"/>
      <c r="H13" s="14"/>
      <c r="I13" s="14"/>
      <c r="J13" s="14"/>
      <c r="K13" s="14"/>
      <c r="L13" s="14"/>
      <c r="M13" s="14"/>
      <c r="N13" s="21"/>
    </row>
    <row r="14" spans="1:14" x14ac:dyDescent="0.2">
      <c r="A14" s="127"/>
      <c r="B14" s="128"/>
      <c r="C14" s="50"/>
      <c r="D14" s="94"/>
      <c r="E14" s="22"/>
      <c r="F14" s="22"/>
      <c r="G14" s="22"/>
      <c r="H14" s="22"/>
      <c r="I14" s="22"/>
      <c r="J14" s="22"/>
      <c r="K14" s="22"/>
      <c r="L14" s="22"/>
      <c r="M14" s="22"/>
      <c r="N14" s="23"/>
    </row>
    <row r="15" spans="1:14" x14ac:dyDescent="0.2">
      <c r="A15" s="118" t="s">
        <v>8</v>
      </c>
      <c r="B15" s="119"/>
      <c r="C15" s="47"/>
      <c r="D15" s="91"/>
      <c r="E15" s="30">
        <f>SUM(E8:E14)</f>
        <v>29300</v>
      </c>
      <c r="F15" s="30">
        <f>SUM(F8:F14)</f>
        <v>29300</v>
      </c>
      <c r="G15" s="30">
        <f>SUM(G8:G14)</f>
        <v>29300</v>
      </c>
      <c r="H15" s="30">
        <f>SUM(H8:H14)</f>
        <v>1600425236637300</v>
      </c>
      <c r="I15" s="30">
        <f>SUM(I8:I14)</f>
        <v>29300</v>
      </c>
      <c r="J15" s="30"/>
      <c r="K15" s="30"/>
      <c r="L15" s="30"/>
      <c r="M15" s="30"/>
      <c r="N15" s="31"/>
    </row>
    <row r="16" spans="1:14" x14ac:dyDescent="0.2">
      <c r="A16" s="122" t="s">
        <v>5</v>
      </c>
      <c r="B16" s="123"/>
      <c r="C16" s="123"/>
      <c r="D16" s="95">
        <v>0</v>
      </c>
      <c r="E16" s="24">
        <f>E7-E15</f>
        <v>67500</v>
      </c>
      <c r="F16" s="24">
        <f>F7-F15</f>
        <v>20395500</v>
      </c>
      <c r="G16" s="24">
        <f t="shared" ref="G16:I16" si="5">G7-G15</f>
        <v>4309603500</v>
      </c>
      <c r="H16" s="24">
        <f t="shared" si="5"/>
        <v>-1599515904116500</v>
      </c>
      <c r="I16" s="24">
        <f t="shared" si="5"/>
        <v>191869161859500</v>
      </c>
      <c r="J16" s="24"/>
      <c r="K16" s="24"/>
      <c r="L16" s="24"/>
      <c r="M16" s="24"/>
      <c r="N16" s="25"/>
    </row>
    <row r="17" spans="1:14" x14ac:dyDescent="0.2">
      <c r="A17" s="120" t="s">
        <v>16</v>
      </c>
      <c r="B17" s="121"/>
      <c r="C17" s="51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1"/>
    </row>
    <row r="18" spans="1:14" x14ac:dyDescent="0.2">
      <c r="A18" s="122" t="s">
        <v>46</v>
      </c>
      <c r="B18" s="123"/>
      <c r="C18" s="45">
        <v>0.1</v>
      </c>
      <c r="D18" s="96">
        <f>D26</f>
        <v>120500</v>
      </c>
      <c r="E18" s="82">
        <f>D18*C18*0.5</f>
        <v>6025</v>
      </c>
      <c r="F18" s="82">
        <f>$C$22*$D$22*(1-($C$22/2))*(1-$C$22)^(2-2)</f>
        <v>0</v>
      </c>
      <c r="G18" s="82">
        <f>$C$22*$D$22*(1-($C$22/2))*(1-$C$22)^(3-2)</f>
        <v>0</v>
      </c>
      <c r="H18" s="82">
        <f>$C$22*$D$22*(1-($C$22/2))*(1-$C$22)^(4-2)</f>
        <v>0</v>
      </c>
      <c r="I18" s="82">
        <f>$C$22*$D$22*(1-($C$22/2))*(1-$C$22)^(5-2)</f>
        <v>0</v>
      </c>
      <c r="J18" s="82"/>
      <c r="K18" s="82"/>
      <c r="L18" s="82"/>
      <c r="M18" s="82"/>
      <c r="N18" s="83"/>
    </row>
    <row r="19" spans="1:14" x14ac:dyDescent="0.2">
      <c r="A19" s="122" t="s">
        <v>47</v>
      </c>
      <c r="B19" s="123"/>
      <c r="C19" s="45">
        <v>0.2</v>
      </c>
      <c r="D19" s="82">
        <f>D27</f>
        <v>113800</v>
      </c>
      <c r="E19" s="84">
        <f>D19*C19*0.5</f>
        <v>11380</v>
      </c>
      <c r="F19" s="82">
        <f>$C$23*$D$23*(1-($C$23/2))*(1-$C$23)^(2-2)</f>
        <v>0</v>
      </c>
      <c r="G19" s="82">
        <f>$C$23*$D$23*(1-($C$23/2))*(1-$C$23)^(3-2)</f>
        <v>0</v>
      </c>
      <c r="H19" s="82">
        <f>$C$23*$D$23*(1-($C$23/2))*(1-$C$23)^(4-2)</f>
        <v>0</v>
      </c>
      <c r="I19" s="82">
        <f>$C$23*$D$23*(1-($C$23/2))*(1-$C$23)^(5-2)</f>
        <v>0</v>
      </c>
      <c r="J19" s="82"/>
      <c r="K19" s="84"/>
      <c r="L19" s="84"/>
      <c r="M19" s="84"/>
      <c r="N19" s="85"/>
    </row>
    <row r="20" spans="1:14" x14ac:dyDescent="0.2">
      <c r="A20" s="122"/>
      <c r="B20" s="123"/>
      <c r="C20" s="45"/>
      <c r="D20" s="82"/>
      <c r="E20" s="84"/>
      <c r="F20" s="84"/>
      <c r="G20" s="84"/>
      <c r="H20" s="84"/>
      <c r="I20" s="84"/>
      <c r="J20" s="84"/>
      <c r="K20" s="84"/>
      <c r="L20" s="84"/>
      <c r="M20" s="84"/>
      <c r="N20" s="85"/>
    </row>
    <row r="21" spans="1:14" x14ac:dyDescent="0.2">
      <c r="A21" s="122" t="s">
        <v>48</v>
      </c>
      <c r="B21" s="123"/>
      <c r="C21" s="45"/>
      <c r="D21" s="82"/>
      <c r="E21" s="84">
        <f>E16-SUM(E18:E19)</f>
        <v>50095</v>
      </c>
      <c r="F21" s="84">
        <f>F16-SUM(F18:F19)</f>
        <v>20395500</v>
      </c>
      <c r="G21" s="84">
        <f>G16-SUM(G18:G19)</f>
        <v>4309603500</v>
      </c>
      <c r="H21" s="84">
        <f t="shared" ref="H21:L21" si="6">H16-SUM(H18:H19)</f>
        <v>-1599515904116500</v>
      </c>
      <c r="I21" s="84">
        <f t="shared" si="6"/>
        <v>191869161859500</v>
      </c>
      <c r="J21" s="84"/>
      <c r="K21" s="84"/>
      <c r="L21" s="84"/>
      <c r="M21" s="84"/>
      <c r="N21" s="85"/>
    </row>
    <row r="22" spans="1:14" x14ac:dyDescent="0.2">
      <c r="A22" s="127" t="s">
        <v>25</v>
      </c>
      <c r="B22" s="128"/>
      <c r="C22" s="52">
        <v>0.22</v>
      </c>
      <c r="D22" s="95"/>
      <c r="E22" s="144">
        <f>$C$26*E21</f>
        <v>0</v>
      </c>
      <c r="F22" s="144">
        <f t="shared" ref="F22:I22" si="7">$C$26*F21</f>
        <v>0</v>
      </c>
      <c r="G22" s="144">
        <f t="shared" si="7"/>
        <v>0</v>
      </c>
      <c r="H22" s="144">
        <f t="shared" si="7"/>
        <v>0</v>
      </c>
      <c r="I22" s="144">
        <f t="shared" si="7"/>
        <v>0</v>
      </c>
      <c r="J22" s="144"/>
      <c r="K22" s="86"/>
      <c r="L22" s="86"/>
      <c r="M22" s="86"/>
      <c r="N22" s="87"/>
    </row>
    <row r="23" spans="1:14" x14ac:dyDescent="0.2">
      <c r="A23" s="122" t="s">
        <v>6</v>
      </c>
      <c r="B23" s="123"/>
      <c r="C23" s="123"/>
      <c r="D23" s="97"/>
      <c r="E23" s="41">
        <f>E16-E22</f>
        <v>67500</v>
      </c>
      <c r="F23" s="41">
        <f>F16-F22</f>
        <v>20395500</v>
      </c>
      <c r="G23" s="41">
        <f>G16-G22</f>
        <v>4309603500</v>
      </c>
      <c r="H23" s="41">
        <f>H16-H22</f>
        <v>-1599515904116500</v>
      </c>
      <c r="I23" s="41">
        <f>I16-I22</f>
        <v>191869161859500</v>
      </c>
      <c r="J23" s="41"/>
      <c r="K23" s="41"/>
      <c r="L23" s="41"/>
      <c r="M23" s="41"/>
      <c r="N23" s="28"/>
    </row>
    <row r="24" spans="1:14" x14ac:dyDescent="0.2">
      <c r="A24" s="120" t="s">
        <v>32</v>
      </c>
      <c r="B24" s="121"/>
      <c r="C24" s="48"/>
      <c r="D24" s="92"/>
      <c r="E24" s="19"/>
      <c r="F24" s="19"/>
      <c r="G24" s="19"/>
      <c r="H24" s="19"/>
      <c r="I24" s="19"/>
      <c r="J24" s="19"/>
      <c r="K24" s="19"/>
      <c r="L24" s="19"/>
      <c r="M24" s="19"/>
      <c r="N24" s="20"/>
    </row>
    <row r="25" spans="1:14" x14ac:dyDescent="0.2">
      <c r="A25" s="122" t="s">
        <v>41</v>
      </c>
      <c r="B25" s="123"/>
      <c r="C25" s="53"/>
      <c r="D25" s="26">
        <f>241000*0.5</f>
        <v>120500</v>
      </c>
      <c r="E25" s="14"/>
      <c r="F25" s="14"/>
      <c r="G25" s="14"/>
      <c r="H25" s="14"/>
      <c r="I25" s="14"/>
      <c r="J25" s="14"/>
      <c r="K25" s="14"/>
      <c r="L25" s="14"/>
      <c r="M25" s="14"/>
      <c r="N25" s="21"/>
    </row>
    <row r="26" spans="1:14" x14ac:dyDescent="0.2">
      <c r="A26" s="122" t="s">
        <v>42</v>
      </c>
      <c r="B26" s="123"/>
      <c r="C26" s="53"/>
      <c r="D26" s="26">
        <f>241000*0.5</f>
        <v>120500</v>
      </c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spans="1:14" x14ac:dyDescent="0.2">
      <c r="A27" s="122" t="s">
        <v>43</v>
      </c>
      <c r="B27" s="123"/>
      <c r="C27" s="53"/>
      <c r="D27" s="26">
        <v>113800</v>
      </c>
      <c r="E27" s="14"/>
      <c r="F27" s="14"/>
      <c r="G27" s="14"/>
      <c r="H27" s="14"/>
      <c r="I27" s="14"/>
      <c r="J27" s="14"/>
      <c r="K27" s="14"/>
      <c r="L27" s="14"/>
      <c r="M27" s="14"/>
      <c r="N27" s="21"/>
    </row>
    <row r="28" spans="1:14" x14ac:dyDescent="0.2">
      <c r="A28" s="122"/>
      <c r="B28" s="123"/>
      <c r="C28" s="53"/>
      <c r="D28" s="26"/>
      <c r="E28" s="14"/>
      <c r="F28" s="14"/>
      <c r="G28" s="14"/>
      <c r="H28" s="14"/>
      <c r="I28" s="14"/>
      <c r="J28" s="14"/>
      <c r="K28" s="14"/>
      <c r="L28" s="14"/>
      <c r="M28" s="14"/>
      <c r="N28" s="21"/>
    </row>
    <row r="29" spans="1:14" x14ac:dyDescent="0.2">
      <c r="A29" s="127"/>
      <c r="B29" s="128"/>
      <c r="C29" s="54"/>
      <c r="D29" s="98"/>
      <c r="E29" s="22"/>
      <c r="F29" s="22"/>
      <c r="G29" s="22"/>
      <c r="H29" s="22"/>
      <c r="I29" s="22"/>
      <c r="J29" s="22"/>
      <c r="K29" s="22"/>
      <c r="L29" s="22"/>
      <c r="M29" s="22"/>
      <c r="N29" s="23"/>
    </row>
    <row r="30" spans="1:14" x14ac:dyDescent="0.2">
      <c r="A30" s="120" t="s">
        <v>31</v>
      </c>
      <c r="B30" s="121"/>
      <c r="C30" s="48"/>
      <c r="D30" s="92"/>
      <c r="E30" s="19"/>
      <c r="F30" s="19"/>
      <c r="G30" s="19"/>
      <c r="H30" s="19"/>
      <c r="I30" s="19"/>
      <c r="J30" s="19"/>
      <c r="K30" s="19"/>
      <c r="L30" s="19"/>
      <c r="M30" s="19"/>
      <c r="N30" s="20"/>
    </row>
    <row r="31" spans="1:14" x14ac:dyDescent="0.2">
      <c r="A31" s="122" t="s">
        <v>41</v>
      </c>
      <c r="B31" s="123"/>
      <c r="C31" s="60">
        <v>1.2</v>
      </c>
      <c r="D31" s="93"/>
      <c r="E31" s="14"/>
      <c r="F31" s="14"/>
      <c r="G31" s="14"/>
      <c r="H31" s="14"/>
      <c r="I31" s="14">
        <f>D25*C31</f>
        <v>144600</v>
      </c>
      <c r="J31" s="14"/>
      <c r="K31" s="14"/>
      <c r="L31" s="14"/>
      <c r="M31" s="14"/>
      <c r="N31" s="10"/>
    </row>
    <row r="32" spans="1:14" x14ac:dyDescent="0.2">
      <c r="A32" s="122" t="s">
        <v>42</v>
      </c>
      <c r="B32" s="123"/>
      <c r="C32" s="60">
        <v>0.8</v>
      </c>
      <c r="D32" s="93"/>
      <c r="E32" s="14"/>
      <c r="F32" s="14"/>
      <c r="G32" s="14"/>
      <c r="H32" s="14"/>
      <c r="I32" s="14">
        <f t="shared" ref="I32" si="8">D26*C32</f>
        <v>96400</v>
      </c>
      <c r="J32" s="14"/>
      <c r="K32" s="14"/>
      <c r="L32" s="14"/>
      <c r="M32" s="14"/>
      <c r="N32" s="10"/>
    </row>
    <row r="33" spans="1:14" x14ac:dyDescent="0.2">
      <c r="A33" s="122" t="s">
        <v>43</v>
      </c>
      <c r="B33" s="123"/>
      <c r="C33" s="45"/>
      <c r="D33" s="93"/>
      <c r="E33" s="14"/>
      <c r="F33" s="14"/>
      <c r="G33" s="14"/>
      <c r="H33" s="14"/>
      <c r="I33" s="14">
        <f>31000</f>
        <v>31000</v>
      </c>
      <c r="J33" s="14"/>
      <c r="K33" s="14"/>
      <c r="L33" s="14"/>
      <c r="M33" s="14"/>
      <c r="N33" s="10"/>
    </row>
    <row r="34" spans="1:14" x14ac:dyDescent="0.2">
      <c r="A34" s="122"/>
      <c r="B34" s="123"/>
      <c r="C34" s="53"/>
      <c r="D34" s="93"/>
      <c r="E34" s="14"/>
      <c r="F34" s="14"/>
      <c r="G34" s="14"/>
      <c r="H34" s="14"/>
      <c r="I34" s="26"/>
      <c r="J34" s="26"/>
      <c r="K34" s="26"/>
      <c r="L34" s="26"/>
      <c r="M34" s="26"/>
      <c r="N34" s="27"/>
    </row>
    <row r="35" spans="1:14" x14ac:dyDescent="0.2">
      <c r="A35" s="127"/>
      <c r="B35" s="128"/>
      <c r="C35" s="54"/>
      <c r="D35" s="94"/>
      <c r="E35" s="22"/>
      <c r="F35" s="22"/>
      <c r="G35" s="22"/>
      <c r="H35" s="22"/>
      <c r="I35" s="98"/>
      <c r="J35" s="98"/>
      <c r="K35" s="98"/>
      <c r="L35" s="98"/>
      <c r="M35" s="98"/>
      <c r="N35" s="99"/>
    </row>
    <row r="36" spans="1:14" x14ac:dyDescent="0.2">
      <c r="A36" s="120" t="s">
        <v>30</v>
      </c>
      <c r="B36" s="121"/>
      <c r="C36" s="121"/>
      <c r="D36" s="92"/>
      <c r="E36" s="19"/>
      <c r="F36" s="19"/>
      <c r="G36" s="19"/>
      <c r="H36" s="19"/>
      <c r="I36" s="19"/>
      <c r="J36" s="19"/>
      <c r="K36" s="19"/>
      <c r="L36" s="19"/>
      <c r="M36" s="19"/>
      <c r="N36" s="20"/>
    </row>
    <row r="37" spans="1:14" x14ac:dyDescent="0.2">
      <c r="A37" s="122" t="s">
        <v>45</v>
      </c>
      <c r="B37" s="123"/>
      <c r="C37" s="55"/>
      <c r="D37" s="14"/>
      <c r="E37" s="14"/>
      <c r="F37" s="14"/>
      <c r="G37" s="14"/>
      <c r="H37" s="14"/>
      <c r="I37" s="41">
        <f>(D48-I32)*C22</f>
        <v>-21208</v>
      </c>
      <c r="J37" s="41"/>
      <c r="K37" s="41"/>
      <c r="L37" s="41"/>
      <c r="M37" s="41"/>
      <c r="N37" s="28"/>
    </row>
    <row r="38" spans="1:14" x14ac:dyDescent="0.2">
      <c r="A38" s="122" t="s">
        <v>44</v>
      </c>
      <c r="B38" s="123"/>
      <c r="C38" s="56"/>
      <c r="D38" s="14"/>
      <c r="E38" s="14"/>
      <c r="F38" s="14"/>
      <c r="G38" s="14"/>
      <c r="H38" s="14"/>
      <c r="I38" s="41">
        <f>(D49-I33)*(C22*C19)/(C19+D50)</f>
        <v>-5048.1125092524062</v>
      </c>
      <c r="J38" s="41"/>
      <c r="K38" s="41"/>
      <c r="L38" s="41"/>
      <c r="M38" s="41"/>
      <c r="N38" s="28"/>
    </row>
    <row r="39" spans="1:14" x14ac:dyDescent="0.2">
      <c r="A39" s="122"/>
      <c r="B39" s="123"/>
      <c r="C39" s="57"/>
      <c r="D39" s="93"/>
      <c r="E39" s="14"/>
      <c r="F39" s="14"/>
      <c r="G39" s="14"/>
      <c r="H39" s="14"/>
      <c r="I39" s="101"/>
      <c r="J39" s="101"/>
      <c r="K39" s="101"/>
      <c r="L39" s="101"/>
      <c r="M39" s="101"/>
      <c r="N39" s="29"/>
    </row>
    <row r="40" spans="1:14" x14ac:dyDescent="0.2">
      <c r="A40" s="127"/>
      <c r="B40" s="128"/>
      <c r="C40" s="58"/>
      <c r="D40" s="94"/>
      <c r="E40" s="22"/>
      <c r="F40" s="22"/>
      <c r="G40" s="22"/>
      <c r="H40" s="22"/>
      <c r="I40" s="22"/>
      <c r="J40" s="22"/>
      <c r="K40" s="22"/>
      <c r="L40" s="22"/>
      <c r="M40" s="22"/>
      <c r="N40" s="23"/>
    </row>
    <row r="41" spans="1:14" x14ac:dyDescent="0.2">
      <c r="A41" s="120" t="s">
        <v>0</v>
      </c>
      <c r="B41" s="121"/>
      <c r="C41" s="59"/>
      <c r="D41" s="32">
        <f>D16-SUM(D25:D28)</f>
        <v>-354800</v>
      </c>
      <c r="E41" s="32">
        <f>E23</f>
        <v>67500</v>
      </c>
      <c r="F41" s="32">
        <f>F23</f>
        <v>20395500</v>
      </c>
      <c r="G41" s="32">
        <f t="shared" ref="G41:I41" si="9">G23</f>
        <v>4309603500</v>
      </c>
      <c r="H41" s="32">
        <f>H23</f>
        <v>-1599515904116500</v>
      </c>
      <c r="I41" s="148">
        <f>I23+SUM(I31:I33)+SUM(I37:I39)</f>
        <v>191869162105243.88</v>
      </c>
      <c r="J41" s="32"/>
      <c r="K41" s="32"/>
      <c r="L41" s="32"/>
      <c r="M41" s="32"/>
      <c r="N41" s="33"/>
    </row>
    <row r="42" spans="1:14" x14ac:dyDescent="0.2">
      <c r="A42" s="122" t="s">
        <v>1</v>
      </c>
      <c r="B42" s="123"/>
      <c r="C42" s="60">
        <f>D50</f>
        <v>7.0199999999999999E-2</v>
      </c>
      <c r="D42" s="147">
        <f>(1+C42)^0</f>
        <v>1</v>
      </c>
      <c r="E42" s="147">
        <f>(1+C42)^-1</f>
        <v>0.93440478415249484</v>
      </c>
      <c r="F42" s="147">
        <f>(1+C42)^-2</f>
        <v>0.87311230064707046</v>
      </c>
      <c r="G42" s="147">
        <f>(1+C42)^-3</f>
        <v>0.81584031082701403</v>
      </c>
      <c r="H42" s="147">
        <f>(1+C42)^-4</f>
        <v>0.76232508954122025</v>
      </c>
      <c r="I42" s="147">
        <f>(1+C42)^-5</f>
        <v>0.71232021074679519</v>
      </c>
      <c r="J42" s="78"/>
      <c r="K42" s="78"/>
      <c r="L42" s="78"/>
      <c r="M42" s="78"/>
      <c r="N42" s="79"/>
    </row>
    <row r="43" spans="1:14" x14ac:dyDescent="0.2">
      <c r="A43" s="127" t="s">
        <v>2</v>
      </c>
      <c r="B43" s="128"/>
      <c r="C43" s="52"/>
      <c r="D43" s="34">
        <f>D41*D42</f>
        <v>-354800</v>
      </c>
      <c r="E43" s="34">
        <f t="shared" ref="E43:I43" si="10">E41*E42</f>
        <v>63072.322930293405</v>
      </c>
      <c r="F43" s="34">
        <f t="shared" si="10"/>
        <v>17807561.927847326</v>
      </c>
      <c r="G43" s="34">
        <f t="shared" si="10"/>
        <v>3515948258.9811873</v>
      </c>
      <c r="H43" s="34">
        <f t="shared" si="10"/>
        <v>-1219351104828216.8</v>
      </c>
      <c r="I43" s="34">
        <f t="shared" si="10"/>
        <v>136672281986618.33</v>
      </c>
      <c r="J43" s="35"/>
      <c r="K43" s="35"/>
      <c r="L43" s="35"/>
      <c r="M43" s="35"/>
      <c r="N43" s="36"/>
    </row>
    <row r="44" spans="1:14" x14ac:dyDescent="0.2">
      <c r="A44" s="118" t="s">
        <v>3</v>
      </c>
      <c r="B44" s="119"/>
      <c r="C44" s="125">
        <f>SUM(D43:I43)</f>
        <v>-1082675289377505.1</v>
      </c>
      <c r="D44" s="126"/>
      <c r="E44" s="3"/>
      <c r="F44" s="3"/>
      <c r="G44" s="3"/>
      <c r="H44" s="3"/>
      <c r="I44" s="3"/>
      <c r="J44" s="4"/>
      <c r="K44" s="4"/>
      <c r="L44" s="4"/>
      <c r="M44" s="4"/>
      <c r="N44" s="4"/>
    </row>
    <row r="45" spans="1:14" x14ac:dyDescent="0.2">
      <c r="A45" s="123"/>
      <c r="B45" s="123"/>
      <c r="C45" s="39"/>
      <c r="D45" s="39"/>
      <c r="E45" s="3"/>
      <c r="F45" s="3"/>
      <c r="G45" s="3"/>
      <c r="H45" s="3"/>
      <c r="I45" s="3"/>
      <c r="J45" s="4"/>
      <c r="K45" s="4"/>
      <c r="L45" s="4"/>
      <c r="M45" s="4"/>
      <c r="N45" s="4"/>
    </row>
    <row r="46" spans="1:14" x14ac:dyDescent="0.2">
      <c r="A46" s="108" t="s">
        <v>21</v>
      </c>
      <c r="B46" s="109"/>
      <c r="C46" s="109"/>
      <c r="D46" s="109"/>
      <c r="E46" s="109"/>
      <c r="F46" s="109"/>
      <c r="G46" s="109"/>
      <c r="H46" s="109"/>
      <c r="I46" s="110"/>
      <c r="J46" s="4"/>
      <c r="K46" s="4"/>
      <c r="L46" s="4"/>
      <c r="M46" s="4"/>
      <c r="N46" s="4"/>
    </row>
    <row r="47" spans="1:14" x14ac:dyDescent="0.2">
      <c r="A47" s="122"/>
      <c r="B47" s="123"/>
      <c r="C47" s="3"/>
      <c r="D47" s="8"/>
      <c r="E47" s="3"/>
      <c r="F47" s="3"/>
      <c r="G47" s="3"/>
      <c r="H47" s="3"/>
      <c r="I47" s="10"/>
      <c r="J47" s="4"/>
      <c r="K47" s="4"/>
      <c r="L47" s="4"/>
      <c r="M47" s="4"/>
      <c r="N47" s="4"/>
    </row>
    <row r="48" spans="1:14" x14ac:dyDescent="0.2">
      <c r="A48" s="122" t="s">
        <v>49</v>
      </c>
      <c r="B48" s="123"/>
      <c r="C48" s="3"/>
      <c r="D48" s="8">
        <f>$C$22*$D$22*(1-($C$22/2))*(1-$C$22)^(5-1)</f>
        <v>0</v>
      </c>
      <c r="E48" s="3"/>
      <c r="F48" s="37"/>
      <c r="G48" s="3"/>
      <c r="H48" s="3"/>
      <c r="I48" s="10"/>
      <c r="J48" s="4"/>
      <c r="K48" s="4"/>
      <c r="L48" s="4"/>
      <c r="M48" s="4"/>
      <c r="N48" s="4"/>
    </row>
    <row r="49" spans="1:14" x14ac:dyDescent="0.2">
      <c r="A49" s="122" t="s">
        <v>50</v>
      </c>
      <c r="B49" s="123"/>
      <c r="C49" s="3"/>
      <c r="D49" s="8">
        <f>$C$23*$D$23*(1-($C$23/2))*(1-$C$23)^(5-1)</f>
        <v>0</v>
      </c>
      <c r="E49" s="3"/>
      <c r="F49" s="38"/>
      <c r="G49" s="3"/>
      <c r="H49" s="3"/>
      <c r="I49" s="10"/>
      <c r="J49" s="4"/>
      <c r="K49" s="4"/>
      <c r="L49" s="4"/>
      <c r="M49" s="4"/>
      <c r="N49" s="4"/>
    </row>
    <row r="50" spans="1:14" x14ac:dyDescent="0.2">
      <c r="A50" s="122" t="s">
        <v>51</v>
      </c>
      <c r="B50" s="123"/>
      <c r="C50" s="3"/>
      <c r="D50" s="145">
        <f>0.09*(1-C22)</f>
        <v>7.0199999999999999E-2</v>
      </c>
      <c r="E50" s="3"/>
      <c r="F50" s="9"/>
      <c r="G50" s="3"/>
      <c r="H50" s="3"/>
      <c r="I50" s="10"/>
      <c r="J50" s="4"/>
      <c r="K50" s="4"/>
      <c r="L50" s="4"/>
      <c r="M50" s="4"/>
      <c r="N50" s="4"/>
    </row>
    <row r="51" spans="1:14" x14ac:dyDescent="0.2">
      <c r="A51" s="127"/>
      <c r="B51" s="128"/>
      <c r="C51" s="6"/>
      <c r="D51" s="7"/>
      <c r="E51" s="6"/>
      <c r="F51" s="107"/>
      <c r="G51" s="6"/>
      <c r="H51" s="6"/>
      <c r="I51" s="16"/>
      <c r="J51" s="4"/>
      <c r="K51" s="4"/>
      <c r="L51" s="4"/>
      <c r="M51" s="4"/>
      <c r="N51" s="4"/>
    </row>
    <row r="52" spans="1:14" x14ac:dyDescent="0.2">
      <c r="A52" s="123"/>
      <c r="B52" s="123"/>
      <c r="C52" s="3"/>
      <c r="D52" s="8"/>
      <c r="E52" s="3"/>
      <c r="F52" s="3"/>
      <c r="G52" s="3"/>
      <c r="H52" s="3"/>
      <c r="I52" s="3"/>
      <c r="J52" s="4"/>
      <c r="K52" s="3"/>
      <c r="L52" s="3"/>
      <c r="M52" s="3"/>
      <c r="N52" s="3"/>
    </row>
    <row r="53" spans="1:14" x14ac:dyDescent="0.2">
      <c r="A53" s="108" t="s">
        <v>26</v>
      </c>
      <c r="B53" s="109"/>
      <c r="C53" s="109"/>
      <c r="D53" s="109"/>
      <c r="E53" s="109"/>
      <c r="F53" s="109"/>
      <c r="G53" s="109"/>
      <c r="H53" s="109"/>
      <c r="I53" s="110"/>
      <c r="J53" s="4"/>
      <c r="K53" s="129" t="s">
        <v>24</v>
      </c>
      <c r="L53" s="129"/>
      <c r="M53" s="129"/>
      <c r="N53" s="129"/>
    </row>
    <row r="54" spans="1:14" x14ac:dyDescent="0.2">
      <c r="A54" s="130" t="s">
        <v>13</v>
      </c>
      <c r="B54" s="131"/>
      <c r="C54" s="11"/>
      <c r="D54" s="13"/>
      <c r="E54" s="11"/>
      <c r="F54" s="11"/>
      <c r="G54" s="11"/>
      <c r="H54" s="11"/>
      <c r="I54" s="111" t="s">
        <v>15</v>
      </c>
      <c r="J54" s="4"/>
      <c r="K54" s="129"/>
      <c r="L54" s="129"/>
      <c r="M54" s="129"/>
      <c r="N54" s="129"/>
    </row>
    <row r="55" spans="1:14" x14ac:dyDescent="0.2">
      <c r="A55" s="132"/>
      <c r="B55" s="133"/>
      <c r="C55" s="6"/>
      <c r="D55" s="7">
        <v>2019</v>
      </c>
      <c r="E55" s="7">
        <v>2020</v>
      </c>
      <c r="F55" s="7">
        <v>2021</v>
      </c>
      <c r="G55" s="150">
        <v>2022</v>
      </c>
      <c r="H55" s="150">
        <v>2023</v>
      </c>
      <c r="I55" s="149"/>
      <c r="J55" s="4"/>
      <c r="K55" s="129"/>
      <c r="L55" s="129"/>
      <c r="M55" s="129"/>
      <c r="N55" s="129"/>
    </row>
    <row r="56" spans="1:14" x14ac:dyDescent="0.2">
      <c r="A56" s="141">
        <v>-0.1</v>
      </c>
      <c r="B56" s="142"/>
      <c r="C56" s="103"/>
      <c r="D56" s="103">
        <f>0.9*E9</f>
        <v>0</v>
      </c>
      <c r="E56" s="103">
        <f t="shared" ref="E56:H56" si="11">0.9*F9</f>
        <v>0</v>
      </c>
      <c r="F56" s="103">
        <f t="shared" si="11"/>
        <v>0</v>
      </c>
      <c r="G56" s="103">
        <f t="shared" si="11"/>
        <v>0</v>
      </c>
      <c r="H56" s="103">
        <f t="shared" si="11"/>
        <v>0</v>
      </c>
      <c r="I56" s="104"/>
      <c r="J56" s="12"/>
      <c r="K56" s="129"/>
      <c r="L56" s="129"/>
      <c r="M56" s="129"/>
      <c r="N56" s="129"/>
    </row>
    <row r="57" spans="1:14" x14ac:dyDescent="0.2">
      <c r="A57" s="137">
        <v>0</v>
      </c>
      <c r="B57" s="138"/>
      <c r="C57" s="42"/>
      <c r="D57" s="34">
        <f>E43</f>
        <v>63072.322930293405</v>
      </c>
      <c r="E57" s="34">
        <f>F43</f>
        <v>17807561.927847326</v>
      </c>
      <c r="F57" s="34">
        <f>G43</f>
        <v>3515948258.9811873</v>
      </c>
      <c r="G57" s="34">
        <f>H43</f>
        <v>-1219351104828216.8</v>
      </c>
      <c r="H57" s="34">
        <f t="shared" ref="E57:H57" si="12">I43</f>
        <v>136672281986618.33</v>
      </c>
      <c r="I57" s="43"/>
      <c r="J57" s="12"/>
      <c r="K57" s="129"/>
      <c r="L57" s="129"/>
      <c r="M57" s="129"/>
      <c r="N57" s="129"/>
    </row>
    <row r="58" spans="1:14" x14ac:dyDescent="0.2">
      <c r="A58" s="139">
        <v>0.1</v>
      </c>
      <c r="B58" s="140"/>
      <c r="C58" s="105"/>
      <c r="D58" s="105"/>
      <c r="E58" s="105"/>
      <c r="F58" s="105"/>
      <c r="G58" s="105"/>
      <c r="H58" s="105"/>
      <c r="I58" s="106"/>
      <c r="J58" s="12"/>
      <c r="K58" s="129"/>
      <c r="L58" s="129"/>
      <c r="M58" s="129"/>
      <c r="N58" s="129"/>
    </row>
    <row r="59" spans="1:14" x14ac:dyDescent="0.2">
      <c r="A59" s="130" t="s">
        <v>17</v>
      </c>
      <c r="B59" s="131"/>
      <c r="C59" s="112"/>
      <c r="D59" s="113"/>
      <c r="E59" s="113"/>
      <c r="F59" s="113"/>
      <c r="G59" s="113"/>
      <c r="H59" s="113"/>
      <c r="I59" s="114"/>
      <c r="J59" s="12"/>
      <c r="K59" s="129"/>
      <c r="L59" s="129"/>
      <c r="M59" s="129"/>
      <c r="N59" s="129"/>
    </row>
    <row r="60" spans="1:14" ht="14.25" x14ac:dyDescent="0.2">
      <c r="A60" s="132"/>
      <c r="B60" s="133"/>
      <c r="C60" s="115"/>
      <c r="D60" s="116"/>
      <c r="E60" s="116"/>
      <c r="F60" s="116"/>
      <c r="G60" s="116"/>
      <c r="H60" s="116"/>
      <c r="I60" s="117"/>
      <c r="J60" s="12"/>
      <c r="K60" s="90">
        <f ca="1">NOW()</f>
        <v>43628.91802488426</v>
      </c>
      <c r="L60" s="134">
        <f ca="1">NOW()</f>
        <v>43628.91802488426</v>
      </c>
      <c r="M60" s="134"/>
      <c r="N60" s="134"/>
    </row>
  </sheetData>
  <mergeCells count="61">
    <mergeCell ref="A59:B60"/>
    <mergeCell ref="C59:I60"/>
    <mergeCell ref="L60:N60"/>
    <mergeCell ref="A50:B50"/>
    <mergeCell ref="A51:B51"/>
    <mergeCell ref="A52:B52"/>
    <mergeCell ref="A53:I53"/>
    <mergeCell ref="K53:N59"/>
    <mergeCell ref="A54:B55"/>
    <mergeCell ref="I54:I55"/>
    <mergeCell ref="A56:B56"/>
    <mergeCell ref="A57:B57"/>
    <mergeCell ref="A58:B58"/>
    <mergeCell ref="C44:D44"/>
    <mergeCell ref="A45:B45"/>
    <mergeCell ref="A46:I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C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C23"/>
    <mergeCell ref="A24:B24"/>
    <mergeCell ref="A25:B25"/>
    <mergeCell ref="A26:B26"/>
    <mergeCell ref="A15:B15"/>
    <mergeCell ref="A16:C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N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Calcul perso</vt:lpstr>
    </vt:vector>
  </TitlesOfParts>
  <Company>Aucune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 5</dc:title>
  <dc:creator>olblai</dc:creator>
  <cp:lastModifiedBy>Maya Salloum</cp:lastModifiedBy>
  <cp:lastPrinted>2019-06-13T01:58:56Z</cp:lastPrinted>
  <dcterms:created xsi:type="dcterms:W3CDTF">2006-11-14T14:22:35Z</dcterms:created>
  <dcterms:modified xsi:type="dcterms:W3CDTF">2019-06-13T02:02:01Z</dcterms:modified>
</cp:coreProperties>
</file>