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SH3201\Labos\"/>
    </mc:Choice>
  </mc:AlternateContent>
  <bookViews>
    <workbookView xWindow="0" yWindow="0" windowWidth="28800" windowHeight="12330" tabRatio="692"/>
  </bookViews>
  <sheets>
    <sheet name="Lab" sheetId="22" r:id="rId1"/>
    <sheet name="Calcul perso" sheetId="23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2" l="1"/>
  <c r="C31" i="22"/>
  <c r="R42" i="22"/>
  <c r="M40" i="22"/>
  <c r="M36" i="22"/>
  <c r="M32" i="22"/>
  <c r="Q29" i="22"/>
  <c r="Q28" i="22"/>
  <c r="Q27" i="22"/>
  <c r="Q26" i="22"/>
  <c r="M29" i="22"/>
  <c r="M28" i="22"/>
  <c r="M27" i="22"/>
  <c r="M26" i="22"/>
  <c r="S21" i="22"/>
  <c r="Q21" i="22"/>
  <c r="O21" i="22"/>
  <c r="M21" i="22"/>
  <c r="S19" i="22"/>
  <c r="S13" i="22"/>
  <c r="S15" i="22"/>
  <c r="M15" i="22"/>
  <c r="Q15" i="22"/>
  <c r="O15" i="22"/>
  <c r="I58" i="22"/>
  <c r="D39" i="22"/>
  <c r="I36" i="22"/>
  <c r="B39" i="22" s="1"/>
  <c r="I42" i="22" s="1"/>
  <c r="A31" i="22"/>
  <c r="E24" i="22"/>
  <c r="E27" i="22"/>
  <c r="E26" i="22"/>
  <c r="E25" i="22"/>
  <c r="E23" i="22"/>
  <c r="D16" i="22"/>
  <c r="D15" i="22"/>
  <c r="D14" i="22"/>
  <c r="D13" i="22"/>
  <c r="D12" i="22"/>
  <c r="D11" i="22"/>
  <c r="D10" i="22"/>
  <c r="D9" i="22"/>
  <c r="I52" i="22" l="1"/>
  <c r="I46" i="22"/>
  <c r="E28" i="22"/>
  <c r="Q56" i="22"/>
  <c r="P56" i="22"/>
  <c r="A10" i="22"/>
  <c r="A11" i="22"/>
  <c r="A12" i="22" s="1"/>
  <c r="A13" i="22" s="1"/>
  <c r="A14" i="22" s="1"/>
  <c r="A15" i="22" s="1"/>
</calcChain>
</file>

<file path=xl/sharedStrings.xml><?xml version="1.0" encoding="utf-8"?>
<sst xmlns="http://schemas.openxmlformats.org/spreadsheetml/2006/main" count="139" uniqueCount="82">
  <si>
    <t>Partie 1</t>
  </si>
  <si>
    <t>Années</t>
  </si>
  <si>
    <t>Partie 2</t>
  </si>
  <si>
    <t>Partie 3</t>
  </si>
  <si>
    <t>Partie 4</t>
  </si>
  <si>
    <t>Partie 5</t>
  </si>
  <si>
    <t>r2</t>
  </si>
  <si>
    <t>r1</t>
  </si>
  <si>
    <t>TRAM</t>
  </si>
  <si>
    <t>Réponse</t>
  </si>
  <si>
    <t xml:space="preserve">Montants act. </t>
  </si>
  <si>
    <t>(P/F;i;n)</t>
  </si>
  <si>
    <t>Montants</t>
  </si>
  <si>
    <t>Q1</t>
  </si>
  <si>
    <t>Montants act.</t>
  </si>
  <si>
    <t>(P/G;i;n)</t>
  </si>
  <si>
    <t>(P/A;i;n)</t>
  </si>
  <si>
    <t>Q2</t>
  </si>
  <si>
    <t xml:space="preserve">Montant act. </t>
  </si>
  <si>
    <t>Facteur d'act</t>
  </si>
  <si>
    <t>Montant</t>
  </si>
  <si>
    <t>Q3</t>
  </si>
  <si>
    <t>Q4</t>
  </si>
  <si>
    <t>i4</t>
  </si>
  <si>
    <t>i3</t>
  </si>
  <si>
    <t>i2</t>
  </si>
  <si>
    <t>i1</t>
  </si>
  <si>
    <t>annuel</t>
  </si>
  <si>
    <t>mensuel</t>
  </si>
  <si>
    <t>m4</t>
  </si>
  <si>
    <t>m3</t>
  </si>
  <si>
    <t>m2</t>
  </si>
  <si>
    <t>m1</t>
  </si>
  <si>
    <t>r4</t>
  </si>
  <si>
    <t>r3</t>
  </si>
  <si>
    <t>Taux eff/sem</t>
  </si>
  <si>
    <t>Calculs</t>
  </si>
  <si>
    <t>Calcul, questionnement et notes</t>
  </si>
  <si>
    <t>NOM :</t>
  </si>
  <si>
    <t>Prénom :</t>
  </si>
  <si>
    <t>Matricule:</t>
  </si>
  <si>
    <t>Gr:</t>
  </si>
  <si>
    <t>Soum 1</t>
  </si>
  <si>
    <t>Soum 4</t>
  </si>
  <si>
    <t>Calculs Q1 et Q2</t>
  </si>
  <si>
    <t>Q5</t>
  </si>
  <si>
    <t>Salloum</t>
  </si>
  <si>
    <t>Maya</t>
  </si>
  <si>
    <t>Rami Yahyaoui</t>
  </si>
  <si>
    <t>Kenza</t>
  </si>
  <si>
    <t>(F/P;3%;40)</t>
  </si>
  <si>
    <t>Valeur des anuités</t>
  </si>
  <si>
    <t>(P/A;6%;30)</t>
  </si>
  <si>
    <t>A*(P/A;6%;30)</t>
  </si>
  <si>
    <t>(A/F;6%;40)</t>
  </si>
  <si>
    <t>F*(A/F;6%;40)</t>
  </si>
  <si>
    <t>0,72*Salaire</t>
  </si>
  <si>
    <t>(P/F;6%;40)</t>
  </si>
  <si>
    <t>F*(P/F;6%;40)</t>
  </si>
  <si>
    <t>i/=g</t>
  </si>
  <si>
    <t>i</t>
  </si>
  <si>
    <t>g</t>
  </si>
  <si>
    <t>n</t>
  </si>
  <si>
    <t>A1</t>
  </si>
  <si>
    <t>P=A1*((1-((1+g)/(1+i))^n)/(i-g))</t>
  </si>
  <si>
    <t>r</t>
  </si>
  <si>
    <t>v</t>
  </si>
  <si>
    <t>m</t>
  </si>
  <si>
    <t>(1+r/m)^(m/v)-1</t>
  </si>
  <si>
    <t>où v=2</t>
  </si>
  <si>
    <t>(1+r/m)^(m/v)-2</t>
  </si>
  <si>
    <t>r=5%*4</t>
  </si>
  <si>
    <t>où v=1</t>
  </si>
  <si>
    <t>ipp=(1+r/m)^(m/v)-1</t>
  </si>
  <si>
    <t>(A/P;ipp=8,16;5)</t>
  </si>
  <si>
    <t>[i*(1+i)^n/((1+i)^n-1)]</t>
  </si>
  <si>
    <t>P*(A/P;ipp=8,16;5)</t>
  </si>
  <si>
    <t>P</t>
  </si>
  <si>
    <t>2 premières années</t>
  </si>
  <si>
    <t>n=2*4</t>
  </si>
  <si>
    <t>ipp</t>
  </si>
  <si>
    <t>F=P*(F/P;3%;39)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</si>
</sst>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)\ &quot;$&quot;_ ;_ * \(#,##0.00\)\ &quot;$&quot;_ ;_ * &quot;-&quot;??_)\ &quot;$&quot;_ ;_ @_ "/>
    <numFmt numFmtId="165" formatCode="0.0000"/>
    <numFmt numFmtId="166" formatCode="h&quot; h &quot;mm;@"/>
    <numFmt numFmtId="167" formatCode="[$-F800]dddd\,\ mmmm\ dd\,\ yyyy"/>
    <numFmt numFmtId="168" formatCode="_ * #,##0_)\ &quot;$&quot;_ ;_ * \(#,##0\)\ &quot;$&quot;_ ;_ * &quot;-&quot;??_)\ &quot;$&quot;_ ;_ @_ "/>
    <numFmt numFmtId="169" formatCode="0.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24"/>
      <color theme="1"/>
      <name val="Calibri"/>
      <family val="2"/>
      <scheme val="minor"/>
    </font>
    <font>
      <b/>
      <sz val="11"/>
      <name val="Times New Roman"/>
      <family val="1"/>
    </font>
    <font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6" fillId="0" borderId="0" xfId="0" applyFont="1" applyBorder="1"/>
    <xf numFmtId="0" fontId="7" fillId="0" borderId="0" xfId="0" applyNumberFormat="1" applyFont="1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/>
    <xf numFmtId="0" fontId="6" fillId="0" borderId="9" xfId="0" applyFont="1" applyBorder="1" applyAlignment="1">
      <alignment horizontal="center"/>
    </xf>
    <xf numFmtId="10" fontId="7" fillId="0" borderId="18" xfId="18" applyNumberFormat="1" applyFont="1" applyBorder="1"/>
    <xf numFmtId="0" fontId="6" fillId="0" borderId="13" xfId="0" applyFont="1" applyBorder="1" applyAlignment="1">
      <alignment horizontal="center"/>
    </xf>
    <xf numFmtId="10" fontId="7" fillId="0" borderId="9" xfId="18" applyNumberFormat="1" applyFont="1" applyBorder="1"/>
    <xf numFmtId="0" fontId="6" fillId="0" borderId="10" xfId="0" applyFont="1" applyBorder="1" applyAlignment="1">
      <alignment horizontal="center"/>
    </xf>
    <xf numFmtId="0" fontId="6" fillId="0" borderId="19" xfId="0" applyFont="1" applyBorder="1"/>
    <xf numFmtId="0" fontId="6" fillId="0" borderId="16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 applyFill="1" applyAlignment="1">
      <alignment wrapText="1"/>
    </xf>
    <xf numFmtId="0" fontId="6" fillId="0" borderId="21" xfId="0" applyFont="1" applyBorder="1" applyAlignment="1">
      <alignment horizontal="center" vertical="center"/>
    </xf>
    <xf numFmtId="10" fontId="7" fillId="2" borderId="24" xfId="18" applyNumberFormat="1" applyFont="1" applyFill="1" applyBorder="1" applyAlignment="1">
      <alignment vertical="center"/>
    </xf>
    <xf numFmtId="10" fontId="7" fillId="2" borderId="24" xfId="0" applyNumberFormat="1" applyFont="1" applyFill="1" applyBorder="1" applyAlignment="1">
      <alignment vertical="center"/>
    </xf>
    <xf numFmtId="0" fontId="6" fillId="0" borderId="0" xfId="0" applyFont="1" applyFill="1" applyBorder="1"/>
    <xf numFmtId="0" fontId="6" fillId="0" borderId="2" xfId="0" applyFont="1" applyBorder="1" applyAlignment="1">
      <alignment horizontal="center" vertical="center"/>
    </xf>
    <xf numFmtId="10" fontId="7" fillId="2" borderId="2" xfId="18" applyNumberFormat="1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9" fillId="0" borderId="14" xfId="0" applyNumberFormat="1" applyFont="1" applyFill="1" applyBorder="1"/>
    <xf numFmtId="0" fontId="9" fillId="0" borderId="14" xfId="18" applyNumberFormat="1" applyFont="1" applyFill="1" applyBorder="1"/>
    <xf numFmtId="0" fontId="9" fillId="0" borderId="18" xfId="0" applyNumberFormat="1" applyFont="1" applyFill="1" applyBorder="1"/>
    <xf numFmtId="0" fontId="9" fillId="0" borderId="15" xfId="0" applyNumberFormat="1" applyFont="1" applyFill="1" applyBorder="1"/>
    <xf numFmtId="0" fontId="9" fillId="0" borderId="0" xfId="0" applyNumberFormat="1" applyFont="1" applyFill="1" applyBorder="1"/>
    <xf numFmtId="0" fontId="9" fillId="0" borderId="19" xfId="0" applyNumberFormat="1" applyFont="1" applyFill="1" applyBorder="1"/>
    <xf numFmtId="0" fontId="9" fillId="0" borderId="0" xfId="0" applyNumberFormat="1" applyFont="1" applyFill="1" applyBorder="1" applyAlignment="1">
      <alignment wrapText="1"/>
    </xf>
    <xf numFmtId="0" fontId="9" fillId="0" borderId="19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>
      <alignment horizontal="center" wrapText="1"/>
    </xf>
    <xf numFmtId="0" fontId="9" fillId="0" borderId="16" xfId="0" applyNumberFormat="1" applyFont="1" applyFill="1" applyBorder="1"/>
    <xf numFmtId="0" fontId="9" fillId="0" borderId="17" xfId="0" applyNumberFormat="1" applyFont="1" applyFill="1" applyBorder="1"/>
    <xf numFmtId="0" fontId="10" fillId="0" borderId="0" xfId="0" applyFont="1"/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9" fillId="0" borderId="14" xfId="0" applyNumberFormat="1" applyFont="1" applyFill="1" applyBorder="1" applyAlignment="1">
      <alignment vertical="center" wrapText="1"/>
    </xf>
    <xf numFmtId="0" fontId="9" fillId="0" borderId="14" xfId="0" applyNumberFormat="1" applyFont="1" applyFill="1" applyBorder="1" applyAlignment="1">
      <alignment vertical="center"/>
    </xf>
    <xf numFmtId="0" fontId="11" fillId="0" borderId="15" xfId="0" applyNumberFormat="1" applyFont="1" applyFill="1" applyBorder="1" applyAlignment="1">
      <alignment horizontal="center" wrapText="1"/>
    </xf>
    <xf numFmtId="49" fontId="12" fillId="0" borderId="0" xfId="0" applyNumberFormat="1" applyFont="1" applyFill="1" applyBorder="1" applyAlignment="1">
      <alignment wrapText="1"/>
    </xf>
    <xf numFmtId="49" fontId="12" fillId="0" borderId="19" xfId="0" applyNumberFormat="1" applyFont="1" applyFill="1" applyBorder="1" applyAlignment="1">
      <alignment wrapText="1"/>
    </xf>
    <xf numFmtId="0" fontId="12" fillId="0" borderId="15" xfId="0" applyNumberFormat="1" applyFont="1" applyFill="1" applyBorder="1" applyAlignment="1">
      <alignment wrapText="1"/>
    </xf>
    <xf numFmtId="0" fontId="12" fillId="0" borderId="0" xfId="0" applyNumberFormat="1" applyFont="1" applyFill="1" applyBorder="1" applyAlignment="1">
      <alignment wrapText="1"/>
    </xf>
    <xf numFmtId="49" fontId="9" fillId="0" borderId="0" xfId="0" applyNumberFormat="1" applyFont="1" applyFill="1" applyBorder="1" applyAlignment="1">
      <alignment vertical="top" wrapText="1"/>
    </xf>
    <xf numFmtId="49" fontId="9" fillId="0" borderId="19" xfId="0" applyNumberFormat="1" applyFont="1" applyFill="1" applyBorder="1" applyAlignment="1">
      <alignment vertical="top" wrapText="1"/>
    </xf>
    <xf numFmtId="0" fontId="9" fillId="0" borderId="16" xfId="0" applyNumberFormat="1" applyFont="1" applyFill="1" applyBorder="1" applyAlignment="1">
      <alignment vertical="top" wrapText="1"/>
    </xf>
    <xf numFmtId="0" fontId="9" fillId="0" borderId="17" xfId="0" applyNumberFormat="1" applyFont="1" applyFill="1" applyBorder="1" applyAlignment="1">
      <alignment vertical="top" wrapText="1"/>
    </xf>
    <xf numFmtId="0" fontId="9" fillId="0" borderId="20" xfId="0" applyNumberFormat="1" applyFont="1" applyFill="1" applyBorder="1" applyAlignment="1">
      <alignment vertical="top" wrapText="1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25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11" xfId="0" applyFont="1" applyBorder="1"/>
    <xf numFmtId="165" fontId="7" fillId="0" borderId="1" xfId="0" applyNumberFormat="1" applyFont="1" applyBorder="1"/>
    <xf numFmtId="0" fontId="7" fillId="0" borderId="6" xfId="0" applyFont="1" applyBorder="1"/>
    <xf numFmtId="165" fontId="7" fillId="0" borderId="7" xfId="0" applyNumberFormat="1" applyFont="1" applyBorder="1"/>
    <xf numFmtId="0" fontId="6" fillId="0" borderId="26" xfId="0" applyFont="1" applyBorder="1"/>
    <xf numFmtId="2" fontId="6" fillId="0" borderId="25" xfId="0" applyNumberFormat="1" applyFont="1" applyBorder="1"/>
    <xf numFmtId="2" fontId="7" fillId="0" borderId="1" xfId="0" applyNumberFormat="1" applyFont="1" applyBorder="1"/>
    <xf numFmtId="2" fontId="7" fillId="0" borderId="7" xfId="0" applyNumberFormat="1" applyFont="1" applyBorder="1"/>
    <xf numFmtId="0" fontId="7" fillId="0" borderId="7" xfId="0" applyFont="1" applyBorder="1"/>
    <xf numFmtId="0" fontId="6" fillId="0" borderId="13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16" xfId="0" applyFont="1" applyBorder="1"/>
    <xf numFmtId="0" fontId="7" fillId="0" borderId="17" xfId="0" applyFont="1" applyBorder="1"/>
    <xf numFmtId="0" fontId="6" fillId="0" borderId="22" xfId="0" applyFont="1" applyBorder="1"/>
    <xf numFmtId="0" fontId="7" fillId="0" borderId="15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167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center"/>
    </xf>
    <xf numFmtId="0" fontId="7" fillId="0" borderId="19" xfId="0" applyFont="1" applyBorder="1"/>
    <xf numFmtId="0" fontId="7" fillId="0" borderId="0" xfId="0" applyFont="1" applyFill="1" applyBorder="1"/>
    <xf numFmtId="168" fontId="7" fillId="0" borderId="1" xfId="95" applyNumberFormat="1" applyFont="1" applyBorder="1"/>
    <xf numFmtId="168" fontId="7" fillId="0" borderId="7" xfId="95" applyNumberFormat="1" applyFont="1" applyBorder="1"/>
    <xf numFmtId="168" fontId="7" fillId="0" borderId="12" xfId="95" applyNumberFormat="1" applyFont="1" applyBorder="1"/>
    <xf numFmtId="168" fontId="7" fillId="0" borderId="8" xfId="95" applyNumberFormat="1" applyFont="1" applyBorder="1"/>
    <xf numFmtId="168" fontId="6" fillId="2" borderId="27" xfId="95" applyNumberFormat="1" applyFont="1" applyFill="1" applyBorder="1"/>
    <xf numFmtId="168" fontId="7" fillId="0" borderId="11" xfId="95" applyNumberFormat="1" applyFont="1" applyBorder="1"/>
    <xf numFmtId="168" fontId="7" fillId="0" borderId="6" xfId="95" applyNumberFormat="1" applyFont="1" applyBorder="1"/>
    <xf numFmtId="9" fontId="6" fillId="0" borderId="25" xfId="0" applyNumberFormat="1" applyFont="1" applyBorder="1"/>
    <xf numFmtId="169" fontId="7" fillId="0" borderId="1" xfId="0" applyNumberFormat="1" applyFont="1" applyBorder="1"/>
    <xf numFmtId="169" fontId="7" fillId="0" borderId="7" xfId="0" applyNumberFormat="1" applyFont="1" applyBorder="1"/>
    <xf numFmtId="168" fontId="7" fillId="0" borderId="0" xfId="0" applyNumberFormat="1" applyFont="1" applyBorder="1"/>
    <xf numFmtId="10" fontId="12" fillId="0" borderId="0" xfId="0" applyNumberFormat="1" applyFont="1" applyFill="1" applyBorder="1" applyAlignment="1">
      <alignment wrapText="1"/>
    </xf>
    <xf numFmtId="10" fontId="0" fillId="0" borderId="0" xfId="0" applyNumberFormat="1"/>
    <xf numFmtId="10" fontId="9" fillId="0" borderId="0" xfId="0" applyNumberFormat="1" applyFont="1" applyFill="1" applyBorder="1"/>
    <xf numFmtId="168" fontId="7" fillId="2" borderId="28" xfId="95" applyNumberFormat="1" applyFont="1" applyFill="1" applyBorder="1" applyAlignment="1">
      <alignment horizontal="center"/>
    </xf>
    <xf numFmtId="168" fontId="7" fillId="2" borderId="23" xfId="95" applyNumberFormat="1" applyFont="1" applyFill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0" fontId="6" fillId="2" borderId="9" xfId="96" applyNumberFormat="1" applyFont="1" applyFill="1" applyBorder="1" applyAlignment="1">
      <alignment horizontal="center"/>
    </xf>
    <xf numFmtId="10" fontId="6" fillId="2" borderId="10" xfId="96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8" fontId="6" fillId="2" borderId="7" xfId="95" applyNumberFormat="1" applyFont="1" applyFill="1" applyBorder="1" applyAlignment="1">
      <alignment horizontal="center"/>
    </xf>
    <xf numFmtId="168" fontId="6" fillId="2" borderId="8" xfId="95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97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Monétaire" xfId="95" builtinId="4"/>
    <cellStyle name="Normal" xfId="0" builtinId="0"/>
    <cellStyle name="Normal 2" xfId="1"/>
    <cellStyle name="Pourcentage" xfId="96" builtinId="5"/>
    <cellStyle name="Pourcentage 2" xfId="1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view="pageLayout" topLeftCell="A23" zoomScale="80" zoomScalePageLayoutView="80" workbookViewId="0">
      <selection activeCell="A55" sqref="A55"/>
    </sheetView>
  </sheetViews>
  <sheetFormatPr baseColWidth="10" defaultColWidth="10.875" defaultRowHeight="15" x14ac:dyDescent="0.25"/>
  <cols>
    <col min="1" max="1" width="10.5" style="6" customWidth="1"/>
    <col min="2" max="2" width="12" style="6" customWidth="1"/>
    <col min="3" max="3" width="9.875" style="6" customWidth="1"/>
    <col min="4" max="4" width="14" style="6" customWidth="1"/>
    <col min="5" max="5" width="12.5" style="6" customWidth="1"/>
    <col min="6" max="6" width="5.625" style="6" customWidth="1"/>
    <col min="7" max="7" width="10" style="6" customWidth="1"/>
    <col min="8" max="8" width="8.125" style="6" customWidth="1"/>
    <col min="9" max="9" width="11" style="6" customWidth="1"/>
    <col min="10" max="10" width="12" style="6" customWidth="1"/>
    <col min="11" max="11" width="7.5" style="6" customWidth="1"/>
    <col min="12" max="12" width="9.125" style="6" customWidth="1"/>
    <col min="13" max="13" width="11.125" style="6" customWidth="1"/>
    <col min="14" max="14" width="9.625" style="6" customWidth="1"/>
    <col min="15" max="15" width="13.625" style="6" customWidth="1"/>
    <col min="16" max="16" width="8.625" style="6" customWidth="1"/>
    <col min="17" max="17" width="10.875" style="6"/>
    <col min="18" max="18" width="9.125" style="6" customWidth="1"/>
    <col min="19" max="19" width="10.875" style="6" customWidth="1"/>
    <col min="20" max="20" width="21.125" style="6" customWidth="1"/>
    <col min="21" max="16384" width="10.875" style="6"/>
  </cols>
  <sheetData>
    <row r="1" spans="1:19" ht="15.75" thickBot="1" x14ac:dyDescent="0.3">
      <c r="A1" s="52" t="s">
        <v>38</v>
      </c>
      <c r="B1" s="106" t="s">
        <v>48</v>
      </c>
      <c r="C1" s="106"/>
      <c r="D1" s="52" t="s">
        <v>39</v>
      </c>
      <c r="E1" s="106" t="s">
        <v>49</v>
      </c>
      <c r="F1" s="106"/>
      <c r="G1" s="53" t="s">
        <v>40</v>
      </c>
      <c r="H1" s="111">
        <v>1903555</v>
      </c>
      <c r="I1" s="111"/>
      <c r="J1" s="53" t="s">
        <v>41</v>
      </c>
      <c r="K1" s="54">
        <v>1</v>
      </c>
      <c r="L1" s="1" t="s">
        <v>3</v>
      </c>
      <c r="M1" s="2"/>
      <c r="N1" s="3"/>
      <c r="O1" s="3"/>
      <c r="P1" s="4"/>
      <c r="Q1" s="3"/>
      <c r="R1" s="3"/>
      <c r="S1" s="3"/>
    </row>
    <row r="2" spans="1:19" x14ac:dyDescent="0.25">
      <c r="A2" s="52" t="s">
        <v>38</v>
      </c>
      <c r="B2" s="106" t="s">
        <v>46</v>
      </c>
      <c r="C2" s="106"/>
      <c r="D2" s="52" t="s">
        <v>39</v>
      </c>
      <c r="E2" s="106" t="s">
        <v>47</v>
      </c>
      <c r="F2" s="106"/>
      <c r="G2" s="53" t="s">
        <v>40</v>
      </c>
      <c r="H2" s="111">
        <v>1791189</v>
      </c>
      <c r="I2" s="111"/>
      <c r="J2" s="53" t="s">
        <v>41</v>
      </c>
      <c r="K2" s="54">
        <v>3</v>
      </c>
      <c r="L2" s="104" t="s">
        <v>44</v>
      </c>
      <c r="M2" s="105"/>
      <c r="N2" s="40"/>
      <c r="O2" s="41"/>
      <c r="P2" s="41"/>
      <c r="Q2" s="24"/>
      <c r="R2" s="24"/>
      <c r="S2" s="26"/>
    </row>
    <row r="3" spans="1:19" ht="15.75" x14ac:dyDescent="0.25">
      <c r="A3" s="52" t="s">
        <v>38</v>
      </c>
      <c r="B3" s="106"/>
      <c r="C3" s="106"/>
      <c r="D3" s="52" t="s">
        <v>39</v>
      </c>
      <c r="E3" s="106"/>
      <c r="F3" s="106"/>
      <c r="G3" s="53" t="s">
        <v>40</v>
      </c>
      <c r="H3" s="111"/>
      <c r="I3" s="111"/>
      <c r="J3" s="53" t="s">
        <v>41</v>
      </c>
      <c r="K3" s="54"/>
      <c r="L3" s="42" t="s">
        <v>13</v>
      </c>
      <c r="M3" s="30" t="s">
        <v>42</v>
      </c>
      <c r="N3" s="95" t="s">
        <v>68</v>
      </c>
      <c r="O3" s="94"/>
      <c r="P3" s="43" t="s">
        <v>69</v>
      </c>
      <c r="Q3" s="43"/>
      <c r="R3" s="43"/>
      <c r="S3" s="44"/>
    </row>
    <row r="4" spans="1:19" ht="15.75" x14ac:dyDescent="0.25">
      <c r="L4" s="45"/>
      <c r="M4" s="30" t="s">
        <v>43</v>
      </c>
      <c r="N4" s="95" t="s">
        <v>70</v>
      </c>
      <c r="O4" s="94"/>
      <c r="P4" s="43" t="s">
        <v>69</v>
      </c>
      <c r="Q4" s="43" t="s">
        <v>71</v>
      </c>
      <c r="R4" s="43"/>
      <c r="S4" s="44"/>
    </row>
    <row r="5" spans="1:19" ht="18.95" customHeight="1" x14ac:dyDescent="0.25">
      <c r="A5" s="15" t="s">
        <v>0</v>
      </c>
      <c r="L5" s="45"/>
      <c r="M5" s="46"/>
      <c r="N5" s="43"/>
      <c r="O5" s="43"/>
      <c r="P5" s="43"/>
      <c r="Q5" s="43"/>
      <c r="R5" s="43"/>
      <c r="S5" s="44"/>
    </row>
    <row r="6" spans="1:19" ht="15.75" x14ac:dyDescent="0.25">
      <c r="A6" s="15" t="s">
        <v>13</v>
      </c>
      <c r="L6" s="42" t="s">
        <v>17</v>
      </c>
      <c r="M6" s="30" t="s">
        <v>42</v>
      </c>
      <c r="N6" s="95" t="s">
        <v>68</v>
      </c>
      <c r="O6" s="94"/>
      <c r="P6" s="47" t="s">
        <v>72</v>
      </c>
      <c r="Q6" s="47"/>
      <c r="R6" s="47"/>
      <c r="S6" s="48"/>
    </row>
    <row r="7" spans="1:19" ht="16.5" thickBot="1" x14ac:dyDescent="0.3">
      <c r="B7" s="55" t="s">
        <v>8</v>
      </c>
      <c r="C7" s="90">
        <v>0.11</v>
      </c>
      <c r="L7" s="45"/>
      <c r="M7" s="30" t="s">
        <v>43</v>
      </c>
      <c r="N7" s="95" t="s">
        <v>68</v>
      </c>
      <c r="O7" s="94"/>
      <c r="P7" s="47" t="s">
        <v>72</v>
      </c>
      <c r="Q7" s="47"/>
      <c r="R7" s="47"/>
      <c r="S7" s="48"/>
    </row>
    <row r="8" spans="1:19" ht="15.75" thickBot="1" x14ac:dyDescent="0.3">
      <c r="A8" s="56" t="s">
        <v>1</v>
      </c>
      <c r="B8" s="57" t="s">
        <v>12</v>
      </c>
      <c r="C8" s="57" t="s">
        <v>11</v>
      </c>
      <c r="D8" s="58" t="s">
        <v>10</v>
      </c>
      <c r="L8" s="49"/>
      <c r="M8" s="50"/>
      <c r="N8" s="50"/>
      <c r="O8" s="50"/>
      <c r="P8" s="50"/>
      <c r="Q8" s="50"/>
      <c r="R8" s="50"/>
      <c r="S8" s="51"/>
    </row>
    <row r="9" spans="1:19" x14ac:dyDescent="0.25">
      <c r="A9" s="59">
        <v>1</v>
      </c>
      <c r="B9" s="83">
        <v>19000</v>
      </c>
      <c r="C9" s="60">
        <v>0.90090000000000003</v>
      </c>
      <c r="D9" s="85">
        <f>B9*0.9009</f>
        <v>17117.100000000002</v>
      </c>
    </row>
    <row r="10" spans="1:19" ht="17.100000000000001" customHeight="1" x14ac:dyDescent="0.25">
      <c r="A10" s="59">
        <f t="shared" ref="A10:A14" si="0">1+A9</f>
        <v>2</v>
      </c>
      <c r="B10" s="83">
        <v>11000</v>
      </c>
      <c r="C10" s="60">
        <v>0.81162000000000001</v>
      </c>
      <c r="D10" s="85">
        <f>B10*0.81162</f>
        <v>8927.82</v>
      </c>
    </row>
    <row r="11" spans="1:19" x14ac:dyDescent="0.25">
      <c r="A11" s="59">
        <f t="shared" si="0"/>
        <v>3</v>
      </c>
      <c r="B11" s="83">
        <v>15200</v>
      </c>
      <c r="C11" s="60">
        <v>0.73119000000000001</v>
      </c>
      <c r="D11" s="85">
        <f>B11*0.73119</f>
        <v>11114.088</v>
      </c>
    </row>
    <row r="12" spans="1:19" ht="15.75" thickBot="1" x14ac:dyDescent="0.3">
      <c r="A12" s="59">
        <f t="shared" si="0"/>
        <v>4</v>
      </c>
      <c r="B12" s="83">
        <v>19400</v>
      </c>
      <c r="C12" s="60">
        <v>0.65873000000000004</v>
      </c>
      <c r="D12" s="85">
        <f>B12*0.65873</f>
        <v>12779.362000000001</v>
      </c>
      <c r="L12" s="5" t="s">
        <v>13</v>
      </c>
    </row>
    <row r="13" spans="1:19" x14ac:dyDescent="0.25">
      <c r="A13" s="59">
        <f t="shared" si="0"/>
        <v>5</v>
      </c>
      <c r="B13" s="83">
        <v>13000</v>
      </c>
      <c r="C13" s="60">
        <v>0.59345000000000003</v>
      </c>
      <c r="D13" s="85">
        <f>B13*0.59345</f>
        <v>7714.85</v>
      </c>
      <c r="L13" s="7" t="s">
        <v>7</v>
      </c>
      <c r="M13" s="8">
        <v>7.0000000000000007E-2</v>
      </c>
      <c r="N13" s="9" t="s">
        <v>6</v>
      </c>
      <c r="O13" s="10">
        <v>0.08</v>
      </c>
      <c r="P13" s="7" t="s">
        <v>34</v>
      </c>
      <c r="Q13" s="8">
        <v>0.05</v>
      </c>
      <c r="R13" s="36" t="s">
        <v>33</v>
      </c>
      <c r="S13" s="10">
        <f>4*5%</f>
        <v>0.2</v>
      </c>
    </row>
    <row r="14" spans="1:19" ht="15.75" thickBot="1" x14ac:dyDescent="0.3">
      <c r="A14" s="59">
        <f t="shared" si="0"/>
        <v>6</v>
      </c>
      <c r="B14" s="83">
        <v>13000</v>
      </c>
      <c r="C14" s="60">
        <v>0.53464</v>
      </c>
      <c r="D14" s="85">
        <f>B14*0.53464</f>
        <v>6950.32</v>
      </c>
      <c r="L14" s="11" t="s">
        <v>32</v>
      </c>
      <c r="M14" s="12">
        <v>6</v>
      </c>
      <c r="N14" s="13" t="s">
        <v>31</v>
      </c>
      <c r="O14" s="14">
        <v>8</v>
      </c>
      <c r="P14" s="11" t="s">
        <v>30</v>
      </c>
      <c r="Q14" s="14">
        <v>2</v>
      </c>
      <c r="R14" s="37" t="s">
        <v>29</v>
      </c>
      <c r="S14" s="14">
        <v>9</v>
      </c>
    </row>
    <row r="15" spans="1:19" ht="17.100000000000001" customHeight="1" thickBot="1" x14ac:dyDescent="0.3">
      <c r="A15" s="61">
        <f>1+A14</f>
        <v>7</v>
      </c>
      <c r="B15" s="84">
        <v>12000</v>
      </c>
      <c r="C15" s="62">
        <v>0.48165999999999998</v>
      </c>
      <c r="D15" s="86">
        <f>B15*0.48166</f>
        <v>5779.92</v>
      </c>
      <c r="L15" s="102" t="s">
        <v>35</v>
      </c>
      <c r="M15" s="100">
        <f>(1+M13/M14)^(M14/2)-1</f>
        <v>3.5409921296296387E-2</v>
      </c>
      <c r="N15" s="102" t="s">
        <v>35</v>
      </c>
      <c r="O15" s="100">
        <f>(1+O13/O14)^(O14/2)-1</f>
        <v>4.0604010000000024E-2</v>
      </c>
      <c r="P15" s="102" t="s">
        <v>35</v>
      </c>
      <c r="Q15" s="100">
        <f>(1+Q13/Q14)^(Q14/2)-1</f>
        <v>2.4999999999999911E-2</v>
      </c>
      <c r="R15" s="102" t="s">
        <v>35</v>
      </c>
      <c r="S15" s="100">
        <f>(1+S13/S14)^(S14/2)-1</f>
        <v>0.10396150681814831</v>
      </c>
    </row>
    <row r="16" spans="1:19" ht="17.100000000000001" customHeight="1" thickBot="1" x14ac:dyDescent="0.3">
      <c r="C16" s="63" t="s">
        <v>9</v>
      </c>
      <c r="D16" s="87">
        <f>SUM(D9:D15)</f>
        <v>70383.460000000006</v>
      </c>
      <c r="L16" s="103"/>
      <c r="M16" s="101"/>
      <c r="N16" s="103"/>
      <c r="O16" s="101"/>
      <c r="P16" s="103"/>
      <c r="Q16" s="101"/>
      <c r="R16" s="103"/>
      <c r="S16" s="101"/>
    </row>
    <row r="18" spans="1:19" ht="15.75" thickBot="1" x14ac:dyDescent="0.3">
      <c r="L18" s="15" t="s">
        <v>17</v>
      </c>
    </row>
    <row r="19" spans="1:19" x14ac:dyDescent="0.25">
      <c r="L19" s="7" t="s">
        <v>7</v>
      </c>
      <c r="M19" s="8">
        <v>7.0000000000000007E-2</v>
      </c>
      <c r="N19" s="9" t="s">
        <v>6</v>
      </c>
      <c r="O19" s="10">
        <v>0.08</v>
      </c>
      <c r="P19" s="7" t="s">
        <v>34</v>
      </c>
      <c r="Q19" s="8">
        <v>0.05</v>
      </c>
      <c r="R19" s="36" t="s">
        <v>33</v>
      </c>
      <c r="S19" s="10">
        <f>4*5%</f>
        <v>0.2</v>
      </c>
    </row>
    <row r="20" spans="1:19" ht="15.75" thickBot="1" x14ac:dyDescent="0.3">
      <c r="A20" s="15" t="s">
        <v>17</v>
      </c>
      <c r="L20" s="11" t="s">
        <v>32</v>
      </c>
      <c r="M20" s="12">
        <v>6</v>
      </c>
      <c r="N20" s="13" t="s">
        <v>31</v>
      </c>
      <c r="O20" s="14">
        <v>8</v>
      </c>
      <c r="P20" s="11" t="s">
        <v>30</v>
      </c>
      <c r="Q20" s="14">
        <v>2</v>
      </c>
      <c r="R20" s="37" t="s">
        <v>29</v>
      </c>
      <c r="S20" s="14">
        <v>9</v>
      </c>
    </row>
    <row r="21" spans="1:19" ht="15.75" customHeight="1" thickBot="1" x14ac:dyDescent="0.3">
      <c r="B21" s="55" t="s">
        <v>8</v>
      </c>
      <c r="C21" s="64">
        <v>0.11</v>
      </c>
      <c r="L21" s="102" t="s">
        <v>35</v>
      </c>
      <c r="M21" s="100">
        <f>(1+M19/M20)^(M20/1)-1</f>
        <v>7.2073705118802733E-2</v>
      </c>
      <c r="N21" s="102" t="s">
        <v>35</v>
      </c>
      <c r="O21" s="100">
        <f>(1+O19/O20)^(O20/1)-1</f>
        <v>8.2856705628080229E-2</v>
      </c>
      <c r="P21" s="102" t="s">
        <v>35</v>
      </c>
      <c r="Q21" s="100">
        <f>(1+Q19/Q20)^(Q20/1)-1</f>
        <v>5.062499999999992E-2</v>
      </c>
      <c r="R21" s="102" t="s">
        <v>35</v>
      </c>
      <c r="S21" s="100">
        <f>(1+S19/S20)^(S20/1)-1</f>
        <v>0.21873100853619598</v>
      </c>
    </row>
    <row r="22" spans="1:19" ht="17.100000000000001" customHeight="1" thickBot="1" x14ac:dyDescent="0.3">
      <c r="A22" s="56" t="s">
        <v>12</v>
      </c>
      <c r="B22" s="57" t="s">
        <v>16</v>
      </c>
      <c r="C22" s="57" t="s">
        <v>15</v>
      </c>
      <c r="D22" s="57" t="s">
        <v>11</v>
      </c>
      <c r="E22" s="58" t="s">
        <v>14</v>
      </c>
      <c r="L22" s="103"/>
      <c r="M22" s="101"/>
      <c r="N22" s="103"/>
      <c r="O22" s="101"/>
      <c r="P22" s="103"/>
      <c r="Q22" s="101"/>
      <c r="R22" s="103"/>
      <c r="S22" s="101"/>
    </row>
    <row r="23" spans="1:19" x14ac:dyDescent="0.25">
      <c r="A23" s="88">
        <v>19000</v>
      </c>
      <c r="B23" s="91"/>
      <c r="C23" s="65"/>
      <c r="D23" s="60">
        <v>0.90090000000000003</v>
      </c>
      <c r="E23" s="85">
        <f>A23*D23</f>
        <v>17117.100000000002</v>
      </c>
    </row>
    <row r="24" spans="1:19" ht="15.75" thickBot="1" x14ac:dyDescent="0.3">
      <c r="A24" s="88">
        <v>11000</v>
      </c>
      <c r="B24" s="91">
        <v>2.4437099999999998</v>
      </c>
      <c r="C24" s="65"/>
      <c r="D24" s="60">
        <v>0.90090000000000003</v>
      </c>
      <c r="E24" s="85">
        <f>B24*D24*A24</f>
        <v>24216.921728999998</v>
      </c>
      <c r="L24" s="15" t="s">
        <v>21</v>
      </c>
    </row>
    <row r="25" spans="1:19" ht="15.75" thickBot="1" x14ac:dyDescent="0.3">
      <c r="A25" s="88">
        <v>4200</v>
      </c>
      <c r="B25" s="91"/>
      <c r="C25" s="91">
        <v>2.2740100000000001</v>
      </c>
      <c r="D25" s="60">
        <v>0.90090000000000003</v>
      </c>
      <c r="E25" s="85">
        <f>A25*C25*D25</f>
        <v>8604.353557800001</v>
      </c>
      <c r="M25" s="38" t="s">
        <v>28</v>
      </c>
      <c r="N25" s="16"/>
      <c r="O25" s="16"/>
      <c r="Q25" s="39" t="s">
        <v>27</v>
      </c>
      <c r="R25" s="16"/>
      <c r="S25" s="16"/>
    </row>
    <row r="26" spans="1:19" ht="15.75" thickBot="1" x14ac:dyDescent="0.3">
      <c r="A26" s="88">
        <v>13000</v>
      </c>
      <c r="B26" s="91">
        <v>1.71252</v>
      </c>
      <c r="C26" s="65"/>
      <c r="D26" s="60">
        <v>0.65873000000000004</v>
      </c>
      <c r="E26" s="85">
        <f>A26*B26*D26</f>
        <v>14665.147894800002</v>
      </c>
      <c r="L26" s="17" t="s">
        <v>26</v>
      </c>
      <c r="M26" s="18">
        <f>EXP(M13/12)-1</f>
        <v>5.8503803530856047E-3</v>
      </c>
      <c r="N26" s="16"/>
      <c r="O26" s="16"/>
      <c r="P26" s="17" t="s">
        <v>26</v>
      </c>
      <c r="Q26" s="19">
        <f>EXP(M13/1)-1</f>
        <v>7.2508181254216542E-2</v>
      </c>
      <c r="R26" s="16"/>
      <c r="S26" s="16"/>
    </row>
    <row r="27" spans="1:19" ht="15.75" thickBot="1" x14ac:dyDescent="0.3">
      <c r="A27" s="89">
        <v>12000</v>
      </c>
      <c r="B27" s="92"/>
      <c r="C27" s="66"/>
      <c r="D27" s="62">
        <v>0.48165999999999998</v>
      </c>
      <c r="E27" s="86">
        <f>A27*D27</f>
        <v>5779.92</v>
      </c>
      <c r="L27" s="17" t="s">
        <v>25</v>
      </c>
      <c r="M27" s="18">
        <f>EXP(O13/12)-1</f>
        <v>6.6889383540194025E-3</v>
      </c>
      <c r="N27" s="16"/>
      <c r="O27" s="16"/>
      <c r="P27" s="17" t="s">
        <v>25</v>
      </c>
      <c r="Q27" s="19">
        <f>EXP(O13/1)-1</f>
        <v>8.3287067674958637E-2</v>
      </c>
      <c r="R27" s="16"/>
      <c r="S27" s="16"/>
    </row>
    <row r="28" spans="1:19" ht="15.75" thickBot="1" x14ac:dyDescent="0.3">
      <c r="D28" s="63" t="s">
        <v>9</v>
      </c>
      <c r="E28" s="87">
        <f>SUM(E23:E27)</f>
        <v>70383.4431816</v>
      </c>
      <c r="L28" s="17" t="s">
        <v>24</v>
      </c>
      <c r="M28" s="18">
        <f>EXP(Q13/12)-1</f>
        <v>4.1753592911184523E-3</v>
      </c>
      <c r="N28" s="16"/>
      <c r="O28" s="16"/>
      <c r="P28" s="17" t="s">
        <v>24</v>
      </c>
      <c r="Q28" s="19">
        <f>EXP(Q13/1)-1</f>
        <v>5.1271096376024117E-2</v>
      </c>
      <c r="R28" s="16"/>
      <c r="S28" s="16"/>
    </row>
    <row r="29" spans="1:19" ht="15.75" thickBot="1" x14ac:dyDescent="0.3">
      <c r="A29" s="15" t="s">
        <v>21</v>
      </c>
      <c r="L29" s="17" t="s">
        <v>23</v>
      </c>
      <c r="M29" s="18">
        <f>EXP(S13/12)-1</f>
        <v>1.6806330386260893E-2</v>
      </c>
      <c r="N29" s="16"/>
      <c r="O29" s="16"/>
      <c r="P29" s="17" t="s">
        <v>23</v>
      </c>
      <c r="Q29" s="19">
        <f>EXP(S13/1)-1</f>
        <v>0.22140275816016985</v>
      </c>
      <c r="R29" s="16"/>
      <c r="S29" s="16"/>
    </row>
    <row r="30" spans="1:19" x14ac:dyDescent="0.25">
      <c r="A30" s="56" t="s">
        <v>20</v>
      </c>
      <c r="B30" s="57" t="s">
        <v>19</v>
      </c>
      <c r="C30" s="107" t="s">
        <v>18</v>
      </c>
      <c r="D30" s="108"/>
    </row>
    <row r="31" spans="1:19" ht="15.75" thickBot="1" x14ac:dyDescent="0.3">
      <c r="A31" s="89">
        <f>D16</f>
        <v>70383.460000000006</v>
      </c>
      <c r="B31" s="67">
        <v>0.21221999999999999</v>
      </c>
      <c r="C31" s="109">
        <f>A31*B31</f>
        <v>14936.777881200002</v>
      </c>
      <c r="D31" s="110"/>
      <c r="L31" s="20" t="s">
        <v>22</v>
      </c>
      <c r="N31" s="16"/>
      <c r="O31" s="16"/>
    </row>
    <row r="32" spans="1:19" ht="15.75" thickBot="1" x14ac:dyDescent="0.3">
      <c r="L32" s="21" t="s">
        <v>7</v>
      </c>
      <c r="M32" s="22">
        <f>LN(0.12+1)</f>
        <v>0.11332868530700327</v>
      </c>
      <c r="N32" s="16"/>
      <c r="O32" s="16"/>
    </row>
    <row r="33" spans="1:19" ht="15.75" thickBot="1" x14ac:dyDescent="0.3">
      <c r="A33" s="15" t="s">
        <v>2</v>
      </c>
    </row>
    <row r="34" spans="1:19" ht="15.75" thickBot="1" x14ac:dyDescent="0.3">
      <c r="A34" s="68" t="s">
        <v>13</v>
      </c>
      <c r="B34" s="69" t="s">
        <v>50</v>
      </c>
      <c r="C34" s="69" t="s">
        <v>81</v>
      </c>
      <c r="D34" s="69"/>
      <c r="E34" s="69"/>
      <c r="F34" s="69"/>
      <c r="G34" s="69"/>
      <c r="H34" s="69"/>
      <c r="I34" s="69"/>
      <c r="J34" s="70"/>
      <c r="L34" s="20" t="s">
        <v>4</v>
      </c>
    </row>
    <row r="35" spans="1:19" ht="15.75" thickBot="1" x14ac:dyDescent="0.3">
      <c r="A35" s="74"/>
      <c r="B35" s="3">
        <v>3.16703</v>
      </c>
      <c r="C35" s="3"/>
      <c r="D35" s="3"/>
      <c r="E35" s="3"/>
      <c r="F35" s="3"/>
      <c r="G35" s="3"/>
      <c r="H35" s="3"/>
      <c r="I35" s="3"/>
      <c r="J35" s="81"/>
      <c r="L35" s="23" t="s">
        <v>36</v>
      </c>
      <c r="M35" s="25" t="s">
        <v>73</v>
      </c>
      <c r="N35" s="25"/>
      <c r="O35" s="24" t="s">
        <v>65</v>
      </c>
      <c r="P35" s="24" t="s">
        <v>67</v>
      </c>
      <c r="Q35" s="24" t="s">
        <v>66</v>
      </c>
      <c r="R35" s="24" t="s">
        <v>62</v>
      </c>
      <c r="S35" s="26" t="s">
        <v>77</v>
      </c>
    </row>
    <row r="36" spans="1:19" ht="15.75" thickBot="1" x14ac:dyDescent="0.3">
      <c r="A36" s="71"/>
      <c r="B36" s="72"/>
      <c r="C36" s="72"/>
      <c r="D36" s="72"/>
      <c r="E36" s="72"/>
      <c r="F36" s="72"/>
      <c r="G36" s="72"/>
      <c r="H36" s="73" t="s">
        <v>9</v>
      </c>
      <c r="I36" s="97">
        <f>75000*B35</f>
        <v>237527.25</v>
      </c>
      <c r="J36" s="98"/>
      <c r="L36" s="27"/>
      <c r="M36" s="96">
        <f>(1+O36/P36)^(P36/Q36)-1</f>
        <v>8.1600000000000117E-2</v>
      </c>
      <c r="N36" s="28"/>
      <c r="O36" s="96">
        <v>0.08</v>
      </c>
      <c r="P36" s="28">
        <v>2</v>
      </c>
      <c r="Q36" s="28">
        <v>1</v>
      </c>
      <c r="R36" s="28">
        <v>5</v>
      </c>
      <c r="S36" s="29">
        <v>22500</v>
      </c>
    </row>
    <row r="37" spans="1:19" ht="15.75" thickBot="1" x14ac:dyDescent="0.3">
      <c r="L37" s="27"/>
      <c r="M37" s="28"/>
      <c r="N37" s="28"/>
      <c r="O37" s="28"/>
      <c r="P37" s="28"/>
      <c r="Q37" s="28"/>
      <c r="R37" s="28"/>
      <c r="S37" s="29"/>
    </row>
    <row r="38" spans="1:19" x14ac:dyDescent="0.25">
      <c r="A38" s="68" t="s">
        <v>17</v>
      </c>
      <c r="B38" s="69" t="s">
        <v>51</v>
      </c>
      <c r="C38" s="69"/>
      <c r="D38" s="69" t="s">
        <v>52</v>
      </c>
      <c r="E38" s="69" t="s">
        <v>53</v>
      </c>
      <c r="F38" s="69"/>
      <c r="G38" s="69"/>
      <c r="H38" s="69"/>
      <c r="I38" s="69"/>
      <c r="J38" s="70"/>
      <c r="L38" s="27"/>
      <c r="M38" s="28" t="s">
        <v>74</v>
      </c>
      <c r="N38" s="28"/>
      <c r="O38" s="28" t="s">
        <v>76</v>
      </c>
      <c r="P38" s="28"/>
      <c r="Q38" s="28"/>
      <c r="R38" s="28"/>
      <c r="S38" s="29"/>
    </row>
    <row r="39" spans="1:19" x14ac:dyDescent="0.25">
      <c r="A39" s="74" t="s">
        <v>56</v>
      </c>
      <c r="B39" s="93">
        <f>0.72*I36</f>
        <v>171019.62</v>
      </c>
      <c r="C39" s="3"/>
      <c r="D39" s="3">
        <f>13.76483</f>
        <v>13.76483</v>
      </c>
      <c r="E39" s="3"/>
      <c r="F39" s="3"/>
      <c r="G39" s="3"/>
      <c r="H39" s="3"/>
      <c r="I39" s="3"/>
      <c r="J39" s="81"/>
      <c r="L39" s="27"/>
      <c r="M39" s="28" t="s">
        <v>75</v>
      </c>
      <c r="N39" s="28"/>
      <c r="O39" s="28"/>
      <c r="P39" s="28"/>
      <c r="Q39" s="30"/>
      <c r="R39" s="30"/>
      <c r="S39" s="31"/>
    </row>
    <row r="40" spans="1:19" x14ac:dyDescent="0.25">
      <c r="A40" s="74"/>
      <c r="B40" s="3"/>
      <c r="C40" s="3"/>
      <c r="D40" s="3"/>
      <c r="E40" s="3"/>
      <c r="F40" s="3"/>
      <c r="G40" s="3"/>
      <c r="H40" s="3"/>
      <c r="I40" s="3"/>
      <c r="J40" s="81"/>
      <c r="L40" s="27"/>
      <c r="M40" s="28">
        <f>M36*(1+M36)^R36/((1+M36)^R36-1)</f>
        <v>0.25151352643347863</v>
      </c>
      <c r="N40" s="28"/>
      <c r="O40" s="28"/>
      <c r="P40" s="28"/>
      <c r="Q40" s="32"/>
      <c r="R40" s="32"/>
      <c r="S40" s="29"/>
    </row>
    <row r="41" spans="1:19" ht="15.75" thickBot="1" x14ac:dyDescent="0.3">
      <c r="A41" s="74"/>
      <c r="B41" s="3"/>
      <c r="C41" s="3"/>
      <c r="D41" s="3"/>
      <c r="E41" s="3"/>
      <c r="F41" s="3"/>
      <c r="G41" s="3"/>
      <c r="H41" s="3"/>
      <c r="I41" s="28"/>
      <c r="J41" s="29"/>
      <c r="K41" s="28"/>
      <c r="L41" s="27"/>
      <c r="M41" s="28"/>
      <c r="N41" s="28"/>
      <c r="O41" s="28"/>
      <c r="P41" s="28"/>
      <c r="Q41" s="28"/>
      <c r="R41" s="28"/>
      <c r="S41" s="29"/>
    </row>
    <row r="42" spans="1:19" ht="15.75" thickBot="1" x14ac:dyDescent="0.3">
      <c r="A42" s="71"/>
      <c r="B42" s="72"/>
      <c r="C42" s="72"/>
      <c r="D42" s="72"/>
      <c r="E42" s="72"/>
      <c r="F42" s="72"/>
      <c r="G42" s="72"/>
      <c r="H42" s="73" t="s">
        <v>9</v>
      </c>
      <c r="I42" s="97">
        <f>B39*D39</f>
        <v>2354055.9959645998</v>
      </c>
      <c r="J42" s="98"/>
      <c r="K42" s="3"/>
      <c r="L42" s="33"/>
      <c r="M42" s="34"/>
      <c r="N42" s="34"/>
      <c r="O42" s="72"/>
      <c r="P42" s="72"/>
      <c r="Q42" s="73" t="s">
        <v>9</v>
      </c>
      <c r="R42" s="97">
        <f>S36*M40</f>
        <v>5659.0543447532691</v>
      </c>
      <c r="S42" s="98"/>
    </row>
    <row r="43" spans="1:19" ht="15.75" thickBot="1" x14ac:dyDescent="0.3">
      <c r="I43" s="3"/>
      <c r="J43" s="3"/>
      <c r="K43" s="3"/>
      <c r="L43" s="15" t="s">
        <v>5</v>
      </c>
      <c r="S43" s="82"/>
    </row>
    <row r="44" spans="1:19" ht="15.75" thickBot="1" x14ac:dyDescent="0.3">
      <c r="A44" s="68" t="s">
        <v>21</v>
      </c>
      <c r="B44" s="75" t="s">
        <v>54</v>
      </c>
      <c r="C44" s="75" t="s">
        <v>55</v>
      </c>
      <c r="D44" s="75"/>
      <c r="E44" s="75"/>
      <c r="F44" s="75"/>
      <c r="G44" s="69"/>
      <c r="H44" s="69"/>
      <c r="I44" s="69"/>
      <c r="J44" s="70"/>
      <c r="K44" s="3"/>
      <c r="L44" s="23" t="s">
        <v>36</v>
      </c>
      <c r="M44" s="24" t="s">
        <v>78</v>
      </c>
      <c r="N44" s="25"/>
      <c r="O44" s="24"/>
      <c r="P44" s="24"/>
      <c r="Q44" s="24"/>
      <c r="R44" s="24"/>
      <c r="S44" s="26"/>
    </row>
    <row r="45" spans="1:19" ht="15.75" thickBot="1" x14ac:dyDescent="0.3">
      <c r="A45" s="76"/>
      <c r="B45" s="1">
        <v>6.4599999999999996E-3</v>
      </c>
      <c r="C45" s="1"/>
      <c r="D45" s="1"/>
      <c r="E45" s="1"/>
      <c r="F45" s="1"/>
      <c r="G45" s="3"/>
      <c r="H45" s="3"/>
      <c r="I45" s="3"/>
      <c r="J45" s="81"/>
      <c r="K45" s="3"/>
      <c r="L45" s="27"/>
      <c r="M45" s="28" t="s">
        <v>79</v>
      </c>
      <c r="N45" s="28" t="s">
        <v>60</v>
      </c>
      <c r="O45" s="28" t="s">
        <v>80</v>
      </c>
      <c r="P45" s="28"/>
      <c r="Q45" s="28"/>
      <c r="R45" s="28"/>
      <c r="S45" s="29"/>
    </row>
    <row r="46" spans="1:19" ht="15.75" thickBot="1" x14ac:dyDescent="0.3">
      <c r="A46" s="77"/>
      <c r="B46" s="78"/>
      <c r="C46" s="78"/>
      <c r="D46" s="78"/>
      <c r="E46" s="72"/>
      <c r="F46" s="72"/>
      <c r="G46" s="72"/>
      <c r="H46" s="73" t="s">
        <v>9</v>
      </c>
      <c r="I46" s="97">
        <f>I42*B45</f>
        <v>15207.201733931313</v>
      </c>
      <c r="J46" s="98"/>
      <c r="K46" s="3"/>
      <c r="L46" s="27"/>
      <c r="M46" s="28">
        <f>8</f>
        <v>8</v>
      </c>
      <c r="N46" s="96">
        <v>0.11</v>
      </c>
      <c r="O46" s="28"/>
      <c r="P46" s="28"/>
      <c r="Q46" s="28"/>
      <c r="R46" s="28"/>
      <c r="S46" s="29"/>
    </row>
    <row r="47" spans="1:19" ht="15.75" thickBot="1" x14ac:dyDescent="0.3">
      <c r="I47" s="3"/>
      <c r="J47" s="3"/>
      <c r="L47" s="27"/>
      <c r="M47" s="28"/>
      <c r="N47" s="28"/>
      <c r="O47" s="28"/>
      <c r="P47" s="28"/>
      <c r="Q47" s="28"/>
      <c r="R47" s="28"/>
      <c r="S47" s="29"/>
    </row>
    <row r="48" spans="1:19" ht="15.75" thickBot="1" x14ac:dyDescent="0.3">
      <c r="A48" s="68" t="s">
        <v>22</v>
      </c>
      <c r="B48" s="69" t="s">
        <v>57</v>
      </c>
      <c r="C48" s="69" t="s">
        <v>58</v>
      </c>
      <c r="D48" s="69"/>
      <c r="E48" s="69"/>
      <c r="F48" s="69"/>
      <c r="G48" s="69"/>
      <c r="H48" s="69"/>
      <c r="I48" s="69"/>
      <c r="J48" s="70"/>
      <c r="L48" s="27"/>
      <c r="M48" s="28"/>
      <c r="N48" s="28"/>
      <c r="O48" s="28"/>
      <c r="P48" s="28"/>
      <c r="Q48" s="30"/>
      <c r="R48" s="30"/>
      <c r="S48" s="31"/>
    </row>
    <row r="49" spans="1:19" ht="15.75" thickBot="1" x14ac:dyDescent="0.3">
      <c r="A49" s="74"/>
      <c r="B49" s="3">
        <v>9.7220000000000001E-2</v>
      </c>
      <c r="C49" s="3"/>
      <c r="D49" s="3"/>
      <c r="E49" s="3"/>
      <c r="F49" s="3"/>
      <c r="G49" s="3"/>
      <c r="H49" s="3"/>
      <c r="I49" s="3"/>
      <c r="J49" s="81"/>
      <c r="L49" s="33"/>
      <c r="M49" s="34"/>
      <c r="N49" s="34"/>
      <c r="O49" s="34"/>
      <c r="P49" s="34"/>
      <c r="Q49" s="73" t="s">
        <v>9</v>
      </c>
      <c r="R49" s="97"/>
      <c r="S49" s="98"/>
    </row>
    <row r="50" spans="1:19" x14ac:dyDescent="0.25">
      <c r="A50" s="74"/>
      <c r="B50" s="3"/>
      <c r="C50" s="3"/>
      <c r="D50" s="3"/>
      <c r="E50" s="3"/>
      <c r="F50" s="3"/>
      <c r="G50" s="3"/>
      <c r="H50" s="3"/>
      <c r="I50" s="3"/>
      <c r="J50" s="81"/>
      <c r="L50" s="28"/>
      <c r="M50" s="28"/>
      <c r="N50" s="28"/>
      <c r="O50" s="28"/>
      <c r="P50" s="28"/>
      <c r="Q50" s="28"/>
      <c r="R50" s="28"/>
      <c r="S50" s="28"/>
    </row>
    <row r="51" spans="1:19" ht="15.75" thickBot="1" x14ac:dyDescent="0.3">
      <c r="A51" s="74"/>
      <c r="B51" s="3"/>
      <c r="C51" s="3"/>
      <c r="D51" s="3"/>
      <c r="E51" s="3"/>
      <c r="F51" s="3"/>
      <c r="G51" s="3"/>
      <c r="H51" s="3"/>
      <c r="I51" s="3"/>
      <c r="J51" s="81"/>
      <c r="L51" s="3"/>
      <c r="M51" s="3"/>
      <c r="N51" s="3"/>
      <c r="O51" s="3"/>
      <c r="P51" s="3"/>
    </row>
    <row r="52" spans="1:19" ht="15.75" thickBot="1" x14ac:dyDescent="0.3">
      <c r="A52" s="71"/>
      <c r="B52" s="72"/>
      <c r="C52" s="72"/>
      <c r="D52" s="72"/>
      <c r="E52" s="72"/>
      <c r="F52" s="72"/>
      <c r="G52" s="72"/>
      <c r="H52" s="73" t="s">
        <v>9</v>
      </c>
      <c r="I52" s="97">
        <f>I42*B49</f>
        <v>228861.3239276784</v>
      </c>
      <c r="J52" s="98"/>
      <c r="L52" s="3"/>
      <c r="M52" s="3"/>
      <c r="N52" s="3"/>
      <c r="O52" s="3"/>
      <c r="P52" s="3"/>
    </row>
    <row r="53" spans="1:19" ht="15.75" thickBot="1" x14ac:dyDescent="0.3">
      <c r="I53" s="3"/>
      <c r="J53" s="3"/>
      <c r="L53" s="3"/>
      <c r="M53" s="3"/>
      <c r="N53" s="3"/>
      <c r="O53" s="3"/>
      <c r="P53" s="3"/>
    </row>
    <row r="54" spans="1:19" x14ac:dyDescent="0.25">
      <c r="A54" s="68" t="s">
        <v>45</v>
      </c>
      <c r="B54" s="69" t="s">
        <v>60</v>
      </c>
      <c r="C54" s="69" t="s">
        <v>61</v>
      </c>
      <c r="D54" s="69" t="s">
        <v>62</v>
      </c>
      <c r="E54" s="69" t="s">
        <v>63</v>
      </c>
      <c r="F54" s="69"/>
      <c r="G54" s="69"/>
      <c r="H54" s="69"/>
      <c r="I54" s="69"/>
      <c r="J54" s="70"/>
      <c r="L54" s="3"/>
      <c r="M54" s="3"/>
      <c r="N54" s="3"/>
      <c r="O54" s="3"/>
      <c r="P54" s="3"/>
    </row>
    <row r="55" spans="1:19" x14ac:dyDescent="0.25">
      <c r="A55" s="74" t="s">
        <v>59</v>
      </c>
      <c r="B55" s="3">
        <v>0.06</v>
      </c>
      <c r="C55" s="3">
        <v>0.03</v>
      </c>
      <c r="D55" s="3">
        <v>40</v>
      </c>
      <c r="E55" s="3">
        <v>75000</v>
      </c>
      <c r="F55" s="3"/>
      <c r="G55" s="3"/>
      <c r="H55" s="3"/>
      <c r="I55" s="3"/>
      <c r="J55" s="81"/>
      <c r="L55" s="3"/>
      <c r="M55" s="3"/>
      <c r="N55" s="3"/>
      <c r="O55" s="3"/>
      <c r="P55" s="3"/>
    </row>
    <row r="56" spans="1:19" ht="15.95" customHeight="1" x14ac:dyDescent="0.25">
      <c r="A56" s="74"/>
      <c r="B56" s="3" t="s">
        <v>64</v>
      </c>
      <c r="C56" s="3"/>
      <c r="D56" s="3"/>
      <c r="E56" s="3"/>
      <c r="F56" s="3"/>
      <c r="G56" s="3"/>
      <c r="H56" s="3"/>
      <c r="I56" s="3"/>
      <c r="J56" s="81"/>
      <c r="L56" s="3"/>
      <c r="O56" s="79"/>
      <c r="P56" s="80">
        <f ca="1">NOW()</f>
        <v>43614.816601273145</v>
      </c>
      <c r="Q56" s="99">
        <f ca="1">NOW()</f>
        <v>43614.816601273145</v>
      </c>
      <c r="R56" s="99"/>
      <c r="S56" s="99"/>
    </row>
    <row r="57" spans="1:19" ht="15.75" thickBot="1" x14ac:dyDescent="0.3">
      <c r="A57" s="74"/>
      <c r="B57" s="3"/>
      <c r="C57" s="3"/>
      <c r="D57" s="3"/>
      <c r="E57" s="3"/>
      <c r="F57" s="3"/>
      <c r="G57" s="3"/>
      <c r="H57" s="3"/>
      <c r="I57" s="3"/>
      <c r="J57" s="81"/>
    </row>
    <row r="58" spans="1:19" ht="15.75" thickBot="1" x14ac:dyDescent="0.3">
      <c r="A58" s="71"/>
      <c r="B58" s="72"/>
      <c r="C58" s="72"/>
      <c r="D58" s="72"/>
      <c r="E58" s="72"/>
      <c r="F58" s="72"/>
      <c r="G58" s="72"/>
      <c r="H58" s="73" t="s">
        <v>9</v>
      </c>
      <c r="I58" s="97">
        <f>E55*((1-((1+C55)/(1+B55))^D55)/(B55-C55))</f>
        <v>1707143.8736850636</v>
      </c>
      <c r="J58" s="98"/>
    </row>
    <row r="77" ht="87" customHeight="1" x14ac:dyDescent="0.25"/>
    <row r="78" ht="83.1" customHeight="1" x14ac:dyDescent="0.25"/>
  </sheetData>
  <mergeCells count="36">
    <mergeCell ref="C30:D30"/>
    <mergeCell ref="C31:D31"/>
    <mergeCell ref="H1:I1"/>
    <mergeCell ref="H2:I2"/>
    <mergeCell ref="H3:I3"/>
    <mergeCell ref="Q15:Q16"/>
    <mergeCell ref="L2:M2"/>
    <mergeCell ref="B1:C1"/>
    <mergeCell ref="E1:F1"/>
    <mergeCell ref="B2:C2"/>
    <mergeCell ref="E2:F2"/>
    <mergeCell ref="B3:C3"/>
    <mergeCell ref="E3:F3"/>
    <mergeCell ref="I58:J58"/>
    <mergeCell ref="S15:S16"/>
    <mergeCell ref="L21:L22"/>
    <mergeCell ref="M21:M22"/>
    <mergeCell ref="N21:N22"/>
    <mergeCell ref="O21:O22"/>
    <mergeCell ref="P21:P22"/>
    <mergeCell ref="Q21:Q22"/>
    <mergeCell ref="R21:R22"/>
    <mergeCell ref="S21:S22"/>
    <mergeCell ref="L15:L16"/>
    <mergeCell ref="N15:N16"/>
    <mergeCell ref="M15:M16"/>
    <mergeCell ref="O15:O16"/>
    <mergeCell ref="R15:R16"/>
    <mergeCell ref="P15:P16"/>
    <mergeCell ref="R49:S49"/>
    <mergeCell ref="R42:S42"/>
    <mergeCell ref="Q56:S56"/>
    <mergeCell ref="I36:J36"/>
    <mergeCell ref="I42:J42"/>
    <mergeCell ref="I46:J46"/>
    <mergeCell ref="I52:J52"/>
  </mergeCells>
  <phoneticPr fontId="2" type="noConversion"/>
  <pageMargins left="0.75" right="0.75" top="0.26250000000000001" bottom="1" header="0.5" footer="0.5"/>
  <pageSetup paperSize="9" scale="70" orientation="portrait" r:id="rId1"/>
  <headerFooter scaleWithDoc="0" alignWithMargins="0"/>
  <extLst>
    <ext xmlns:mx="http://schemas.microsoft.com/office/mac/excel/2008/main" uri="{64002731-A6B0-56B0-2670-7721B7C09600}">
      <mx:PLV Mode="1" OnePage="0" WScale="7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.75" x14ac:dyDescent="0.25"/>
  <sheetData>
    <row r="1" spans="1:1" ht="31.5" x14ac:dyDescent="0.5">
      <c r="A1" s="35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Lab</vt:lpstr>
      <vt:lpstr>Calcul perso</vt:lpstr>
    </vt:vector>
  </TitlesOfParts>
  <Company>cabinet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RAMDANI hassan</dc:creator>
  <cp:lastModifiedBy>Maya Salloum</cp:lastModifiedBy>
  <cp:lastPrinted>2019-05-23T01:58:28Z</cp:lastPrinted>
  <dcterms:created xsi:type="dcterms:W3CDTF">2019-02-08T17:30:38Z</dcterms:created>
  <dcterms:modified xsi:type="dcterms:W3CDTF">2019-05-29T23:35:56Z</dcterms:modified>
</cp:coreProperties>
</file>