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SSH3201\Labos\"/>
    </mc:Choice>
  </mc:AlternateContent>
  <bookViews>
    <workbookView xWindow="0" yWindow="0" windowWidth="28800" windowHeight="12330" tabRatio="954"/>
  </bookViews>
  <sheets>
    <sheet name="Modèle" sheetId="97" r:id="rId1"/>
    <sheet name="Calcul perso" sheetId="98" r:id="rId2"/>
  </sheets>
  <calcPr calcId="162913" iterate="1" iterateCount="1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4" i="97" l="1"/>
  <c r="D114" i="97"/>
  <c r="C114" i="97"/>
  <c r="E113" i="97"/>
  <c r="D113" i="97"/>
  <c r="C113" i="97"/>
  <c r="E112" i="97"/>
  <c r="D112" i="97"/>
  <c r="C112" i="97"/>
  <c r="B98" i="97"/>
  <c r="C89" i="97"/>
  <c r="G87" i="97"/>
  <c r="F87" i="97"/>
  <c r="E86" i="97"/>
  <c r="H63" i="97"/>
  <c r="D55" i="97"/>
  <c r="E54" i="97"/>
  <c r="E53" i="97"/>
  <c r="D52" i="97"/>
  <c r="D50" i="97"/>
  <c r="F48" i="97"/>
  <c r="E48" i="97"/>
  <c r="C38" i="97"/>
  <c r="D37" i="97"/>
  <c r="I36" i="97"/>
  <c r="H36" i="97"/>
  <c r="G36" i="97"/>
  <c r="F36" i="97"/>
  <c r="E36" i="97"/>
  <c r="D36" i="97"/>
  <c r="D35" i="97"/>
  <c r="I33" i="97"/>
  <c r="I32" i="97"/>
  <c r="I31" i="97"/>
  <c r="I30" i="97"/>
  <c r="I35" i="97"/>
  <c r="H35" i="97"/>
  <c r="E35" i="97"/>
  <c r="E21" i="97"/>
  <c r="B20" i="98"/>
  <c r="B19" i="98"/>
  <c r="B18" i="98"/>
  <c r="B17" i="98"/>
  <c r="B16" i="98"/>
  <c r="B15" i="98"/>
  <c r="B14" i="98"/>
  <c r="B13" i="98"/>
  <c r="B12" i="98"/>
  <c r="B11" i="98"/>
  <c r="E19" i="97"/>
  <c r="I24" i="97"/>
  <c r="I18" i="97"/>
  <c r="H18" i="97"/>
  <c r="G18" i="97"/>
  <c r="F18" i="97"/>
  <c r="E18" i="97"/>
  <c r="I17" i="97"/>
  <c r="H17" i="97"/>
  <c r="G17" i="97"/>
  <c r="F17" i="97"/>
  <c r="E17" i="97"/>
  <c r="C17" i="97"/>
  <c r="I16" i="97"/>
  <c r="H16" i="97"/>
  <c r="G16" i="97"/>
  <c r="F16" i="97"/>
  <c r="E16" i="97"/>
  <c r="I11" i="97"/>
  <c r="G11" i="97"/>
  <c r="F11" i="97"/>
  <c r="F19" i="97"/>
  <c r="G19" i="97" s="1"/>
  <c r="H19" i="97" s="1"/>
  <c r="I19" i="97" s="1"/>
  <c r="E24" i="97"/>
  <c r="F108" i="97"/>
  <c r="C117" i="97"/>
  <c r="F114" i="97"/>
  <c r="F113" i="97"/>
  <c r="F112" i="97"/>
  <c r="F109" i="97"/>
  <c r="F110" i="97"/>
  <c r="C90" i="97"/>
  <c r="D87" i="97"/>
  <c r="C86" i="97"/>
  <c r="G53" i="97"/>
  <c r="I53" i="97"/>
  <c r="H53" i="97"/>
  <c r="F53" i="97"/>
  <c r="D53" i="97"/>
  <c r="I48" i="97"/>
  <c r="H48" i="97"/>
  <c r="G48" i="97"/>
  <c r="D48" i="97"/>
  <c r="E44" i="97"/>
  <c r="F44" i="97"/>
  <c r="G44" i="97"/>
  <c r="H44" i="97"/>
  <c r="I44" i="97"/>
  <c r="D44" i="97"/>
  <c r="I13" i="97"/>
  <c r="H13" i="97"/>
  <c r="G13" i="97"/>
  <c r="F13" i="97"/>
  <c r="E13" i="97"/>
  <c r="D13" i="97"/>
  <c r="G12" i="97"/>
  <c r="F12" i="97"/>
  <c r="I26" i="97"/>
  <c r="B21" i="98"/>
  <c r="H26" i="97"/>
  <c r="G26" i="97"/>
  <c r="F26" i="97"/>
  <c r="E26" i="97"/>
  <c r="C7" i="98"/>
  <c r="E25" i="97"/>
  <c r="F25" i="97" s="1"/>
  <c r="G25" i="97" s="1"/>
  <c r="H25" i="97" s="1"/>
  <c r="I25" i="97" s="1"/>
  <c r="F24" i="97"/>
  <c r="G24" i="97" s="1"/>
  <c r="H24" i="97" s="1"/>
  <c r="C18" i="97"/>
  <c r="D18" i="97" s="1"/>
  <c r="D16" i="97"/>
  <c r="D12" i="97"/>
  <c r="D43" i="97" l="1"/>
  <c r="D45" i="97"/>
  <c r="D47" i="97"/>
  <c r="D54" i="97"/>
  <c r="D49" i="97"/>
  <c r="F21" i="97"/>
  <c r="F35" i="97" s="1"/>
  <c r="F43" i="97" s="1"/>
  <c r="D21" i="97"/>
  <c r="G21" i="97"/>
  <c r="G35" i="97" s="1"/>
  <c r="G43" i="97" s="1"/>
  <c r="H11" i="97"/>
  <c r="E12" i="97"/>
  <c r="D17" i="97"/>
  <c r="E43" i="97"/>
  <c r="F69" i="97"/>
  <c r="E69" i="97"/>
  <c r="G52" i="97" l="1"/>
  <c r="G54" i="97" s="1"/>
  <c r="G47" i="97"/>
  <c r="G49" i="97" s="1"/>
  <c r="G37" i="97"/>
  <c r="G45" i="97" s="1"/>
  <c r="E52" i="97"/>
  <c r="E47" i="97"/>
  <c r="E49" i="97" s="1"/>
  <c r="E37" i="97"/>
  <c r="E45" i="97" s="1"/>
  <c r="F47" i="97"/>
  <c r="F49" i="97" s="1"/>
  <c r="F52" i="97"/>
  <c r="F54" i="97" s="1"/>
  <c r="F37" i="97"/>
  <c r="H21" i="97"/>
  <c r="H43" i="97" s="1"/>
  <c r="I74" i="97"/>
  <c r="I75" i="97"/>
  <c r="G74" i="97"/>
  <c r="G75" i="97"/>
  <c r="D74" i="97"/>
  <c r="D75" i="97"/>
  <c r="B74" i="97"/>
  <c r="B75" i="97"/>
  <c r="D73" i="97"/>
  <c r="B73" i="97"/>
  <c r="I73" i="97"/>
  <c r="G73" i="97"/>
  <c r="H52" i="97" l="1"/>
  <c r="H54" i="97" s="1"/>
  <c r="H47" i="97"/>
  <c r="H49" i="97" s="1"/>
  <c r="H37" i="97"/>
  <c r="H45" i="97" s="1"/>
  <c r="F45" i="97"/>
  <c r="H12" i="97" l="1"/>
  <c r="I21" i="97"/>
  <c r="I52" i="97" l="1"/>
  <c r="I54" i="97" s="1"/>
  <c r="I12" i="97"/>
  <c r="I37" i="97" l="1"/>
  <c r="I45" i="97" s="1"/>
  <c r="I43" i="97"/>
  <c r="I47" i="97"/>
  <c r="I49" i="97" s="1"/>
</calcChain>
</file>

<file path=xl/sharedStrings.xml><?xml version="1.0" encoding="utf-8"?>
<sst xmlns="http://schemas.openxmlformats.org/spreadsheetml/2006/main" count="127" uniqueCount="89">
  <si>
    <t>Flux monétaires</t>
  </si>
  <si>
    <t>Facteur d'actualisation</t>
  </si>
  <si>
    <t>Flux monétaires actualisés</t>
  </si>
  <si>
    <t>Valeur actuelle nette</t>
  </si>
  <si>
    <t xml:space="preserve">Année </t>
  </si>
  <si>
    <t>Flux monétaires nets d'exploitation</t>
  </si>
  <si>
    <t>Coûts</t>
  </si>
  <si>
    <t>Coût totaux</t>
  </si>
  <si>
    <t>Produits des ventes</t>
  </si>
  <si>
    <t>DATA</t>
  </si>
  <si>
    <t>Ventes en unité</t>
  </si>
  <si>
    <t>Matricule</t>
  </si>
  <si>
    <t>Gr.</t>
  </si>
  <si>
    <t>NOM :</t>
  </si>
  <si>
    <t>Prén. :</t>
  </si>
  <si>
    <t>TRI par interpolation</t>
  </si>
  <si>
    <t>TRI (%)</t>
  </si>
  <si>
    <t>Prix de vente unitaire ($/u)</t>
  </si>
  <si>
    <t>Méthodes d'analyse des projets AVANT impôt</t>
  </si>
  <si>
    <t>Valeurs de récupération</t>
  </si>
  <si>
    <t>Q1.1)</t>
  </si>
  <si>
    <t>Q1.2)</t>
  </si>
  <si>
    <t>Q2)</t>
  </si>
  <si>
    <t>TRIM</t>
  </si>
  <si>
    <t>Taux de réinvestissement</t>
  </si>
  <si>
    <t>Taux d'emprunt</t>
  </si>
  <si>
    <t>Année</t>
  </si>
  <si>
    <t>TRIM (%)</t>
  </si>
  <si>
    <t>Q3)</t>
  </si>
  <si>
    <t>P</t>
  </si>
  <si>
    <t>an 1</t>
  </si>
  <si>
    <t>an 2</t>
  </si>
  <si>
    <t>TRI</t>
  </si>
  <si>
    <t>TRAM</t>
  </si>
  <si>
    <t>TRI(%)</t>
  </si>
  <si>
    <t>Recommandation</t>
  </si>
  <si>
    <t>Moulay Vincent HUARD</t>
  </si>
  <si>
    <t>Comparaison de projets à l'aide du TRI</t>
  </si>
  <si>
    <t>VAN avant impôt</t>
  </si>
  <si>
    <t>Investissements</t>
  </si>
  <si>
    <t>Calcul, questionnement et notes</t>
  </si>
  <si>
    <t>Lab 5</t>
  </si>
  <si>
    <t>Salloum</t>
  </si>
  <si>
    <t>Maya</t>
  </si>
  <si>
    <t>Rami Yahyaoui</t>
  </si>
  <si>
    <t>Kenza</t>
  </si>
  <si>
    <t>Plan d'affaire détaillé</t>
  </si>
  <si>
    <t>Matière première (MP)</t>
  </si>
  <si>
    <t>Frais généraux (FG)</t>
  </si>
  <si>
    <t>Autres frais</t>
  </si>
  <si>
    <t>Publicité</t>
  </si>
  <si>
    <t>Terrain</t>
  </si>
  <si>
    <t>Équipements</t>
  </si>
  <si>
    <t>Immeuble+entrepôts</t>
  </si>
  <si>
    <t>n=5</t>
  </si>
  <si>
    <t>D</t>
  </si>
  <si>
    <t>Amortissement dégressif à taux constant</t>
  </si>
  <si>
    <t>d=1-(20000/163400)^(1/11)</t>
  </si>
  <si>
    <t>R</t>
  </si>
  <si>
    <t>n=11</t>
  </si>
  <si>
    <t>d</t>
  </si>
  <si>
    <t>D1</t>
  </si>
  <si>
    <t>Année 2</t>
  </si>
  <si>
    <t>Année 3</t>
  </si>
  <si>
    <t>D2</t>
  </si>
  <si>
    <t>D3</t>
  </si>
  <si>
    <t>Année 4</t>
  </si>
  <si>
    <t>D4</t>
  </si>
  <si>
    <t>Année 5</t>
  </si>
  <si>
    <t>Immeuble avec entrepôts</t>
  </si>
  <si>
    <t>Année 1</t>
  </si>
  <si>
    <t>D5</t>
  </si>
  <si>
    <t>Recettes</t>
  </si>
  <si>
    <t>Facteur de capitalisation</t>
  </si>
  <si>
    <t>MF</t>
  </si>
  <si>
    <t>MP</t>
  </si>
  <si>
    <t>TRIM&gt;TRAM ==&gt; Justifié</t>
  </si>
  <si>
    <t>A</t>
  </si>
  <si>
    <t>B</t>
  </si>
  <si>
    <t>C</t>
  </si>
  <si>
    <t>A-C</t>
  </si>
  <si>
    <t>A-B</t>
  </si>
  <si>
    <t>B-C</t>
  </si>
  <si>
    <t>Analyse différentielle</t>
  </si>
  <si>
    <t>1. Tous les TRI &gt; TRAM 2. A et B investissement le plus bas. Ensuite C</t>
  </si>
  <si>
    <t>Étape 3</t>
  </si>
  <si>
    <t>Main d'œuvre (MOD)</t>
  </si>
  <si>
    <t>Inventaire de pièces</t>
  </si>
  <si>
    <t>Inventaires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</si>
</sst>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\ _€_-;\-* #,##0.00\ _€_-;_-* &quot;-&quot;??\ _€_-;_-@_-"/>
    <numFmt numFmtId="164" formatCode="_ * #,##0.00_)\ &quot;$&quot;_ ;_ * \(#,##0.00\)\ &quot;$&quot;_ ;_ * &quot;-&quot;??_)\ &quot;$&quot;_ ;_ @_ "/>
    <numFmt numFmtId="165" formatCode="#,##0\ &quot;$&quot;_-;[Red]#,##0\ &quot;$&quot;\-"/>
    <numFmt numFmtId="166" formatCode="_-* #,##0.00\ &quot;$&quot;_-;_-* #,##0.00\ &quot;$&quot;\-;_-* &quot;-&quot;??\ &quot;$&quot;_-;_-@_-"/>
    <numFmt numFmtId="167" formatCode="#,##0\ &quot;$&quot;_-"/>
    <numFmt numFmtId="168" formatCode="0.0000"/>
    <numFmt numFmtId="169" formatCode="_ * #,##0_)\ &quot;$&quot;_ ;_ * \(#,##0\)\ &quot;$&quot;_ ;_ * &quot;-&quot;??_)\ &quot;$&quot;_ ;_ @_ "/>
    <numFmt numFmtId="170" formatCode="#,##0&quot; $/u&quot;"/>
    <numFmt numFmtId="171" formatCode="_-* #,##0\ &quot;$&quot;_-;_-* #,##0\ &quot;$&quot;\-;_-* &quot;-&quot;??\ &quot;$&quot;_-;_-@_-"/>
    <numFmt numFmtId="172" formatCode="h&quot; h &quot;mm;@"/>
    <numFmt numFmtId="173" formatCode="[$-F800]dddd\,\ mmmm\ dd\,\ yyyy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8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9" fontId="0" fillId="0" borderId="0" xfId="0" applyNumberFormat="1" applyFont="1" applyBorder="1"/>
    <xf numFmtId="169" fontId="0" fillId="0" borderId="0" xfId="0" applyNumberFormat="1" applyFont="1" applyFill="1" applyBorder="1"/>
    <xf numFmtId="169" fontId="0" fillId="0" borderId="1" xfId="0" applyNumberFormat="1" applyFont="1" applyFill="1" applyBorder="1"/>
    <xf numFmtId="169" fontId="0" fillId="0" borderId="4" xfId="0" applyNumberFormat="1" applyFont="1" applyFill="1" applyBorder="1"/>
    <xf numFmtId="169" fontId="6" fillId="0" borderId="0" xfId="0" applyNumberFormat="1" applyFont="1" applyFill="1" applyBorder="1"/>
    <xf numFmtId="169" fontId="3" fillId="0" borderId="1" xfId="0" applyNumberFormat="1" applyFont="1" applyFill="1" applyBorder="1" applyAlignment="1">
      <alignment horizontal="center"/>
    </xf>
    <xf numFmtId="9" fontId="0" fillId="0" borderId="0" xfId="0" applyNumberFormat="1" applyFont="1" applyBorder="1"/>
    <xf numFmtId="10" fontId="0" fillId="0" borderId="0" xfId="0" applyNumberFormat="1" applyFont="1" applyBorder="1"/>
    <xf numFmtId="0" fontId="0" fillId="0" borderId="0" xfId="0" applyNumberFormat="1" applyFont="1" applyAlignment="1">
      <alignment horizontal="center"/>
    </xf>
    <xf numFmtId="0" fontId="3" fillId="0" borderId="9" xfId="0" applyFont="1" applyBorder="1"/>
    <xf numFmtId="9" fontId="0" fillId="3" borderId="12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165" fontId="0" fillId="3" borderId="12" xfId="0" applyNumberFormat="1" applyFont="1" applyFill="1" applyBorder="1" applyAlignment="1">
      <alignment horizontal="center"/>
    </xf>
    <xf numFmtId="165" fontId="0" fillId="3" borderId="11" xfId="0" applyNumberFormat="1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167" fontId="0" fillId="3" borderId="10" xfId="0" applyNumberFormat="1" applyFont="1" applyFill="1" applyBorder="1" applyAlignment="1">
      <alignment horizontal="center"/>
    </xf>
    <xf numFmtId="10" fontId="0" fillId="3" borderId="1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49" fontId="7" fillId="0" borderId="6" xfId="0" applyNumberFormat="1" applyFont="1" applyBorder="1" applyAlignment="1"/>
    <xf numFmtId="49" fontId="8" fillId="0" borderId="6" xfId="0" applyNumberFormat="1" applyFont="1" applyBorder="1"/>
    <xf numFmtId="49" fontId="10" fillId="0" borderId="9" xfId="0" applyNumberFormat="1" applyFont="1" applyBorder="1"/>
    <xf numFmtId="0" fontId="9" fillId="0" borderId="9" xfId="0" applyFont="1" applyBorder="1"/>
    <xf numFmtId="0" fontId="7" fillId="0" borderId="9" xfId="0" applyFont="1" applyBorder="1" applyAlignment="1">
      <alignment horizontal="right"/>
    </xf>
    <xf numFmtId="49" fontId="10" fillId="0" borderId="0" xfId="0" applyNumberFormat="1" applyFont="1" applyBorder="1" applyAlignment="1"/>
    <xf numFmtId="0" fontId="9" fillId="0" borderId="0" xfId="0" applyFont="1" applyBorder="1"/>
    <xf numFmtId="49" fontId="9" fillId="0" borderId="0" xfId="0" applyNumberFormat="1" applyFont="1" applyBorder="1"/>
    <xf numFmtId="49" fontId="9" fillId="0" borderId="0" xfId="0" applyNumberFormat="1" applyFont="1" applyBorder="1" applyAlignme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0" borderId="9" xfId="0" applyNumberFormat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7" fillId="0" borderId="0" xfId="0" applyFont="1"/>
    <xf numFmtId="0" fontId="10" fillId="0" borderId="19" xfId="0" applyFont="1" applyBorder="1"/>
    <xf numFmtId="0" fontId="9" fillId="0" borderId="0" xfId="0" applyFont="1" applyBorder="1" applyAlignment="1">
      <alignment horizontal="center"/>
    </xf>
    <xf numFmtId="0" fontId="9" fillId="0" borderId="18" xfId="0" applyFont="1" applyBorder="1"/>
    <xf numFmtId="0" fontId="9" fillId="0" borderId="19" xfId="0" applyFont="1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0" xfId="0" applyFont="1" applyBorder="1"/>
    <xf numFmtId="0" fontId="9" fillId="0" borderId="16" xfId="0" applyFont="1" applyBorder="1"/>
    <xf numFmtId="0" fontId="9" fillId="0" borderId="13" xfId="0" applyFont="1" applyBorder="1"/>
    <xf numFmtId="0" fontId="9" fillId="0" borderId="17" xfId="0" applyFont="1" applyBorder="1"/>
    <xf numFmtId="0" fontId="10" fillId="0" borderId="17" xfId="0" applyFont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7" fillId="0" borderId="19" xfId="0" applyFont="1" applyBorder="1"/>
    <xf numFmtId="9" fontId="7" fillId="0" borderId="0" xfId="2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49" fontId="12" fillId="0" borderId="0" xfId="0" applyNumberFormat="1" applyFont="1" applyBorder="1" applyAlignment="1">
      <alignment horizontal="right"/>
    </xf>
    <xf numFmtId="169" fontId="0" fillId="0" borderId="29" xfId="0" applyNumberFormat="1" applyFont="1" applyFill="1" applyBorder="1"/>
    <xf numFmtId="169" fontId="0" fillId="0" borderId="18" xfId="0" applyNumberFormat="1" applyFont="1" applyFill="1" applyBorder="1"/>
    <xf numFmtId="169" fontId="0" fillId="0" borderId="31" xfId="0" applyNumberFormat="1" applyFont="1" applyFill="1" applyBorder="1"/>
    <xf numFmtId="169" fontId="6" fillId="0" borderId="18" xfId="0" applyNumberFormat="1" applyFont="1" applyFill="1" applyBorder="1"/>
    <xf numFmtId="169" fontId="0" fillId="0" borderId="18" xfId="1" applyNumberFormat="1" applyFont="1" applyFill="1" applyBorder="1" applyAlignment="1">
      <alignment horizontal="right"/>
    </xf>
    <xf numFmtId="167" fontId="0" fillId="0" borderId="31" xfId="0" applyNumberFormat="1" applyFont="1" applyFill="1" applyBorder="1" applyAlignment="1">
      <alignment horizontal="right"/>
    </xf>
    <xf numFmtId="169" fontId="3" fillId="0" borderId="29" xfId="0" applyNumberFormat="1" applyFont="1" applyFill="1" applyBorder="1" applyAlignment="1">
      <alignment horizontal="center"/>
    </xf>
    <xf numFmtId="9" fontId="0" fillId="3" borderId="32" xfId="0" applyNumberFormat="1" applyFont="1" applyFill="1" applyBorder="1" applyAlignment="1">
      <alignment horizontal="center"/>
    </xf>
    <xf numFmtId="169" fontId="3" fillId="0" borderId="20" xfId="0" applyNumberFormat="1" applyFont="1" applyFill="1" applyBorder="1" applyAlignment="1">
      <alignment horizontal="center"/>
    </xf>
    <xf numFmtId="169" fontId="3" fillId="0" borderId="20" xfId="0" applyNumberFormat="1" applyFont="1" applyFill="1" applyBorder="1"/>
    <xf numFmtId="169" fontId="3" fillId="0" borderId="16" xfId="0" applyNumberFormat="1" applyFont="1" applyFill="1" applyBorder="1"/>
    <xf numFmtId="0" fontId="3" fillId="3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8" fillId="0" borderId="6" xfId="0" applyNumberFormat="1" applyFont="1" applyBorder="1"/>
    <xf numFmtId="9" fontId="0" fillId="3" borderId="10" xfId="2" applyFont="1" applyFill="1" applyBorder="1" applyAlignment="1">
      <alignment horizontal="center"/>
    </xf>
    <xf numFmtId="9" fontId="0" fillId="3" borderId="12" xfId="2" applyFont="1" applyFill="1" applyBorder="1" applyAlignment="1">
      <alignment horizontal="center"/>
    </xf>
    <xf numFmtId="9" fontId="0" fillId="3" borderId="11" xfId="2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0" fontId="9" fillId="0" borderId="24" xfId="2" applyNumberFormat="1" applyFont="1" applyBorder="1"/>
    <xf numFmtId="10" fontId="9" fillId="0" borderId="25" xfId="2" applyNumberFormat="1" applyFont="1" applyBorder="1"/>
    <xf numFmtId="0" fontId="0" fillId="3" borderId="0" xfId="0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170" fontId="0" fillId="3" borderId="4" xfId="1" applyNumberFormat="1" applyFont="1" applyFill="1" applyBorder="1" applyAlignment="1">
      <alignment horizontal="center"/>
    </xf>
    <xf numFmtId="170" fontId="0" fillId="3" borderId="31" xfId="1" applyNumberFormat="1" applyFont="1" applyFill="1" applyBorder="1" applyAlignment="1">
      <alignment horizontal="center"/>
    </xf>
    <xf numFmtId="169" fontId="9" fillId="0" borderId="0" xfId="1" applyNumberFormat="1" applyFont="1" applyBorder="1" applyAlignment="1">
      <alignment horizontal="center"/>
    </xf>
    <xf numFmtId="169" fontId="9" fillId="0" borderId="0" xfId="1" applyNumberFormat="1" applyFont="1" applyBorder="1"/>
    <xf numFmtId="169" fontId="9" fillId="0" borderId="20" xfId="1" applyNumberFormat="1" applyFont="1" applyBorder="1"/>
    <xf numFmtId="170" fontId="0" fillId="3" borderId="11" xfId="1" applyNumberFormat="1" applyFont="1" applyFill="1" applyBorder="1" applyAlignment="1">
      <alignment horizontal="center"/>
    </xf>
    <xf numFmtId="171" fontId="0" fillId="0" borderId="1" xfId="1" applyNumberFormat="1" applyFont="1" applyFill="1" applyBorder="1" applyAlignment="1">
      <alignment horizontal="center"/>
    </xf>
    <xf numFmtId="171" fontId="0" fillId="0" borderId="0" xfId="1" applyNumberFormat="1" applyFont="1" applyFill="1" applyBorder="1" applyAlignment="1">
      <alignment horizontal="center"/>
    </xf>
    <xf numFmtId="171" fontId="0" fillId="0" borderId="4" xfId="1" applyNumberFormat="1" applyFont="1" applyFill="1" applyBorder="1" applyAlignment="1">
      <alignment horizontal="center"/>
    </xf>
    <xf numFmtId="171" fontId="3" fillId="0" borderId="7" xfId="1" applyNumberFormat="1" applyFont="1" applyFill="1" applyBorder="1" applyAlignment="1">
      <alignment horizontal="center"/>
    </xf>
    <xf numFmtId="171" fontId="0" fillId="0" borderId="0" xfId="1" applyNumberFormat="1" applyFont="1" applyFill="1" applyBorder="1"/>
    <xf numFmtId="171" fontId="0" fillId="0" borderId="0" xfId="1" applyNumberFormat="1" applyFont="1" applyFill="1" applyBorder="1" applyAlignment="1">
      <alignment horizontal="right"/>
    </xf>
    <xf numFmtId="171" fontId="0" fillId="0" borderId="4" xfId="1" applyNumberFormat="1" applyFont="1" applyFill="1" applyBorder="1" applyAlignment="1">
      <alignment horizontal="right"/>
    </xf>
    <xf numFmtId="171" fontId="3" fillId="0" borderId="1" xfId="1" applyNumberFormat="1" applyFont="1" applyFill="1" applyBorder="1" applyAlignment="1">
      <alignment horizontal="center"/>
    </xf>
    <xf numFmtId="0" fontId="13" fillId="0" borderId="0" xfId="0" applyFont="1"/>
    <xf numFmtId="172" fontId="14" fillId="0" borderId="0" xfId="0" applyNumberFormat="1" applyFont="1" applyAlignment="1"/>
    <xf numFmtId="173" fontId="14" fillId="0" borderId="0" xfId="0" applyNumberFormat="1" applyFont="1" applyAlignment="1"/>
    <xf numFmtId="173" fontId="14" fillId="0" borderId="0" xfId="0" applyNumberFormat="1" applyFont="1" applyAlignment="1">
      <alignment horizontal="left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/>
    </xf>
    <xf numFmtId="0" fontId="9" fillId="0" borderId="8" xfId="0" applyNumberFormat="1" applyFont="1" applyBorder="1" applyAlignment="1">
      <alignment horizontal="left"/>
    </xf>
    <xf numFmtId="0" fontId="7" fillId="5" borderId="1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10" fontId="10" fillId="2" borderId="37" xfId="2" applyNumberFormat="1" applyFont="1" applyFill="1" applyBorder="1" applyAlignment="1">
      <alignment horizontal="center" vertical="center"/>
    </xf>
    <xf numFmtId="10" fontId="10" fillId="2" borderId="14" xfId="2" applyNumberFormat="1" applyFont="1" applyFill="1" applyBorder="1" applyAlignment="1">
      <alignment horizontal="center" vertical="center"/>
    </xf>
    <xf numFmtId="10" fontId="10" fillId="2" borderId="38" xfId="2" applyNumberFormat="1" applyFont="1" applyFill="1" applyBorder="1" applyAlignment="1">
      <alignment horizontal="center" vertical="center"/>
    </xf>
    <xf numFmtId="10" fontId="10" fillId="2" borderId="16" xfId="2" applyNumberFormat="1" applyFont="1" applyFill="1" applyBorder="1" applyAlignment="1">
      <alignment horizontal="center" vertical="center"/>
    </xf>
    <xf numFmtId="10" fontId="10" fillId="2" borderId="13" xfId="2" applyNumberFormat="1" applyFont="1" applyFill="1" applyBorder="1" applyAlignment="1">
      <alignment horizontal="center" vertical="center"/>
    </xf>
    <xf numFmtId="10" fontId="10" fillId="2" borderId="15" xfId="2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/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5" borderId="1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69" fontId="3" fillId="2" borderId="35" xfId="0" applyNumberFormat="1" applyFont="1" applyFill="1" applyBorder="1" applyAlignment="1">
      <alignment horizontal="center" vertical="center"/>
    </xf>
    <xf numFmtId="169" fontId="3" fillId="2" borderId="36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49" fontId="9" fillId="0" borderId="6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1" fontId="0" fillId="3" borderId="29" xfId="0" applyNumberFormat="1" applyFont="1" applyFill="1" applyBorder="1" applyAlignment="1">
      <alignment horizontal="center"/>
    </xf>
    <xf numFmtId="165" fontId="1" fillId="3" borderId="12" xfId="0" applyNumberFormat="1" applyFont="1" applyFill="1" applyBorder="1" applyAlignment="1">
      <alignment horizontal="center"/>
    </xf>
    <xf numFmtId="171" fontId="0" fillId="0" borderId="18" xfId="1" applyNumberFormat="1" applyFont="1" applyFill="1" applyBorder="1" applyAlignment="1">
      <alignment horizontal="center"/>
    </xf>
    <xf numFmtId="171" fontId="3" fillId="0" borderId="27" xfId="1" applyNumberFormat="1" applyFont="1" applyFill="1" applyBorder="1" applyAlignment="1">
      <alignment horizontal="center"/>
    </xf>
    <xf numFmtId="0" fontId="1" fillId="0" borderId="0" xfId="0" applyFont="1"/>
    <xf numFmtId="171" fontId="1" fillId="0" borderId="0" xfId="1" applyNumberFormat="1" applyFont="1" applyFill="1" applyBorder="1" applyAlignment="1">
      <alignment horizontal="right"/>
    </xf>
    <xf numFmtId="168" fontId="1" fillId="3" borderId="0" xfId="0" applyNumberFormat="1" applyFont="1" applyFill="1" applyBorder="1" applyAlignment="1">
      <alignment horizontal="center"/>
    </xf>
    <xf numFmtId="168" fontId="1" fillId="3" borderId="18" xfId="0" applyNumberFormat="1" applyFont="1" applyFill="1" applyBorder="1" applyAlignment="1">
      <alignment horizontal="center"/>
    </xf>
    <xf numFmtId="171" fontId="0" fillId="0" borderId="0" xfId="0" applyNumberFormat="1" applyFont="1" applyBorder="1" applyAlignment="1">
      <alignment horizontal="center"/>
    </xf>
    <xf numFmtId="168" fontId="0" fillId="0" borderId="0" xfId="0" applyNumberFormat="1" applyFont="1" applyBorder="1" applyAlignment="1">
      <alignment horizontal="center"/>
    </xf>
    <xf numFmtId="169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171" fontId="0" fillId="0" borderId="14" xfId="0" applyNumberFormat="1" applyFont="1" applyBorder="1" applyAlignment="1">
      <alignment horizontal="center"/>
    </xf>
    <xf numFmtId="168" fontId="0" fillId="0" borderId="18" xfId="0" applyNumberFormat="1" applyFont="1" applyBorder="1" applyAlignment="1">
      <alignment horizontal="center"/>
    </xf>
    <xf numFmtId="169" fontId="0" fillId="0" borderId="18" xfId="0" applyNumberFormat="1" applyFont="1" applyBorder="1" applyAlignment="1">
      <alignment horizontal="center"/>
    </xf>
    <xf numFmtId="0" fontId="0" fillId="0" borderId="18" xfId="0" applyFont="1" applyBorder="1"/>
    <xf numFmtId="171" fontId="0" fillId="0" borderId="18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10" fontId="9" fillId="2" borderId="13" xfId="2" applyNumberFormat="1" applyFont="1" applyFill="1" applyBorder="1" applyAlignment="1">
      <alignment horizontal="center" vertical="center"/>
    </xf>
    <xf numFmtId="10" fontId="9" fillId="2" borderId="14" xfId="2" applyNumberFormat="1" applyFont="1" applyFill="1" applyBorder="1" applyAlignment="1">
      <alignment horizontal="center" vertical="center"/>
    </xf>
    <xf numFmtId="10" fontId="9" fillId="2" borderId="15" xfId="2" applyNumberFormat="1" applyFont="1" applyFill="1" applyBorder="1" applyAlignment="1">
      <alignment horizontal="center" vertical="center"/>
    </xf>
    <xf numFmtId="10" fontId="9" fillId="2" borderId="16" xfId="2" applyNumberFormat="1" applyFont="1" applyFill="1" applyBorder="1" applyAlignment="1">
      <alignment horizontal="center" vertical="center"/>
    </xf>
    <xf numFmtId="9" fontId="10" fillId="0" borderId="0" xfId="0" applyNumberFormat="1" applyFont="1" applyBorder="1" applyAlignment="1">
      <alignment horizontal="center" vertical="center"/>
    </xf>
    <xf numFmtId="10" fontId="9" fillId="0" borderId="0" xfId="0" applyNumberFormat="1" applyFont="1" applyBorder="1"/>
    <xf numFmtId="0" fontId="9" fillId="0" borderId="0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18" xfId="0" applyFont="1" applyBorder="1" applyAlignment="1"/>
    <xf numFmtId="0" fontId="9" fillId="0" borderId="5" xfId="0" applyFont="1" applyBorder="1" applyAlignment="1">
      <alignment horizontal="left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169" fontId="1" fillId="0" borderId="0" xfId="0" applyNumberFormat="1" applyFont="1" applyFill="1" applyBorder="1"/>
    <xf numFmtId="0" fontId="0" fillId="0" borderId="16" xfId="0" applyFont="1" applyBorder="1"/>
  </cellXfs>
  <cellStyles count="283"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Monétaire" xfId="1" builtinId="4"/>
    <cellStyle name="Normal" xfId="0" builtinId="0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abSelected="1" view="pageLayout" topLeftCell="A88" zoomScale="85" zoomScaleNormal="85" zoomScalePageLayoutView="85" workbookViewId="0">
      <selection activeCell="E115" sqref="E115"/>
    </sheetView>
  </sheetViews>
  <sheetFormatPr baseColWidth="10" defaultColWidth="11.42578125" defaultRowHeight="12.75" x14ac:dyDescent="0.2"/>
  <cols>
    <col min="1" max="1" width="8" style="3" customWidth="1"/>
    <col min="2" max="2" width="18.7109375" style="3" customWidth="1"/>
    <col min="3" max="3" width="10.5703125" style="3" customWidth="1"/>
    <col min="4" max="4" width="14.85546875" style="4" customWidth="1"/>
    <col min="5" max="5" width="12.42578125" style="3" customWidth="1"/>
    <col min="6" max="6" width="13.42578125" style="3" customWidth="1"/>
    <col min="7" max="7" width="14.42578125" style="3" customWidth="1"/>
    <col min="8" max="8" width="12.42578125" style="3" bestFit="1" customWidth="1"/>
    <col min="9" max="9" width="13" style="3" bestFit="1" customWidth="1"/>
    <col min="10" max="10" width="13.42578125" style="3" customWidth="1"/>
    <col min="11" max="16384" width="11.42578125" style="3"/>
  </cols>
  <sheetData>
    <row r="1" spans="1:10" ht="15" x14ac:dyDescent="0.25">
      <c r="A1" s="27" t="s">
        <v>13</v>
      </c>
      <c r="B1" s="28" t="s">
        <v>44</v>
      </c>
      <c r="C1" s="17" t="s">
        <v>14</v>
      </c>
      <c r="D1" s="155" t="s">
        <v>45</v>
      </c>
      <c r="E1" s="156"/>
      <c r="F1" s="29" t="s">
        <v>11</v>
      </c>
      <c r="G1" s="30">
        <v>1903555</v>
      </c>
      <c r="H1" s="31" t="s">
        <v>12</v>
      </c>
      <c r="I1" s="30">
        <v>1</v>
      </c>
    </row>
    <row r="2" spans="1:10" ht="12.95" customHeight="1" x14ac:dyDescent="0.25">
      <c r="A2" s="27" t="s">
        <v>13</v>
      </c>
      <c r="B2" s="28" t="s">
        <v>42</v>
      </c>
      <c r="C2" s="17" t="s">
        <v>14</v>
      </c>
      <c r="D2" s="155" t="s">
        <v>43</v>
      </c>
      <c r="E2" s="156"/>
      <c r="F2" s="29" t="s">
        <v>11</v>
      </c>
      <c r="G2" s="30">
        <v>1791189</v>
      </c>
      <c r="H2" s="31" t="s">
        <v>12</v>
      </c>
      <c r="I2" s="30">
        <v>3</v>
      </c>
    </row>
    <row r="3" spans="1:10" ht="12.95" customHeight="1" x14ac:dyDescent="0.25">
      <c r="A3" s="27" t="s">
        <v>13</v>
      </c>
      <c r="B3" s="28"/>
      <c r="C3" s="17" t="s">
        <v>14</v>
      </c>
      <c r="D3" s="155"/>
      <c r="E3" s="156"/>
      <c r="F3" s="29" t="s">
        <v>11</v>
      </c>
      <c r="G3" s="30"/>
      <c r="H3" s="31" t="s">
        <v>12</v>
      </c>
      <c r="I3" s="30"/>
    </row>
    <row r="4" spans="1:10" ht="12.95" customHeight="1" x14ac:dyDescent="0.25">
      <c r="A4" s="32"/>
      <c r="B4" s="32"/>
      <c r="C4" s="33"/>
      <c r="D4" s="34"/>
      <c r="E4" s="35"/>
      <c r="F4" s="36"/>
      <c r="G4" s="36"/>
      <c r="H4" s="36"/>
      <c r="I4" s="36"/>
      <c r="J4" s="36"/>
    </row>
    <row r="5" spans="1:10" ht="15" x14ac:dyDescent="0.25">
      <c r="A5" s="37" t="s">
        <v>41</v>
      </c>
      <c r="B5" s="37"/>
      <c r="C5" s="143" t="s">
        <v>18</v>
      </c>
      <c r="D5" s="143"/>
      <c r="E5" s="143"/>
      <c r="F5" s="143"/>
      <c r="G5" s="143"/>
      <c r="H5" s="143"/>
      <c r="I5" s="143"/>
      <c r="J5" s="36"/>
    </row>
    <row r="6" spans="1:10" ht="15" x14ac:dyDescent="0.25">
      <c r="A6" s="37"/>
      <c r="B6" s="37"/>
      <c r="C6" s="37"/>
      <c r="D6" s="36"/>
      <c r="E6" s="38"/>
      <c r="F6" s="36"/>
      <c r="G6" s="36"/>
      <c r="H6" s="36"/>
      <c r="I6" s="36"/>
      <c r="J6" s="36"/>
    </row>
    <row r="7" spans="1:10" ht="15.75" thickBot="1" x14ac:dyDescent="0.3">
      <c r="A7" s="1" t="s">
        <v>20</v>
      </c>
      <c r="B7" s="37"/>
      <c r="C7" s="37"/>
      <c r="D7" s="36"/>
      <c r="E7" s="38"/>
      <c r="F7" s="36"/>
      <c r="G7" s="36"/>
      <c r="H7" s="36"/>
      <c r="I7" s="36"/>
      <c r="J7" s="36"/>
    </row>
    <row r="8" spans="1:10" ht="14.25" x14ac:dyDescent="0.2">
      <c r="A8" s="105" t="s">
        <v>38</v>
      </c>
      <c r="B8" s="106"/>
      <c r="C8" s="106"/>
      <c r="D8" s="106"/>
      <c r="E8" s="106"/>
      <c r="F8" s="106"/>
      <c r="G8" s="106"/>
      <c r="H8" s="106"/>
      <c r="I8" s="107"/>
      <c r="J8" s="36"/>
    </row>
    <row r="9" spans="1:10" ht="13.5" thickBot="1" x14ac:dyDescent="0.25">
      <c r="A9" s="108"/>
      <c r="B9" s="109"/>
      <c r="C9" s="109"/>
      <c r="D9" s="109"/>
      <c r="E9" s="109"/>
      <c r="F9" s="109"/>
      <c r="G9" s="109"/>
      <c r="H9" s="109"/>
      <c r="I9" s="110"/>
    </row>
    <row r="10" spans="1:10" x14ac:dyDescent="0.2">
      <c r="A10" s="131" t="s">
        <v>4</v>
      </c>
      <c r="B10" s="132"/>
      <c r="C10" s="71" t="s">
        <v>9</v>
      </c>
      <c r="D10" s="72">
        <v>2019</v>
      </c>
      <c r="E10" s="72">
        <v>2020</v>
      </c>
      <c r="F10" s="72">
        <v>2021</v>
      </c>
      <c r="G10" s="72">
        <v>2022</v>
      </c>
      <c r="H10" s="72">
        <v>2023</v>
      </c>
      <c r="I10" s="73">
        <v>2024</v>
      </c>
    </row>
    <row r="11" spans="1:10" x14ac:dyDescent="0.2">
      <c r="A11" s="136" t="s">
        <v>10</v>
      </c>
      <c r="B11" s="135"/>
      <c r="C11" s="18">
        <v>0.02</v>
      </c>
      <c r="D11" s="81">
        <v>0</v>
      </c>
      <c r="E11" s="82">
        <v>195</v>
      </c>
      <c r="F11" s="82">
        <f>E11*($C$11+1)</f>
        <v>198.9</v>
      </c>
      <c r="G11" s="82">
        <f>F11*($C$11+1)</f>
        <v>202.87800000000001</v>
      </c>
      <c r="H11" s="82">
        <f>G11*($C$11+1)</f>
        <v>206.93556000000001</v>
      </c>
      <c r="I11" s="157">
        <f>H11*($C$11+1)</f>
        <v>211.07427120000003</v>
      </c>
    </row>
    <row r="12" spans="1:10" x14ac:dyDescent="0.2">
      <c r="A12" s="136" t="s">
        <v>17</v>
      </c>
      <c r="B12" s="135"/>
      <c r="C12" s="88">
        <v>820</v>
      </c>
      <c r="D12" s="83">
        <f>C12</f>
        <v>820</v>
      </c>
      <c r="E12" s="83">
        <f t="shared" ref="E12:I12" si="0">D12</f>
        <v>820</v>
      </c>
      <c r="F12" s="83">
        <f>E12</f>
        <v>820</v>
      </c>
      <c r="G12" s="83">
        <f>F12</f>
        <v>820</v>
      </c>
      <c r="H12" s="83">
        <f t="shared" si="0"/>
        <v>820</v>
      </c>
      <c r="I12" s="84">
        <f t="shared" si="0"/>
        <v>820</v>
      </c>
    </row>
    <row r="13" spans="1:10" x14ac:dyDescent="0.2">
      <c r="A13" s="146" t="s">
        <v>8</v>
      </c>
      <c r="B13" s="147"/>
      <c r="C13" s="78"/>
      <c r="D13" s="83">
        <f>D12*D11</f>
        <v>0</v>
      </c>
      <c r="E13" s="83">
        <f>E12*E11</f>
        <v>159900</v>
      </c>
      <c r="F13" s="83">
        <f>F12*F11</f>
        <v>163098</v>
      </c>
      <c r="G13" s="83">
        <f>G12*G11</f>
        <v>166359.96000000002</v>
      </c>
      <c r="H13" s="83">
        <f>H12*H11</f>
        <v>169687.15919999999</v>
      </c>
      <c r="I13" s="84">
        <f>I12*I11</f>
        <v>173080.90238400002</v>
      </c>
    </row>
    <row r="14" spans="1:10" x14ac:dyDescent="0.2">
      <c r="A14" s="148" t="s">
        <v>6</v>
      </c>
      <c r="B14" s="149"/>
      <c r="C14" s="19"/>
      <c r="D14" s="89"/>
      <c r="E14" s="10"/>
      <c r="F14" s="10"/>
      <c r="G14" s="10"/>
      <c r="H14" s="10"/>
      <c r="I14" s="60"/>
    </row>
    <row r="15" spans="1:10" x14ac:dyDescent="0.2">
      <c r="A15" s="136" t="s">
        <v>46</v>
      </c>
      <c r="B15" s="135"/>
      <c r="C15" s="20"/>
      <c r="D15" s="90"/>
      <c r="E15" s="9">
        <v>1600</v>
      </c>
      <c r="F15" s="9"/>
      <c r="G15" s="9"/>
      <c r="H15" s="9"/>
      <c r="I15" s="61"/>
    </row>
    <row r="16" spans="1:10" x14ac:dyDescent="0.2">
      <c r="A16" s="136" t="s">
        <v>47</v>
      </c>
      <c r="B16" s="135"/>
      <c r="C16" s="20">
        <v>163</v>
      </c>
      <c r="D16" s="90">
        <f>$C$16*D11</f>
        <v>0</v>
      </c>
      <c r="E16" s="90">
        <f>$C$16*E11</f>
        <v>31785</v>
      </c>
      <c r="F16" s="90">
        <f>$C$16*F11</f>
        <v>32420.7</v>
      </c>
      <c r="G16" s="90">
        <f>$C$16*G11</f>
        <v>33069.114000000001</v>
      </c>
      <c r="H16" s="90">
        <f>$C$16*H11</f>
        <v>33730.496279999999</v>
      </c>
      <c r="I16" s="159">
        <f>$C$16*I11</f>
        <v>34405.106205600001</v>
      </c>
    </row>
    <row r="17" spans="1:9" x14ac:dyDescent="0.2">
      <c r="A17" s="136" t="s">
        <v>86</v>
      </c>
      <c r="B17" s="135"/>
      <c r="C17" s="158">
        <f>0.57*C16</f>
        <v>92.91</v>
      </c>
      <c r="D17" s="90">
        <f>$C$17*D11</f>
        <v>0</v>
      </c>
      <c r="E17" s="90">
        <f>$C$17*E11</f>
        <v>18117.45</v>
      </c>
      <c r="F17" s="90">
        <f>$C$17*F11</f>
        <v>18479.798999999999</v>
      </c>
      <c r="G17" s="90">
        <f>$C$17*G11</f>
        <v>18849.394980000001</v>
      </c>
      <c r="H17" s="90">
        <f>$C$17*H11</f>
        <v>19226.382879600002</v>
      </c>
      <c r="I17" s="159">
        <f>$C$17*I11</f>
        <v>19610.910537192001</v>
      </c>
    </row>
    <row r="18" spans="1:9" x14ac:dyDescent="0.2">
      <c r="A18" s="136" t="s">
        <v>48</v>
      </c>
      <c r="B18" s="135"/>
      <c r="C18" s="20">
        <f>0.22*C17</f>
        <v>20.440200000000001</v>
      </c>
      <c r="D18" s="90">
        <f>$C$18*D11</f>
        <v>0</v>
      </c>
      <c r="E18" s="90">
        <f>$C$18*E11</f>
        <v>3985.8389999999999</v>
      </c>
      <c r="F18" s="90">
        <f>$C$18*F11</f>
        <v>4065.5557800000001</v>
      </c>
      <c r="G18" s="90">
        <f>$C$18*G11</f>
        <v>4146.8668956000001</v>
      </c>
      <c r="H18" s="90">
        <f>$C$18*H11</f>
        <v>4229.8042335120008</v>
      </c>
      <c r="I18" s="159">
        <f>$C$18*I11</f>
        <v>4314.4003181822409</v>
      </c>
    </row>
    <row r="19" spans="1:9" x14ac:dyDescent="0.2">
      <c r="A19" s="136" t="s">
        <v>49</v>
      </c>
      <c r="B19" s="135"/>
      <c r="C19" s="20"/>
      <c r="D19" s="90"/>
      <c r="E19" s="189">
        <f>66500-16000-'Calcul perso'!B12</f>
        <v>22096.582518137806</v>
      </c>
      <c r="F19" s="9">
        <f>E19</f>
        <v>22096.582518137806</v>
      </c>
      <c r="G19" s="9">
        <f t="shared" ref="G19:I19" si="1">F19</f>
        <v>22096.582518137806</v>
      </c>
      <c r="H19" s="9">
        <f t="shared" si="1"/>
        <v>22096.582518137806</v>
      </c>
      <c r="I19" s="61">
        <f t="shared" si="1"/>
        <v>22096.582518137806</v>
      </c>
    </row>
    <row r="20" spans="1:9" x14ac:dyDescent="0.2">
      <c r="A20" s="131" t="s">
        <v>50</v>
      </c>
      <c r="B20" s="132"/>
      <c r="C20" s="21"/>
      <c r="D20" s="91"/>
      <c r="E20" s="11">
        <v>2400</v>
      </c>
      <c r="F20" s="11">
        <v>2400</v>
      </c>
      <c r="G20" s="11"/>
      <c r="H20" s="11"/>
      <c r="I20" s="62"/>
    </row>
    <row r="21" spans="1:9" x14ac:dyDescent="0.2">
      <c r="A21" s="146" t="s">
        <v>7</v>
      </c>
      <c r="B21" s="147"/>
      <c r="C21" s="78"/>
      <c r="D21" s="92">
        <f>SUM(D14:D20)</f>
        <v>0</v>
      </c>
      <c r="E21" s="92">
        <f>SUM(E14:E20)</f>
        <v>79984.871518137807</v>
      </c>
      <c r="F21" s="92">
        <f>SUM(F14:F20)</f>
        <v>79462.637298137808</v>
      </c>
      <c r="G21" s="92">
        <f>SUM(G14:G20)</f>
        <v>78161.958393737805</v>
      </c>
      <c r="H21" s="92">
        <f>SUM(H14:H20)</f>
        <v>79283.265911249808</v>
      </c>
      <c r="I21" s="160">
        <f>SUM(I14:I20)</f>
        <v>80426.999579112045</v>
      </c>
    </row>
    <row r="22" spans="1:9" x14ac:dyDescent="0.2">
      <c r="A22" s="136" t="s">
        <v>5</v>
      </c>
      <c r="B22" s="135"/>
      <c r="C22" s="135"/>
      <c r="D22" s="93"/>
      <c r="E22" s="12"/>
      <c r="F22" s="12"/>
      <c r="G22" s="12"/>
      <c r="H22" s="12"/>
      <c r="I22" s="63"/>
    </row>
    <row r="23" spans="1:9" x14ac:dyDescent="0.2">
      <c r="A23" s="148" t="s">
        <v>39</v>
      </c>
      <c r="B23" s="149"/>
      <c r="C23" s="19"/>
      <c r="D23" s="89"/>
      <c r="E23" s="10"/>
      <c r="F23" s="10"/>
      <c r="G23" s="10"/>
      <c r="H23" s="10"/>
      <c r="I23" s="60"/>
    </row>
    <row r="24" spans="1:9" x14ac:dyDescent="0.2">
      <c r="A24" s="136" t="s">
        <v>69</v>
      </c>
      <c r="B24" s="135"/>
      <c r="C24" s="22"/>
      <c r="D24" s="162">
        <v>217000</v>
      </c>
      <c r="E24" s="9">
        <f>D24-16000</f>
        <v>201000</v>
      </c>
      <c r="F24" s="9">
        <f>E24-16000</f>
        <v>185000</v>
      </c>
      <c r="G24" s="9">
        <f>F24-16000</f>
        <v>169000</v>
      </c>
      <c r="H24" s="9">
        <f>G24-16000</f>
        <v>153000</v>
      </c>
      <c r="I24" s="61">
        <f>H24-16000</f>
        <v>137000</v>
      </c>
    </row>
    <row r="25" spans="1:9" x14ac:dyDescent="0.2">
      <c r="A25" s="136" t="s">
        <v>51</v>
      </c>
      <c r="B25" s="135"/>
      <c r="C25" s="22"/>
      <c r="D25" s="94">
        <v>48000</v>
      </c>
      <c r="E25" s="9">
        <f>D25</f>
        <v>48000</v>
      </c>
      <c r="F25" s="9">
        <f t="shared" ref="F25:I25" si="2">E25</f>
        <v>48000</v>
      </c>
      <c r="G25" s="9">
        <f t="shared" si="2"/>
        <v>48000</v>
      </c>
      <c r="H25" s="9">
        <f t="shared" si="2"/>
        <v>48000</v>
      </c>
      <c r="I25" s="61">
        <f t="shared" si="2"/>
        <v>48000</v>
      </c>
    </row>
    <row r="26" spans="1:9" x14ac:dyDescent="0.2">
      <c r="A26" s="136" t="s">
        <v>52</v>
      </c>
      <c r="B26" s="135"/>
      <c r="C26" s="22"/>
      <c r="D26" s="94">
        <v>163400</v>
      </c>
      <c r="E26" s="9">
        <f>'Calcul perso'!B13</f>
        <v>134996.58251813782</v>
      </c>
      <c r="F26" s="9">
        <f>'Calcul perso'!B15</f>
        <v>111530.46078076126</v>
      </c>
      <c r="G26" s="9">
        <f>'Calcul perso'!B17</f>
        <v>92143.396891529803</v>
      </c>
      <c r="H26" s="9">
        <f>'Calcul perso'!B19</f>
        <v>76126.338322943237</v>
      </c>
      <c r="I26" s="61">
        <f>'Calcul perso'!B21</f>
        <v>62893.485393004179</v>
      </c>
    </row>
    <row r="27" spans="1:9" x14ac:dyDescent="0.2">
      <c r="A27" s="136" t="s">
        <v>87</v>
      </c>
      <c r="B27" s="135"/>
      <c r="C27" s="22"/>
      <c r="D27" s="94">
        <v>5000</v>
      </c>
      <c r="E27" s="9"/>
      <c r="F27" s="9"/>
      <c r="G27" s="9"/>
      <c r="H27" s="9"/>
      <c r="I27" s="61"/>
    </row>
    <row r="28" spans="1:9" x14ac:dyDescent="0.2">
      <c r="A28" s="131"/>
      <c r="B28" s="132"/>
      <c r="C28" s="23"/>
      <c r="D28" s="95"/>
      <c r="E28" s="11"/>
      <c r="F28" s="11"/>
      <c r="G28" s="11"/>
      <c r="H28" s="11"/>
      <c r="I28" s="62"/>
    </row>
    <row r="29" spans="1:9" x14ac:dyDescent="0.2">
      <c r="A29" s="148" t="s">
        <v>19</v>
      </c>
      <c r="B29" s="149"/>
      <c r="C29" s="75"/>
      <c r="D29" s="89"/>
      <c r="E29" s="10"/>
      <c r="F29" s="10"/>
      <c r="G29" s="10"/>
      <c r="H29" s="10"/>
      <c r="I29" s="60"/>
    </row>
    <row r="30" spans="1:9" x14ac:dyDescent="0.2">
      <c r="A30" s="136" t="s">
        <v>69</v>
      </c>
      <c r="B30" s="135"/>
      <c r="C30" s="76">
        <v>0.46</v>
      </c>
      <c r="D30" s="90"/>
      <c r="E30" s="9"/>
      <c r="F30" s="9"/>
      <c r="G30" s="9"/>
      <c r="H30" s="9"/>
      <c r="I30" s="61">
        <f>C30*D24</f>
        <v>99820</v>
      </c>
    </row>
    <row r="31" spans="1:9" x14ac:dyDescent="0.2">
      <c r="A31" s="136" t="s">
        <v>51</v>
      </c>
      <c r="B31" s="135"/>
      <c r="C31" s="76">
        <v>1</v>
      </c>
      <c r="D31" s="90"/>
      <c r="E31" s="9"/>
      <c r="F31" s="9"/>
      <c r="G31" s="9"/>
      <c r="H31" s="9"/>
      <c r="I31" s="61">
        <f>D25</f>
        <v>48000</v>
      </c>
    </row>
    <row r="32" spans="1:9" x14ac:dyDescent="0.2">
      <c r="A32" s="136" t="s">
        <v>52</v>
      </c>
      <c r="B32" s="135"/>
      <c r="C32" s="76"/>
      <c r="D32" s="90"/>
      <c r="E32" s="9"/>
      <c r="F32" s="9"/>
      <c r="G32" s="9"/>
      <c r="H32" s="9"/>
      <c r="I32" s="61">
        <f>I26</f>
        <v>62893.485393004179</v>
      </c>
    </row>
    <row r="33" spans="1:9" x14ac:dyDescent="0.2">
      <c r="A33" s="136" t="s">
        <v>88</v>
      </c>
      <c r="B33" s="135"/>
      <c r="C33" s="76">
        <v>0.17</v>
      </c>
      <c r="D33" s="90"/>
      <c r="E33" s="9"/>
      <c r="F33" s="9"/>
      <c r="G33" s="9"/>
      <c r="H33" s="9"/>
      <c r="I33" s="64">
        <f>C33*D27</f>
        <v>850.00000000000011</v>
      </c>
    </row>
    <row r="34" spans="1:9" x14ac:dyDescent="0.2">
      <c r="A34" s="131"/>
      <c r="B34" s="132"/>
      <c r="C34" s="77"/>
      <c r="D34" s="91"/>
      <c r="E34" s="11"/>
      <c r="F34" s="11"/>
      <c r="G34" s="11"/>
      <c r="H34" s="11"/>
      <c r="I34" s="65"/>
    </row>
    <row r="35" spans="1:9" x14ac:dyDescent="0.2">
      <c r="A35" s="148" t="s">
        <v>0</v>
      </c>
      <c r="B35" s="149"/>
      <c r="C35" s="24"/>
      <c r="D35" s="96">
        <f>D13-D21-SUM(D24:D28)</f>
        <v>-433400</v>
      </c>
      <c r="E35" s="13">
        <f>E13-E21</f>
        <v>79915.128481862193</v>
      </c>
      <c r="F35" s="13">
        <f>F13-F21</f>
        <v>83635.362701862192</v>
      </c>
      <c r="G35" s="13">
        <f>G13-G21</f>
        <v>88198.001606262216</v>
      </c>
      <c r="H35" s="13">
        <f>H13-H21</f>
        <v>90403.893288750187</v>
      </c>
      <c r="I35" s="66">
        <f>I13-I21+SUM(I30:I33)</f>
        <v>304217.38819789211</v>
      </c>
    </row>
    <row r="36" spans="1:9" x14ac:dyDescent="0.2">
      <c r="A36" s="136" t="s">
        <v>1</v>
      </c>
      <c r="B36" s="135"/>
      <c r="C36" s="25">
        <v>0.06</v>
      </c>
      <c r="D36" s="163">
        <f>(1+$C$36)^0</f>
        <v>1</v>
      </c>
      <c r="E36" s="163">
        <f>(1+$C$36)^-1</f>
        <v>0.94339622641509424</v>
      </c>
      <c r="F36" s="163">
        <f>(1+$C$36)^-2</f>
        <v>0.88999644001423983</v>
      </c>
      <c r="G36" s="163">
        <f>(1+$C$36)^-3</f>
        <v>0.8396192830323016</v>
      </c>
      <c r="H36" s="163">
        <f>(1+$C$36)^-4</f>
        <v>0.79209366323802044</v>
      </c>
      <c r="I36" s="164">
        <f>(1+$C$36)^-5</f>
        <v>0.74725817286605689</v>
      </c>
    </row>
    <row r="37" spans="1:9" ht="12" customHeight="1" thickBot="1" x14ac:dyDescent="0.25">
      <c r="A37" s="151" t="s">
        <v>2</v>
      </c>
      <c r="B37" s="152"/>
      <c r="C37" s="67"/>
      <c r="D37" s="68">
        <f>D35*D36</f>
        <v>-433400</v>
      </c>
      <c r="E37" s="69">
        <f>E35*E36</f>
        <v>75391.63064326621</v>
      </c>
      <c r="F37" s="69">
        <f>F35*F36</f>
        <v>74435.175063957082</v>
      </c>
      <c r="G37" s="69">
        <f>G35*G36</f>
        <v>74052.742873531664</v>
      </c>
      <c r="H37" s="69">
        <f>H35*H36</f>
        <v>71608.351006065233</v>
      </c>
      <c r="I37" s="70">
        <f>I35*I36</f>
        <v>227328.92965884079</v>
      </c>
    </row>
    <row r="38" spans="1:9" ht="13.5" thickBot="1" x14ac:dyDescent="0.25">
      <c r="A38" s="153" t="s">
        <v>3</v>
      </c>
      <c r="B38" s="154"/>
      <c r="C38" s="144">
        <f>SUM(D37:I37)</f>
        <v>89416.82924566092</v>
      </c>
      <c r="D38" s="145"/>
      <c r="E38" s="2"/>
      <c r="F38" s="2"/>
      <c r="G38" s="2"/>
      <c r="H38" s="2"/>
      <c r="I38" s="2"/>
    </row>
    <row r="39" spans="1:9" x14ac:dyDescent="0.2">
      <c r="A39" s="133"/>
      <c r="B39" s="133"/>
      <c r="C39" s="26"/>
      <c r="D39" s="26"/>
      <c r="E39" s="2"/>
      <c r="F39" s="2"/>
      <c r="G39" s="2"/>
      <c r="H39" s="2"/>
      <c r="I39" s="2"/>
    </row>
    <row r="40" spans="1:9" ht="13.5" thickBot="1" x14ac:dyDescent="0.25">
      <c r="A40" s="135" t="s">
        <v>21</v>
      </c>
      <c r="B40" s="135"/>
      <c r="C40" s="16"/>
      <c r="D40" s="16"/>
      <c r="E40" s="2"/>
      <c r="F40" s="2"/>
      <c r="G40" s="2"/>
      <c r="H40" s="2"/>
      <c r="I40" s="2"/>
    </row>
    <row r="41" spans="1:9" x14ac:dyDescent="0.2">
      <c r="A41" s="137" t="s">
        <v>15</v>
      </c>
      <c r="B41" s="138"/>
      <c r="C41" s="138"/>
      <c r="D41" s="138"/>
      <c r="E41" s="138"/>
      <c r="F41" s="138"/>
      <c r="G41" s="138"/>
      <c r="H41" s="138"/>
      <c r="I41" s="139"/>
    </row>
    <row r="42" spans="1:9" ht="13.5" thickBot="1" x14ac:dyDescent="0.25">
      <c r="A42" s="140"/>
      <c r="B42" s="141"/>
      <c r="C42" s="141"/>
      <c r="D42" s="141"/>
      <c r="E42" s="141"/>
      <c r="F42" s="141"/>
      <c r="G42" s="141"/>
      <c r="H42" s="141"/>
      <c r="I42" s="142"/>
    </row>
    <row r="43" spans="1:9" x14ac:dyDescent="0.2">
      <c r="A43" s="134" t="s">
        <v>0</v>
      </c>
      <c r="B43" s="135"/>
      <c r="C43" s="15">
        <v>0.06</v>
      </c>
      <c r="D43" s="165">
        <f>D35</f>
        <v>-433400</v>
      </c>
      <c r="E43" s="165">
        <f>E35</f>
        <v>79915.128481862193</v>
      </c>
      <c r="F43" s="165">
        <f>F35</f>
        <v>83635.362701862192</v>
      </c>
      <c r="G43" s="165">
        <f>G35</f>
        <v>88198.001606262216</v>
      </c>
      <c r="H43" s="165">
        <f>H35</f>
        <v>90403.893288750187</v>
      </c>
      <c r="I43" s="169">
        <f>I35</f>
        <v>304217.38819789211</v>
      </c>
    </row>
    <row r="44" spans="1:9" x14ac:dyDescent="0.2">
      <c r="A44" s="134" t="s">
        <v>1</v>
      </c>
      <c r="B44" s="135"/>
      <c r="C44" s="2"/>
      <c r="D44" s="166">
        <f>D36</f>
        <v>1</v>
      </c>
      <c r="E44" s="166">
        <f t="shared" ref="E44:I44" si="3">E36</f>
        <v>0.94339622641509424</v>
      </c>
      <c r="F44" s="166">
        <f t="shared" si="3"/>
        <v>0.88999644001423983</v>
      </c>
      <c r="G44" s="166">
        <f t="shared" si="3"/>
        <v>0.8396192830323016</v>
      </c>
      <c r="H44" s="166">
        <f t="shared" si="3"/>
        <v>0.79209366323802044</v>
      </c>
      <c r="I44" s="170">
        <f t="shared" si="3"/>
        <v>0.74725817286605689</v>
      </c>
    </row>
    <row r="45" spans="1:9" x14ac:dyDescent="0.2">
      <c r="A45" s="134" t="s">
        <v>2</v>
      </c>
      <c r="B45" s="135"/>
      <c r="C45" s="2"/>
      <c r="D45" s="167">
        <f>D37</f>
        <v>-433400</v>
      </c>
      <c r="E45" s="167">
        <f t="shared" ref="E45:I45" si="4">E37</f>
        <v>75391.63064326621</v>
      </c>
      <c r="F45" s="167">
        <f t="shared" si="4"/>
        <v>74435.175063957082</v>
      </c>
      <c r="G45" s="167">
        <f t="shared" si="4"/>
        <v>74052.742873531664</v>
      </c>
      <c r="H45" s="167">
        <f t="shared" si="4"/>
        <v>71608.351006065233</v>
      </c>
      <c r="I45" s="171">
        <f>I37</f>
        <v>227328.92965884079</v>
      </c>
    </row>
    <row r="46" spans="1:9" x14ac:dyDescent="0.2">
      <c r="A46" s="134"/>
      <c r="B46" s="135"/>
      <c r="C46" s="2"/>
      <c r="D46" s="7"/>
      <c r="E46" s="2"/>
      <c r="F46" s="2"/>
      <c r="G46" s="2"/>
      <c r="H46" s="2"/>
      <c r="I46" s="172"/>
    </row>
    <row r="47" spans="1:9" x14ac:dyDescent="0.2">
      <c r="A47" s="134" t="s">
        <v>0</v>
      </c>
      <c r="B47" s="135"/>
      <c r="C47" s="15">
        <v>0.12</v>
      </c>
      <c r="D47" s="165">
        <f>D35</f>
        <v>-433400</v>
      </c>
      <c r="E47" s="165">
        <f t="shared" ref="E47:I47" si="5">E35</f>
        <v>79915.128481862193</v>
      </c>
      <c r="F47" s="165">
        <f t="shared" si="5"/>
        <v>83635.362701862192</v>
      </c>
      <c r="G47" s="165">
        <f t="shared" si="5"/>
        <v>88198.001606262216</v>
      </c>
      <c r="H47" s="165">
        <f t="shared" si="5"/>
        <v>90403.893288750187</v>
      </c>
      <c r="I47" s="173">
        <f t="shared" si="5"/>
        <v>304217.38819789211</v>
      </c>
    </row>
    <row r="48" spans="1:9" x14ac:dyDescent="0.2">
      <c r="A48" s="134" t="s">
        <v>1</v>
      </c>
      <c r="B48" s="135"/>
      <c r="C48" s="2"/>
      <c r="D48" s="7">
        <f>(1+$C$47)^0</f>
        <v>1</v>
      </c>
      <c r="E48" s="7">
        <f>(1+$C$47)^-1</f>
        <v>0.89285714285714279</v>
      </c>
      <c r="F48" s="7">
        <f>(1+$C$47)^-2</f>
        <v>0.79719387755102034</v>
      </c>
      <c r="G48" s="7">
        <f>(1+$C$47)^-3</f>
        <v>0.71178024781341087</v>
      </c>
      <c r="H48" s="7">
        <f>(1+$C$47)^-4</f>
        <v>0.63551807840483121</v>
      </c>
      <c r="I48" s="174">
        <f>(1+$C$47)^-5</f>
        <v>0.56742685571859919</v>
      </c>
    </row>
    <row r="49" spans="1:9" x14ac:dyDescent="0.2">
      <c r="A49" s="134" t="s">
        <v>2</v>
      </c>
      <c r="B49" s="135"/>
      <c r="C49" s="2"/>
      <c r="D49" s="165">
        <f>D47*D48</f>
        <v>-433400</v>
      </c>
      <c r="E49" s="165">
        <f t="shared" ref="E49:I49" si="6">E47*E48</f>
        <v>71352.793287376961</v>
      </c>
      <c r="F49" s="165">
        <f t="shared" si="6"/>
        <v>66673.599092683507</v>
      </c>
      <c r="G49" s="165">
        <f t="shared" si="6"/>
        <v>62777.595439952929</v>
      </c>
      <c r="H49" s="165">
        <f t="shared" si="6"/>
        <v>57453.308543181935</v>
      </c>
      <c r="I49" s="173">
        <f t="shared" si="6"/>
        <v>172621.11604005442</v>
      </c>
    </row>
    <row r="50" spans="1:9" x14ac:dyDescent="0.2">
      <c r="A50" s="134" t="s">
        <v>3</v>
      </c>
      <c r="B50" s="135"/>
      <c r="C50" s="2"/>
      <c r="D50" s="165">
        <f>SUM(D49:I49)</f>
        <v>-2521.5875967502361</v>
      </c>
      <c r="E50" s="2"/>
      <c r="F50" s="2"/>
      <c r="G50" s="2"/>
      <c r="H50" s="2"/>
      <c r="I50" s="172"/>
    </row>
    <row r="51" spans="1:9" x14ac:dyDescent="0.2">
      <c r="A51" s="134"/>
      <c r="B51" s="135"/>
      <c r="C51" s="2"/>
      <c r="D51" s="7"/>
      <c r="E51" s="2"/>
      <c r="F51" s="2"/>
      <c r="G51" s="2"/>
      <c r="H51" s="2"/>
      <c r="I51" s="172"/>
    </row>
    <row r="52" spans="1:9" x14ac:dyDescent="0.2">
      <c r="A52" s="134" t="s">
        <v>0</v>
      </c>
      <c r="B52" s="135"/>
      <c r="C52" s="15">
        <v>0.11</v>
      </c>
      <c r="D52" s="165">
        <f>D35</f>
        <v>-433400</v>
      </c>
      <c r="E52" s="165">
        <f t="shared" ref="E52:I52" si="7">E35</f>
        <v>79915.128481862193</v>
      </c>
      <c r="F52" s="165">
        <f t="shared" si="7"/>
        <v>83635.362701862192</v>
      </c>
      <c r="G52" s="165">
        <f t="shared" si="7"/>
        <v>88198.001606262216</v>
      </c>
      <c r="H52" s="165">
        <f t="shared" si="7"/>
        <v>90403.893288750187</v>
      </c>
      <c r="I52" s="173">
        <f t="shared" si="7"/>
        <v>304217.38819789211</v>
      </c>
    </row>
    <row r="53" spans="1:9" x14ac:dyDescent="0.2">
      <c r="A53" s="134" t="s">
        <v>1</v>
      </c>
      <c r="B53" s="135"/>
      <c r="C53" s="2"/>
      <c r="D53" s="7">
        <f>(1+$C$52)^0</f>
        <v>1</v>
      </c>
      <c r="E53" s="7">
        <f>(1+$C$52)^-1</f>
        <v>0.9009009009009008</v>
      </c>
      <c r="F53" s="7">
        <f>(1+$C$52)^-2</f>
        <v>0.8116224332440547</v>
      </c>
      <c r="G53" s="7">
        <f>(1+$C$52)^-3</f>
        <v>0.73119138130095018</v>
      </c>
      <c r="H53" s="7">
        <f>(1+$C$52)^-4</f>
        <v>0.65873097414500015</v>
      </c>
      <c r="I53" s="174">
        <f>(1+$C$52)^-5</f>
        <v>0.5934513280585586</v>
      </c>
    </row>
    <row r="54" spans="1:9" x14ac:dyDescent="0.2">
      <c r="A54" s="134" t="s">
        <v>2</v>
      </c>
      <c r="B54" s="135"/>
      <c r="C54" s="2"/>
      <c r="D54" s="165">
        <f>D52*D53</f>
        <v>-433400</v>
      </c>
      <c r="E54" s="168">
        <f>E52*E53</f>
        <v>71995.611244920889</v>
      </c>
      <c r="F54" s="165">
        <f>F52*F53</f>
        <v>67880.336581334443</v>
      </c>
      <c r="G54" s="165">
        <f t="shared" ref="G54" si="8">G52*G53</f>
        <v>64489.618622466296</v>
      </c>
      <c r="H54" s="165">
        <f t="shared" ref="H54" si="9">H52*H53</f>
        <v>59551.84469259905</v>
      </c>
      <c r="I54" s="173">
        <f t="shared" ref="I54" si="10">I52*I53</f>
        <v>180538.21304454515</v>
      </c>
    </row>
    <row r="55" spans="1:9" x14ac:dyDescent="0.2">
      <c r="A55" s="134" t="s">
        <v>3</v>
      </c>
      <c r="B55" s="135"/>
      <c r="C55" s="2"/>
      <c r="D55" s="165">
        <f>SUM(D54:I54)</f>
        <v>11055.624185865832</v>
      </c>
      <c r="E55" s="2"/>
      <c r="F55" s="14"/>
      <c r="G55" s="2"/>
      <c r="H55" s="2"/>
      <c r="I55" s="172"/>
    </row>
    <row r="56" spans="1:9" x14ac:dyDescent="0.2">
      <c r="A56" s="134"/>
      <c r="B56" s="135"/>
      <c r="C56" s="2"/>
      <c r="D56" s="7"/>
      <c r="E56" s="2"/>
      <c r="F56" s="14"/>
      <c r="G56" s="2"/>
      <c r="H56" s="2"/>
      <c r="I56" s="172"/>
    </row>
    <row r="57" spans="1:9" x14ac:dyDescent="0.2">
      <c r="A57" s="134"/>
      <c r="B57" s="135"/>
      <c r="C57" s="2"/>
      <c r="D57" s="7"/>
      <c r="E57" s="2"/>
      <c r="F57" s="15"/>
      <c r="G57" s="2"/>
      <c r="H57" s="2"/>
      <c r="I57" s="172"/>
    </row>
    <row r="58" spans="1:9" x14ac:dyDescent="0.2">
      <c r="A58" s="134"/>
      <c r="B58" s="135"/>
      <c r="C58" s="2"/>
      <c r="D58" s="7"/>
      <c r="E58" s="2"/>
      <c r="F58" s="8"/>
      <c r="G58" s="2"/>
      <c r="H58" s="2"/>
      <c r="I58" s="172"/>
    </row>
    <row r="59" spans="1:9" x14ac:dyDescent="0.2">
      <c r="A59" s="134"/>
      <c r="B59" s="135"/>
      <c r="C59" s="2"/>
      <c r="D59" s="7"/>
      <c r="E59" s="2"/>
      <c r="F59" s="8"/>
      <c r="G59" s="2"/>
      <c r="H59" s="2"/>
      <c r="I59" s="172"/>
    </row>
    <row r="60" spans="1:9" x14ac:dyDescent="0.2">
      <c r="A60" s="134"/>
      <c r="B60" s="135"/>
      <c r="C60" s="2"/>
      <c r="D60" s="7"/>
      <c r="E60" s="2"/>
      <c r="F60" s="8"/>
      <c r="G60" s="2"/>
      <c r="H60" s="2"/>
      <c r="I60" s="172"/>
    </row>
    <row r="61" spans="1:9" x14ac:dyDescent="0.2">
      <c r="A61" s="134"/>
      <c r="B61" s="135"/>
      <c r="C61" s="2"/>
      <c r="D61" s="7"/>
      <c r="E61" s="2"/>
      <c r="F61" s="8"/>
      <c r="G61" s="2"/>
      <c r="H61" s="2"/>
      <c r="I61" s="172"/>
    </row>
    <row r="62" spans="1:9" ht="13.5" thickBot="1" x14ac:dyDescent="0.25">
      <c r="A62" s="134"/>
      <c r="B62" s="135"/>
      <c r="C62" s="2"/>
      <c r="D62" s="7"/>
      <c r="E62" s="2"/>
      <c r="F62" s="8"/>
      <c r="G62" s="2"/>
      <c r="H62" s="2"/>
      <c r="I62" s="190"/>
    </row>
    <row r="63" spans="1:9" x14ac:dyDescent="0.2">
      <c r="A63" s="134"/>
      <c r="B63" s="135"/>
      <c r="C63" s="2"/>
      <c r="D63" s="7"/>
      <c r="E63" s="2"/>
      <c r="F63" s="127" t="s">
        <v>16</v>
      </c>
      <c r="G63" s="128"/>
      <c r="H63" s="175">
        <f>C52+D55/(D55-D50)*(C47-C52)</f>
        <v>0.11814277950648246</v>
      </c>
      <c r="I63" s="176"/>
    </row>
    <row r="64" spans="1:9" ht="13.5" thickBot="1" x14ac:dyDescent="0.25">
      <c r="A64" s="150"/>
      <c r="B64" s="132"/>
      <c r="C64" s="5"/>
      <c r="D64" s="6"/>
      <c r="E64" s="5"/>
      <c r="F64" s="129"/>
      <c r="G64" s="130"/>
      <c r="H64" s="177"/>
      <c r="I64" s="178"/>
    </row>
    <row r="65" spans="1:18" x14ac:dyDescent="0.2">
      <c r="A65" s="135"/>
      <c r="B65" s="135"/>
      <c r="C65" s="2"/>
      <c r="D65" s="7"/>
      <c r="E65" s="2"/>
      <c r="F65" s="2"/>
      <c r="G65" s="2"/>
      <c r="H65" s="2"/>
      <c r="I65" s="2"/>
    </row>
    <row r="69" spans="1:18" ht="14.25" x14ac:dyDescent="0.2">
      <c r="E69" s="98">
        <f ca="1">NOW()</f>
        <v>43621.898633217592</v>
      </c>
      <c r="F69" s="100">
        <f ca="1">NOW()</f>
        <v>43621.898633217592</v>
      </c>
      <c r="G69" s="100"/>
      <c r="H69" s="100"/>
      <c r="I69" s="99"/>
      <c r="J69" s="99"/>
      <c r="K69" s="99"/>
      <c r="L69" s="99"/>
      <c r="M69" s="99"/>
      <c r="N69" s="99"/>
      <c r="O69" s="99"/>
      <c r="P69" s="99"/>
      <c r="Q69" s="99"/>
      <c r="R69" s="99"/>
    </row>
    <row r="73" spans="1:18" ht="15" x14ac:dyDescent="0.25">
      <c r="A73" s="27" t="s">
        <v>13</v>
      </c>
      <c r="B73" s="74" t="str">
        <f>IF(B1&lt;=1," ",B1)</f>
        <v>Rami Yahyaoui</v>
      </c>
      <c r="C73" s="17" t="s">
        <v>14</v>
      </c>
      <c r="D73" s="111" t="str">
        <f>IF(D1&lt;=1," ",D1)</f>
        <v>Kenza</v>
      </c>
      <c r="E73" s="112"/>
      <c r="F73" s="29" t="s">
        <v>11</v>
      </c>
      <c r="G73" s="39">
        <f>IF(G1&lt;=1," ",G1)</f>
        <v>1903555</v>
      </c>
      <c r="H73" s="31" t="s">
        <v>12</v>
      </c>
      <c r="I73" s="40" t="str">
        <f>IF(I1&lt;=1," ",I1)</f>
        <v xml:space="preserve"> </v>
      </c>
    </row>
    <row r="74" spans="1:18" ht="15" x14ac:dyDescent="0.25">
      <c r="A74" s="27" t="s">
        <v>13</v>
      </c>
      <c r="B74" s="74" t="str">
        <f t="shared" ref="B74:B75" si="11">IF(B2&lt;=1," ",B2)</f>
        <v>Salloum</v>
      </c>
      <c r="C74" s="17" t="s">
        <v>14</v>
      </c>
      <c r="D74" s="111" t="str">
        <f t="shared" ref="D74:D75" si="12">IF(D2&lt;=1," ",D2)</f>
        <v>Maya</v>
      </c>
      <c r="E74" s="112"/>
      <c r="F74" s="29" t="s">
        <v>11</v>
      </c>
      <c r="G74" s="39">
        <f t="shared" ref="G74:G75" si="13">IF(G2&lt;=1," ",G2)</f>
        <v>1791189</v>
      </c>
      <c r="H74" s="31" t="s">
        <v>12</v>
      </c>
      <c r="I74" s="40">
        <f t="shared" ref="I74:I75" si="14">IF(I2&lt;=1," ",I2)</f>
        <v>3</v>
      </c>
    </row>
    <row r="75" spans="1:18" ht="15" x14ac:dyDescent="0.25">
      <c r="A75" s="27" t="s">
        <v>13</v>
      </c>
      <c r="B75" s="74" t="str">
        <f t="shared" si="11"/>
        <v xml:space="preserve"> </v>
      </c>
      <c r="C75" s="17" t="s">
        <v>14</v>
      </c>
      <c r="D75" s="111" t="str">
        <f t="shared" si="12"/>
        <v xml:space="preserve"> </v>
      </c>
      <c r="E75" s="112"/>
      <c r="F75" s="29" t="s">
        <v>11</v>
      </c>
      <c r="G75" s="39" t="str">
        <f t="shared" si="13"/>
        <v xml:space="preserve"> </v>
      </c>
      <c r="H75" s="31" t="s">
        <v>12</v>
      </c>
      <c r="I75" s="40" t="str">
        <f t="shared" si="14"/>
        <v xml:space="preserve"> </v>
      </c>
    </row>
    <row r="78" spans="1:18" ht="15.75" thickBot="1" x14ac:dyDescent="0.3">
      <c r="A78" s="41" t="s">
        <v>22</v>
      </c>
      <c r="B78" s="36"/>
      <c r="C78" s="36"/>
      <c r="D78" s="36"/>
      <c r="E78" s="36"/>
      <c r="F78" s="36"/>
      <c r="G78" s="36"/>
      <c r="H78" s="36"/>
    </row>
    <row r="79" spans="1:18" ht="14.1" customHeight="1" x14ac:dyDescent="0.2">
      <c r="A79" s="105" t="s">
        <v>23</v>
      </c>
      <c r="B79" s="106"/>
      <c r="C79" s="106"/>
      <c r="D79" s="106"/>
      <c r="E79" s="106"/>
      <c r="F79" s="106"/>
      <c r="G79" s="106"/>
      <c r="H79" s="107"/>
    </row>
    <row r="80" spans="1:18" ht="13.5" thickBot="1" x14ac:dyDescent="0.25">
      <c r="A80" s="108"/>
      <c r="B80" s="109"/>
      <c r="C80" s="109"/>
      <c r="D80" s="109"/>
      <c r="E80" s="109"/>
      <c r="F80" s="109"/>
      <c r="G80" s="109"/>
      <c r="H80" s="110"/>
    </row>
    <row r="81" spans="1:8" ht="15" x14ac:dyDescent="0.25">
      <c r="A81" s="42" t="s">
        <v>24</v>
      </c>
      <c r="B81" s="43"/>
      <c r="C81" s="179">
        <v>0.09</v>
      </c>
      <c r="D81" s="33"/>
      <c r="E81" s="33"/>
      <c r="F81" s="33"/>
      <c r="G81" s="33"/>
      <c r="H81" s="44"/>
    </row>
    <row r="82" spans="1:8" ht="15" x14ac:dyDescent="0.25">
      <c r="A82" s="42" t="s">
        <v>25</v>
      </c>
      <c r="B82" s="43"/>
      <c r="C82" s="179">
        <v>0.1</v>
      </c>
      <c r="D82" s="33"/>
      <c r="E82" s="33"/>
      <c r="F82" s="33"/>
      <c r="G82" s="33"/>
      <c r="H82" s="44"/>
    </row>
    <row r="83" spans="1:8" ht="14.25" x14ac:dyDescent="0.2">
      <c r="A83" s="45"/>
      <c r="B83" s="43"/>
      <c r="C83" s="33"/>
      <c r="D83" s="33"/>
      <c r="E83" s="33"/>
      <c r="F83" s="33"/>
      <c r="G83" s="33"/>
      <c r="H83" s="44"/>
    </row>
    <row r="84" spans="1:8" ht="15" x14ac:dyDescent="0.25">
      <c r="A84" s="42" t="s">
        <v>26</v>
      </c>
      <c r="B84" s="46"/>
      <c r="C84" s="47">
        <v>0</v>
      </c>
      <c r="D84" s="47">
        <v>1</v>
      </c>
      <c r="E84" s="47">
        <v>2</v>
      </c>
      <c r="F84" s="47">
        <v>3</v>
      </c>
      <c r="G84" s="47">
        <v>4</v>
      </c>
      <c r="H84" s="48"/>
    </row>
    <row r="85" spans="1:8" ht="14.25" x14ac:dyDescent="0.2">
      <c r="A85" s="45"/>
      <c r="B85" s="43" t="s">
        <v>72</v>
      </c>
      <c r="C85" s="33">
        <v>-180</v>
      </c>
      <c r="D85" s="33">
        <v>90</v>
      </c>
      <c r="E85" s="33">
        <v>-360</v>
      </c>
      <c r="F85" s="33">
        <v>220</v>
      </c>
      <c r="G85" s="33">
        <v>340</v>
      </c>
      <c r="H85" s="48"/>
    </row>
    <row r="86" spans="1:8" ht="14.25" x14ac:dyDescent="0.2">
      <c r="A86" s="45"/>
      <c r="B86" s="33" t="s">
        <v>1</v>
      </c>
      <c r="C86" s="33">
        <f>(1+$C$82)^0</f>
        <v>1</v>
      </c>
      <c r="D86" s="33"/>
      <c r="E86" s="33">
        <f>(1+$C$82)^-E84</f>
        <v>0.82644628099173545</v>
      </c>
      <c r="F86" s="33"/>
      <c r="G86" s="33"/>
      <c r="H86" s="44"/>
    </row>
    <row r="87" spans="1:8" ht="14.25" x14ac:dyDescent="0.2">
      <c r="A87" s="45"/>
      <c r="B87" s="33" t="s">
        <v>73</v>
      </c>
      <c r="C87" s="33"/>
      <c r="D87" s="33">
        <f>(1+$C$81)^1</f>
        <v>1.0900000000000001</v>
      </c>
      <c r="E87" s="33"/>
      <c r="F87" s="33">
        <f>(1+$C$81)^F84</f>
        <v>1.2950290000000002</v>
      </c>
      <c r="G87" s="33">
        <f>(1+$C$81)^G84</f>
        <v>1.4115816100000003</v>
      </c>
      <c r="H87" s="44"/>
    </row>
    <row r="88" spans="1:8" ht="14.25" x14ac:dyDescent="0.2">
      <c r="A88" s="45"/>
      <c r="B88" s="33"/>
      <c r="C88" s="33"/>
      <c r="D88" s="33"/>
      <c r="E88" s="33"/>
      <c r="F88" s="33"/>
      <c r="G88" s="33"/>
      <c r="H88" s="44"/>
    </row>
    <row r="89" spans="1:8" ht="14.25" x14ac:dyDescent="0.2">
      <c r="A89" s="45"/>
      <c r="B89" s="33" t="s">
        <v>74</v>
      </c>
      <c r="C89" s="33">
        <f>D87*D85+F87*F85+G87*G85</f>
        <v>862.94412740000018</v>
      </c>
      <c r="D89" s="33"/>
      <c r="E89" s="33"/>
      <c r="F89" s="33"/>
      <c r="G89" s="33"/>
      <c r="H89" s="44"/>
    </row>
    <row r="90" spans="1:8" ht="14.25" x14ac:dyDescent="0.2">
      <c r="A90" s="45"/>
      <c r="B90" s="33" t="s">
        <v>75</v>
      </c>
      <c r="C90" s="33">
        <f>C86*C85+E86*E85</f>
        <v>-477.52066115702473</v>
      </c>
      <c r="D90" s="33"/>
      <c r="E90" s="33"/>
      <c r="F90" s="33"/>
      <c r="G90" s="33"/>
      <c r="H90" s="44"/>
    </row>
    <row r="91" spans="1:8" ht="14.25" x14ac:dyDescent="0.2">
      <c r="A91" s="45"/>
      <c r="B91" s="33"/>
      <c r="C91" s="33"/>
      <c r="D91" s="33"/>
      <c r="E91" s="33"/>
      <c r="F91" s="33"/>
      <c r="G91" s="33"/>
      <c r="H91" s="44"/>
    </row>
    <row r="92" spans="1:8" ht="14.25" x14ac:dyDescent="0.2">
      <c r="A92" s="45"/>
      <c r="B92" s="181" t="s">
        <v>76</v>
      </c>
      <c r="C92" s="181"/>
      <c r="D92" s="181"/>
      <c r="E92" s="33"/>
      <c r="F92" s="33"/>
      <c r="G92" s="33"/>
      <c r="H92" s="44"/>
    </row>
    <row r="93" spans="1:8" ht="14.25" x14ac:dyDescent="0.2">
      <c r="A93" s="45"/>
      <c r="B93" s="33"/>
      <c r="C93" s="33"/>
      <c r="D93" s="33"/>
      <c r="E93" s="180"/>
      <c r="F93" s="33"/>
      <c r="G93" s="33"/>
      <c r="H93" s="44"/>
    </row>
    <row r="94" spans="1:8" ht="14.25" x14ac:dyDescent="0.2">
      <c r="A94" s="45"/>
      <c r="B94" s="33"/>
      <c r="C94" s="33"/>
      <c r="D94" s="33"/>
      <c r="E94" s="33"/>
      <c r="F94" s="33"/>
      <c r="G94" s="33"/>
      <c r="H94" s="44"/>
    </row>
    <row r="95" spans="1:8" ht="14.25" x14ac:dyDescent="0.2">
      <c r="A95" s="45"/>
      <c r="B95" s="33"/>
      <c r="C95" s="33"/>
      <c r="D95" s="33"/>
      <c r="E95" s="33"/>
      <c r="F95" s="33"/>
      <c r="G95" s="33"/>
      <c r="H95" s="44"/>
    </row>
    <row r="96" spans="1:8" ht="14.25" x14ac:dyDescent="0.2">
      <c r="A96" s="45"/>
      <c r="B96" s="33"/>
      <c r="C96" s="33"/>
      <c r="D96" s="33"/>
      <c r="E96" s="33"/>
      <c r="F96" s="33"/>
      <c r="G96" s="33"/>
      <c r="H96" s="44"/>
    </row>
    <row r="97" spans="1:8" ht="15" thickBot="1" x14ac:dyDescent="0.25">
      <c r="A97" s="45"/>
      <c r="B97" s="33"/>
      <c r="C97" s="33"/>
      <c r="D97" s="49"/>
      <c r="E97" s="49"/>
      <c r="F97" s="49"/>
      <c r="G97" s="49"/>
      <c r="H97" s="50"/>
    </row>
    <row r="98" spans="1:8" ht="14.25" x14ac:dyDescent="0.2">
      <c r="A98" s="119" t="s">
        <v>27</v>
      </c>
      <c r="B98" s="121">
        <f>ABS(C89/C90)^(1/4)-1</f>
        <v>0.15943826041847253</v>
      </c>
      <c r="C98" s="122"/>
      <c r="D98" s="36"/>
      <c r="E98" s="36"/>
      <c r="F98" s="36"/>
      <c r="G98" s="36"/>
      <c r="H98" s="36"/>
    </row>
    <row r="99" spans="1:8" ht="15" thickBot="1" x14ac:dyDescent="0.25">
      <c r="A99" s="120"/>
      <c r="B99" s="123"/>
      <c r="C99" s="124"/>
      <c r="D99" s="36"/>
      <c r="E99" s="36"/>
      <c r="F99" s="36"/>
      <c r="G99" s="36"/>
      <c r="H99" s="36"/>
    </row>
    <row r="100" spans="1:8" ht="14.25" x14ac:dyDescent="0.2">
      <c r="A100" s="36"/>
      <c r="B100" s="36"/>
      <c r="C100" s="36"/>
      <c r="D100" s="36"/>
      <c r="E100" s="36"/>
      <c r="F100" s="36"/>
      <c r="G100" s="36"/>
      <c r="H100" s="36"/>
    </row>
    <row r="101" spans="1:8" ht="14.25" x14ac:dyDescent="0.2">
      <c r="A101" s="36"/>
      <c r="B101" s="36"/>
      <c r="C101" s="36"/>
      <c r="D101" s="36"/>
      <c r="E101" s="36"/>
      <c r="F101" s="36"/>
      <c r="G101" s="36"/>
      <c r="H101" s="36"/>
    </row>
    <row r="102" spans="1:8" ht="14.25" x14ac:dyDescent="0.2">
      <c r="A102" s="36"/>
      <c r="B102" s="36"/>
      <c r="C102" s="36"/>
      <c r="D102" s="36"/>
      <c r="E102" s="36"/>
      <c r="F102" s="36"/>
      <c r="G102" s="36"/>
      <c r="H102" s="36"/>
    </row>
    <row r="103" spans="1:8" ht="15.75" thickBot="1" x14ac:dyDescent="0.3">
      <c r="A103" s="41" t="s">
        <v>28</v>
      </c>
      <c r="B103" s="36"/>
      <c r="C103" s="36"/>
      <c r="D103" s="36"/>
      <c r="E103" s="36"/>
      <c r="F103" s="36"/>
      <c r="G103" s="36"/>
      <c r="H103" s="36"/>
    </row>
    <row r="104" spans="1:8" ht="14.25" x14ac:dyDescent="0.2">
      <c r="A104" s="113" t="s">
        <v>37</v>
      </c>
      <c r="B104" s="114"/>
      <c r="C104" s="114"/>
      <c r="D104" s="114"/>
      <c r="E104" s="114"/>
      <c r="F104" s="115"/>
      <c r="G104" s="36"/>
      <c r="H104" s="36"/>
    </row>
    <row r="105" spans="1:8" ht="15" thickBot="1" x14ac:dyDescent="0.25">
      <c r="A105" s="116"/>
      <c r="B105" s="117"/>
      <c r="C105" s="117"/>
      <c r="D105" s="117"/>
      <c r="E105" s="117"/>
      <c r="F105" s="118"/>
      <c r="G105" s="36"/>
      <c r="H105" s="36"/>
    </row>
    <row r="106" spans="1:8" ht="15" x14ac:dyDescent="0.25">
      <c r="A106" s="51"/>
      <c r="B106" s="52" t="s">
        <v>83</v>
      </c>
      <c r="C106" s="53" t="s">
        <v>29</v>
      </c>
      <c r="D106" s="53" t="s">
        <v>30</v>
      </c>
      <c r="E106" s="53" t="s">
        <v>31</v>
      </c>
      <c r="F106" s="54" t="s">
        <v>32</v>
      </c>
      <c r="G106" s="36"/>
      <c r="H106" s="36"/>
    </row>
    <row r="107" spans="1:8" ht="15" x14ac:dyDescent="0.25">
      <c r="A107" s="55" t="s">
        <v>33</v>
      </c>
      <c r="B107" s="56">
        <v>7.0000000000000007E-2</v>
      </c>
      <c r="C107" s="85"/>
      <c r="D107" s="85"/>
      <c r="E107" s="85"/>
      <c r="F107" s="79"/>
      <c r="G107" s="36"/>
      <c r="H107" s="36"/>
    </row>
    <row r="108" spans="1:8" ht="14.25" x14ac:dyDescent="0.2">
      <c r="A108" s="45"/>
      <c r="B108" s="33" t="s">
        <v>77</v>
      </c>
      <c r="C108" s="165">
        <v>-10000</v>
      </c>
      <c r="D108" s="86">
        <v>3750</v>
      </c>
      <c r="E108" s="86">
        <v>7500</v>
      </c>
      <c r="F108" s="79">
        <f>IRR(C108:E108)</f>
        <v>7.3590429922363976E-2</v>
      </c>
      <c r="G108" s="36"/>
      <c r="H108" s="36"/>
    </row>
    <row r="109" spans="1:8" ht="14.25" x14ac:dyDescent="0.2">
      <c r="A109" s="45"/>
      <c r="B109" s="33" t="s">
        <v>78</v>
      </c>
      <c r="C109" s="165">
        <v>-10000</v>
      </c>
      <c r="D109" s="86">
        <v>7500</v>
      </c>
      <c r="E109" s="86">
        <v>3750</v>
      </c>
      <c r="F109" s="79">
        <f t="shared" ref="F109:F110" si="15">IRR(C109:E109)</f>
        <v>9.3070330817311087E-2</v>
      </c>
      <c r="G109" s="36"/>
      <c r="H109" s="36"/>
    </row>
    <row r="110" spans="1:8" ht="14.25" x14ac:dyDescent="0.2">
      <c r="A110" s="45"/>
      <c r="B110" s="33" t="s">
        <v>79</v>
      </c>
      <c r="C110" s="165">
        <v>-35500</v>
      </c>
      <c r="D110" s="86">
        <v>22750</v>
      </c>
      <c r="E110" s="86">
        <v>16500</v>
      </c>
      <c r="F110" s="79">
        <f t="shared" si="15"/>
        <v>7.3721502066779854E-2</v>
      </c>
      <c r="G110" s="36"/>
      <c r="H110" s="36"/>
    </row>
    <row r="111" spans="1:8" ht="14.25" x14ac:dyDescent="0.2">
      <c r="A111" s="182" t="s">
        <v>84</v>
      </c>
      <c r="B111" s="181"/>
      <c r="C111" s="181"/>
      <c r="D111" s="181"/>
      <c r="E111" s="184"/>
      <c r="F111" s="183"/>
      <c r="G111" s="36"/>
      <c r="H111" s="36"/>
    </row>
    <row r="112" spans="1:8" ht="14.25" x14ac:dyDescent="0.2">
      <c r="A112" s="45" t="s">
        <v>85</v>
      </c>
      <c r="B112" s="33" t="s">
        <v>80</v>
      </c>
      <c r="C112" s="165">
        <f>C108-C110</f>
        <v>25500</v>
      </c>
      <c r="D112" s="165">
        <f>D108-D110</f>
        <v>-19000</v>
      </c>
      <c r="E112" s="165">
        <f>E108-E110</f>
        <v>-9000</v>
      </c>
      <c r="F112" s="79">
        <f>IRR(C112:E112)</f>
        <v>7.3786460480300686E-2</v>
      </c>
      <c r="G112" s="36"/>
      <c r="H112" s="36"/>
    </row>
    <row r="113" spans="1:8" ht="14.25" x14ac:dyDescent="0.2">
      <c r="A113" s="45"/>
      <c r="B113" s="33" t="s">
        <v>81</v>
      </c>
      <c r="C113" s="86">
        <f>C108-C109</f>
        <v>0</v>
      </c>
      <c r="D113" s="86">
        <f>D108-D109</f>
        <v>-3750</v>
      </c>
      <c r="E113" s="86">
        <f>E108-E109</f>
        <v>3750</v>
      </c>
      <c r="F113" s="79">
        <f>IRR(C113:E113)</f>
        <v>0</v>
      </c>
      <c r="G113" s="36"/>
      <c r="H113" s="36"/>
    </row>
    <row r="114" spans="1:8" ht="14.25" x14ac:dyDescent="0.2">
      <c r="A114" s="45"/>
      <c r="B114" s="33" t="s">
        <v>82</v>
      </c>
      <c r="C114" s="165">
        <f>C109-C110</f>
        <v>25500</v>
      </c>
      <c r="D114" s="165">
        <f>D109-D110</f>
        <v>-15250</v>
      </c>
      <c r="E114" s="165">
        <f>E109-E110</f>
        <v>-12750</v>
      </c>
      <c r="F114" s="79">
        <f>IRR(C114:E114)</f>
        <v>6.6751804559324945E-2</v>
      </c>
      <c r="G114" s="36"/>
      <c r="H114" s="36"/>
    </row>
    <row r="115" spans="1:8" ht="14.25" x14ac:dyDescent="0.2">
      <c r="A115" s="45"/>
      <c r="B115" s="33"/>
      <c r="C115" s="86"/>
      <c r="D115" s="86"/>
      <c r="E115" s="86"/>
      <c r="F115" s="79"/>
      <c r="G115" s="36"/>
      <c r="H115" s="36"/>
    </row>
    <row r="116" spans="1:8" ht="15" thickBot="1" x14ac:dyDescent="0.25">
      <c r="A116" s="45"/>
      <c r="B116" s="33"/>
      <c r="C116" s="86"/>
      <c r="D116" s="87"/>
      <c r="E116" s="87"/>
      <c r="F116" s="80"/>
      <c r="G116" s="36"/>
      <c r="H116" s="36"/>
    </row>
    <row r="117" spans="1:8" ht="14.25" x14ac:dyDescent="0.2">
      <c r="A117" s="101" t="s">
        <v>34</v>
      </c>
      <c r="B117" s="102"/>
      <c r="C117" s="125">
        <f>F112</f>
        <v>7.3786460480300686E-2</v>
      </c>
      <c r="D117" s="122"/>
      <c r="E117" s="36"/>
      <c r="F117" s="36"/>
      <c r="G117" s="36"/>
      <c r="H117" s="36"/>
    </row>
    <row r="118" spans="1:8" ht="15" thickBot="1" x14ac:dyDescent="0.25">
      <c r="A118" s="103"/>
      <c r="B118" s="104"/>
      <c r="C118" s="126"/>
      <c r="D118" s="124"/>
      <c r="E118" s="36"/>
      <c r="F118" s="36"/>
      <c r="G118" s="36"/>
      <c r="H118" s="36"/>
    </row>
    <row r="119" spans="1:8" ht="14.25" x14ac:dyDescent="0.2">
      <c r="A119" s="101" t="s">
        <v>35</v>
      </c>
      <c r="B119" s="102"/>
      <c r="C119" s="185" t="s">
        <v>77</v>
      </c>
      <c r="D119" s="186"/>
      <c r="E119" s="36"/>
      <c r="F119" s="36"/>
      <c r="G119" s="36"/>
      <c r="H119" s="36"/>
    </row>
    <row r="120" spans="1:8" ht="15" thickBot="1" x14ac:dyDescent="0.25">
      <c r="A120" s="103"/>
      <c r="B120" s="104"/>
      <c r="C120" s="187"/>
      <c r="D120" s="188"/>
      <c r="E120" s="36"/>
      <c r="F120" s="36"/>
      <c r="G120" s="36"/>
      <c r="H120" s="36"/>
    </row>
    <row r="121" spans="1:8" ht="14.25" x14ac:dyDescent="0.2">
      <c r="B121" s="58"/>
      <c r="C121" s="36"/>
      <c r="D121" s="36"/>
      <c r="E121" s="36"/>
      <c r="F121" s="36"/>
      <c r="G121" s="36"/>
      <c r="H121" s="59"/>
    </row>
    <row r="123" spans="1:8" x14ac:dyDescent="0.2">
      <c r="D123" s="3"/>
    </row>
    <row r="124" spans="1:8" x14ac:dyDescent="0.2">
      <c r="D124" s="3"/>
    </row>
    <row r="125" spans="1:8" x14ac:dyDescent="0.2">
      <c r="D125" s="3"/>
    </row>
    <row r="126" spans="1:8" x14ac:dyDescent="0.2">
      <c r="D126" s="3"/>
    </row>
    <row r="130" spans="1:1" ht="14.25" x14ac:dyDescent="0.2">
      <c r="A130" s="57" t="s">
        <v>36</v>
      </c>
    </row>
  </sheetData>
  <mergeCells count="77">
    <mergeCell ref="B92:D92"/>
    <mergeCell ref="A111:E111"/>
    <mergeCell ref="A63:B63"/>
    <mergeCell ref="A51:B51"/>
    <mergeCell ref="A52:B52"/>
    <mergeCell ref="A53:B53"/>
    <mergeCell ref="A54:B54"/>
    <mergeCell ref="D1:E1"/>
    <mergeCell ref="D2:E2"/>
    <mergeCell ref="D3:E3"/>
    <mergeCell ref="A22:C22"/>
    <mergeCell ref="A34:B34"/>
    <mergeCell ref="A21:B21"/>
    <mergeCell ref="A33:B33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64:B64"/>
    <mergeCell ref="A65:B65"/>
    <mergeCell ref="A60:B60"/>
    <mergeCell ref="A37:B37"/>
    <mergeCell ref="A38:B38"/>
    <mergeCell ref="A40:B40"/>
    <mergeCell ref="A49:B49"/>
    <mergeCell ref="A55:B55"/>
    <mergeCell ref="A56:B56"/>
    <mergeCell ref="A57:B57"/>
    <mergeCell ref="A58:B58"/>
    <mergeCell ref="A59:B59"/>
    <mergeCell ref="A50:B50"/>
    <mergeCell ref="A47:B47"/>
    <mergeCell ref="A61:B61"/>
    <mergeCell ref="A62:B62"/>
    <mergeCell ref="A48:B48"/>
    <mergeCell ref="A44:B44"/>
    <mergeCell ref="A41:I42"/>
    <mergeCell ref="C5:I5"/>
    <mergeCell ref="C38:D38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35:B35"/>
    <mergeCell ref="A39:B39"/>
    <mergeCell ref="A43:B43"/>
    <mergeCell ref="A45:B45"/>
    <mergeCell ref="A46:B46"/>
    <mergeCell ref="A32:B32"/>
    <mergeCell ref="A36:B36"/>
    <mergeCell ref="F69:H69"/>
    <mergeCell ref="A117:B118"/>
    <mergeCell ref="A119:B120"/>
    <mergeCell ref="A8:I9"/>
    <mergeCell ref="C119:D120"/>
    <mergeCell ref="D73:E73"/>
    <mergeCell ref="D74:E74"/>
    <mergeCell ref="D75:E75"/>
    <mergeCell ref="A79:H80"/>
    <mergeCell ref="A104:F105"/>
    <mergeCell ref="A98:A99"/>
    <mergeCell ref="B98:C99"/>
    <mergeCell ref="C117:D118"/>
    <mergeCell ref="F63:G64"/>
    <mergeCell ref="H63:I64"/>
    <mergeCell ref="A20:B20"/>
  </mergeCells>
  <phoneticPr fontId="2" type="noConversion"/>
  <pageMargins left="0.2" right="0.2" top="0.2" bottom="0.2" header="0" footer="0"/>
  <pageSetup scale="80" orientation="portrait" horizontalDpi="4294967292" verticalDpi="4294967292" r:id="rId1"/>
  <headerFooter alignWithMargins="0"/>
  <rowBreaks count="1" manualBreakCount="1">
    <brk id="72" max="16383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3" sqref="B13"/>
    </sheetView>
  </sheetViews>
  <sheetFormatPr baseColWidth="10" defaultRowHeight="12.75" x14ac:dyDescent="0.2"/>
  <sheetData>
    <row r="1" spans="1:3" ht="31.5" x14ac:dyDescent="0.5">
      <c r="A1" s="97" t="s">
        <v>40</v>
      </c>
    </row>
    <row r="2" spans="1:3" x14ac:dyDescent="0.2">
      <c r="A2" s="161" t="s">
        <v>53</v>
      </c>
    </row>
    <row r="3" spans="1:3" x14ac:dyDescent="0.2">
      <c r="A3" s="161" t="s">
        <v>29</v>
      </c>
      <c r="B3">
        <v>217000</v>
      </c>
    </row>
    <row r="4" spans="1:3" x14ac:dyDescent="0.2">
      <c r="A4" s="161" t="s">
        <v>54</v>
      </c>
    </row>
    <row r="5" spans="1:3" x14ac:dyDescent="0.2">
      <c r="A5" s="161" t="s">
        <v>55</v>
      </c>
      <c r="B5">
        <v>16000</v>
      </c>
    </row>
    <row r="6" spans="1:3" x14ac:dyDescent="0.2">
      <c r="A6" s="161" t="s">
        <v>56</v>
      </c>
    </row>
    <row r="7" spans="1:3" x14ac:dyDescent="0.2">
      <c r="A7" s="161" t="s">
        <v>57</v>
      </c>
      <c r="C7">
        <f>1-(20000/163400)^(1/11)</f>
        <v>0.17382752436880167</v>
      </c>
    </row>
    <row r="8" spans="1:3" x14ac:dyDescent="0.2">
      <c r="A8" s="161" t="s">
        <v>29</v>
      </c>
      <c r="B8">
        <v>163400</v>
      </c>
    </row>
    <row r="9" spans="1:3" x14ac:dyDescent="0.2">
      <c r="A9" s="161" t="s">
        <v>58</v>
      </c>
      <c r="B9">
        <v>20000</v>
      </c>
    </row>
    <row r="10" spans="1:3" x14ac:dyDescent="0.2">
      <c r="A10" s="161" t="s">
        <v>59</v>
      </c>
    </row>
    <row r="11" spans="1:3" x14ac:dyDescent="0.2">
      <c r="A11" s="161" t="s">
        <v>60</v>
      </c>
      <c r="B11">
        <f>1-(B9/B8)^(1/11)</f>
        <v>0.17382752436880167</v>
      </c>
    </row>
    <row r="12" spans="1:3" x14ac:dyDescent="0.2">
      <c r="A12" s="161" t="s">
        <v>61</v>
      </c>
      <c r="B12">
        <f>B8*B11</f>
        <v>28403.417481862194</v>
      </c>
    </row>
    <row r="13" spans="1:3" x14ac:dyDescent="0.2">
      <c r="A13" s="161" t="s">
        <v>70</v>
      </c>
      <c r="B13">
        <f>B8-B12</f>
        <v>134996.58251813782</v>
      </c>
    </row>
    <row r="14" spans="1:3" x14ac:dyDescent="0.2">
      <c r="A14" s="161" t="s">
        <v>64</v>
      </c>
      <c r="B14">
        <f>B13*B11</f>
        <v>23466.121737376547</v>
      </c>
    </row>
    <row r="15" spans="1:3" x14ac:dyDescent="0.2">
      <c r="A15" s="161" t="s">
        <v>62</v>
      </c>
      <c r="B15">
        <f>B13-B14</f>
        <v>111530.46078076126</v>
      </c>
    </row>
    <row r="16" spans="1:3" x14ac:dyDescent="0.2">
      <c r="A16" s="161" t="s">
        <v>65</v>
      </c>
      <c r="B16">
        <f>B15*B11</f>
        <v>19387.063889231456</v>
      </c>
    </row>
    <row r="17" spans="1:2" x14ac:dyDescent="0.2">
      <c r="A17" s="161" t="s">
        <v>63</v>
      </c>
      <c r="B17">
        <f>B15-B16</f>
        <v>92143.396891529803</v>
      </c>
    </row>
    <row r="18" spans="1:2" x14ac:dyDescent="0.2">
      <c r="A18" s="161" t="s">
        <v>67</v>
      </c>
      <c r="B18">
        <f>B17*B11</f>
        <v>16017.058568586561</v>
      </c>
    </row>
    <row r="19" spans="1:2" x14ac:dyDescent="0.2">
      <c r="A19" s="161" t="s">
        <v>66</v>
      </c>
      <c r="B19">
        <f>B17-B18</f>
        <v>76126.338322943237</v>
      </c>
    </row>
    <row r="20" spans="1:2" x14ac:dyDescent="0.2">
      <c r="A20" s="161" t="s">
        <v>71</v>
      </c>
      <c r="B20">
        <f>B19*B11</f>
        <v>13232.852929939056</v>
      </c>
    </row>
    <row r="21" spans="1:2" x14ac:dyDescent="0.2">
      <c r="A21" s="161" t="s">
        <v>68</v>
      </c>
      <c r="B21">
        <f>B19-B20</f>
        <v>62893.485393004179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Modèle</vt:lpstr>
      <vt:lpstr>Calcul perso</vt:lpstr>
    </vt:vector>
  </TitlesOfParts>
  <Company>Aucune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5</dc:title>
  <dc:creator>olblai</dc:creator>
  <cp:lastModifiedBy>Maya Salloum</cp:lastModifiedBy>
  <cp:lastPrinted>2016-11-15T20:13:58Z</cp:lastPrinted>
  <dcterms:created xsi:type="dcterms:W3CDTF">2006-11-14T14:22:35Z</dcterms:created>
  <dcterms:modified xsi:type="dcterms:W3CDTF">2019-06-06T01:34:08Z</dcterms:modified>
</cp:coreProperties>
</file>