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Y:\SSH3201\TP5\"/>
    </mc:Choice>
  </mc:AlternateContent>
  <bookViews>
    <workbookView xWindow="0" yWindow="0" windowWidth="21570" windowHeight="6540" tabRatio="954"/>
  </bookViews>
  <sheets>
    <sheet name="Modèle" sheetId="97" r:id="rId1"/>
    <sheet name="Calcul perso" sheetId="98" r:id="rId2"/>
    <sheet name="Question 3 -10%" sheetId="99" r:id="rId3"/>
    <sheet name="Question 3 +10%" sheetId="100" r:id="rId4"/>
  </sheets>
  <calcPr calcId="162913" iterate="1" iterateCount="100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0" i="97" l="1"/>
  <c r="D69" i="97"/>
  <c r="H69" i="97"/>
  <c r="C102" i="97"/>
  <c r="C94" i="97" l="1"/>
  <c r="K128" i="97" l="1"/>
  <c r="C59" i="100"/>
  <c r="I57" i="100"/>
  <c r="H57" i="100"/>
  <c r="G57" i="100"/>
  <c r="F57" i="100"/>
  <c r="E57" i="100"/>
  <c r="H56" i="100"/>
  <c r="G56" i="100"/>
  <c r="F56" i="100"/>
  <c r="H51" i="100"/>
  <c r="D51" i="100"/>
  <c r="C51" i="100"/>
  <c r="G51" i="100" s="1"/>
  <c r="K49" i="100"/>
  <c r="J49" i="100"/>
  <c r="H49" i="100"/>
  <c r="G49" i="100"/>
  <c r="F49" i="100"/>
  <c r="E49" i="100"/>
  <c r="D49" i="100"/>
  <c r="I46" i="100"/>
  <c r="K43" i="100"/>
  <c r="J43" i="100"/>
  <c r="H43" i="100"/>
  <c r="G43" i="100"/>
  <c r="F43" i="100"/>
  <c r="E43" i="100"/>
  <c r="D43" i="100"/>
  <c r="I41" i="100"/>
  <c r="I39" i="100"/>
  <c r="I47" i="100" s="1"/>
  <c r="I38" i="100"/>
  <c r="I43" i="100" s="1"/>
  <c r="K36" i="100"/>
  <c r="J36" i="100"/>
  <c r="I36" i="100"/>
  <c r="H36" i="100"/>
  <c r="G36" i="100"/>
  <c r="F36" i="100"/>
  <c r="E36" i="100"/>
  <c r="D36" i="100"/>
  <c r="D50" i="100" s="1"/>
  <c r="D32" i="100"/>
  <c r="D31" i="100"/>
  <c r="I56" i="100" s="1"/>
  <c r="I45" i="100" s="1"/>
  <c r="G27" i="100"/>
  <c r="G28" i="100" s="1"/>
  <c r="I25" i="100"/>
  <c r="H25" i="100"/>
  <c r="H27" i="100" s="1"/>
  <c r="H28" i="100" s="1"/>
  <c r="G25" i="100"/>
  <c r="F25" i="100"/>
  <c r="F27" i="100" s="1"/>
  <c r="F28" i="100" s="1"/>
  <c r="E25" i="100"/>
  <c r="D25" i="100"/>
  <c r="I24" i="100"/>
  <c r="I27" i="100" s="1"/>
  <c r="I28" i="100" s="1"/>
  <c r="H24" i="100"/>
  <c r="G24" i="100"/>
  <c r="F24" i="100"/>
  <c r="E24" i="100"/>
  <c r="E27" i="100" s="1"/>
  <c r="E28" i="100" s="1"/>
  <c r="D24" i="100"/>
  <c r="K21" i="100"/>
  <c r="J21" i="100"/>
  <c r="D21" i="100"/>
  <c r="I20" i="100"/>
  <c r="H20" i="100"/>
  <c r="G20" i="100"/>
  <c r="F20" i="100"/>
  <c r="E20" i="100"/>
  <c r="C16" i="100"/>
  <c r="C17" i="100" s="1"/>
  <c r="F15" i="100"/>
  <c r="E15" i="100"/>
  <c r="G13" i="100"/>
  <c r="F13" i="100"/>
  <c r="E13" i="100"/>
  <c r="H11" i="100"/>
  <c r="H15" i="100" s="1"/>
  <c r="G11" i="100"/>
  <c r="G15" i="100" s="1"/>
  <c r="F11" i="100"/>
  <c r="K126" i="97"/>
  <c r="F15" i="99"/>
  <c r="G15" i="99"/>
  <c r="H15" i="99"/>
  <c r="I15" i="99"/>
  <c r="E15" i="99"/>
  <c r="E16" i="99"/>
  <c r="E36" i="99"/>
  <c r="C59" i="99"/>
  <c r="I57" i="99"/>
  <c r="I46" i="99" s="1"/>
  <c r="H57" i="99"/>
  <c r="G57" i="99"/>
  <c r="F57" i="99"/>
  <c r="E57" i="99"/>
  <c r="H56" i="99"/>
  <c r="H51" i="99"/>
  <c r="F51" i="99"/>
  <c r="D51" i="99"/>
  <c r="C51" i="99"/>
  <c r="G51" i="99" s="1"/>
  <c r="K49" i="99"/>
  <c r="J49" i="99"/>
  <c r="H49" i="99"/>
  <c r="G49" i="99"/>
  <c r="F49" i="99"/>
  <c r="E49" i="99"/>
  <c r="D49" i="99"/>
  <c r="K43" i="99"/>
  <c r="J43" i="99"/>
  <c r="H43" i="99"/>
  <c r="G43" i="99"/>
  <c r="F43" i="99"/>
  <c r="E43" i="99"/>
  <c r="D43" i="99"/>
  <c r="I41" i="99"/>
  <c r="I39" i="99"/>
  <c r="I47" i="99" s="1"/>
  <c r="K36" i="99"/>
  <c r="J36" i="99"/>
  <c r="I36" i="99"/>
  <c r="H36" i="99"/>
  <c r="G36" i="99"/>
  <c r="F36" i="99"/>
  <c r="D32" i="99"/>
  <c r="D31" i="99"/>
  <c r="G56" i="99" s="1"/>
  <c r="I27" i="99"/>
  <c r="I28" i="99" s="1"/>
  <c r="G27" i="99"/>
  <c r="G28" i="99" s="1"/>
  <c r="E27" i="99"/>
  <c r="E28" i="99" s="1"/>
  <c r="I25" i="99"/>
  <c r="H25" i="99"/>
  <c r="H27" i="99" s="1"/>
  <c r="H28" i="99" s="1"/>
  <c r="G25" i="99"/>
  <c r="F25" i="99"/>
  <c r="F27" i="99" s="1"/>
  <c r="F28" i="99" s="1"/>
  <c r="E25" i="99"/>
  <c r="D25" i="99"/>
  <c r="I24" i="99"/>
  <c r="H24" i="99"/>
  <c r="G24" i="99"/>
  <c r="F24" i="99"/>
  <c r="E24" i="99"/>
  <c r="D24" i="99"/>
  <c r="K21" i="99"/>
  <c r="J21" i="99"/>
  <c r="D21" i="99"/>
  <c r="I20" i="99"/>
  <c r="H20" i="99"/>
  <c r="G20" i="99"/>
  <c r="F20" i="99"/>
  <c r="E20" i="99"/>
  <c r="C16" i="99"/>
  <c r="C17" i="99" s="1"/>
  <c r="E13" i="99"/>
  <c r="F11" i="99"/>
  <c r="F13" i="99" s="1"/>
  <c r="D52" i="97"/>
  <c r="E51" i="97"/>
  <c r="F51" i="97"/>
  <c r="F52" i="97" s="1"/>
  <c r="G51" i="97"/>
  <c r="H51" i="97"/>
  <c r="I51" i="97"/>
  <c r="D51" i="97"/>
  <c r="I50" i="97"/>
  <c r="E50" i="97"/>
  <c r="F50" i="97"/>
  <c r="G50" i="97"/>
  <c r="H50" i="97"/>
  <c r="G52" i="97"/>
  <c r="H52" i="97"/>
  <c r="E36" i="97"/>
  <c r="E52" i="97" s="1"/>
  <c r="D50" i="97"/>
  <c r="C51" i="97"/>
  <c r="F36" i="97"/>
  <c r="G36" i="97"/>
  <c r="H36" i="97"/>
  <c r="I36" i="97"/>
  <c r="I49" i="97"/>
  <c r="I47" i="97"/>
  <c r="E56" i="97"/>
  <c r="I46" i="97"/>
  <c r="C59" i="97"/>
  <c r="I45" i="97"/>
  <c r="F57" i="97"/>
  <c r="G57" i="97"/>
  <c r="H57" i="97"/>
  <c r="I57" i="97"/>
  <c r="F56" i="97"/>
  <c r="G56" i="97"/>
  <c r="H56" i="97"/>
  <c r="I56" i="97"/>
  <c r="E57" i="97"/>
  <c r="F25" i="97"/>
  <c r="G25" i="97"/>
  <c r="H25" i="97"/>
  <c r="I25" i="97"/>
  <c r="E25" i="97"/>
  <c r="F24" i="97"/>
  <c r="G24" i="97"/>
  <c r="H24" i="97"/>
  <c r="I24" i="97"/>
  <c r="E24" i="97"/>
  <c r="D49" i="97"/>
  <c r="I41" i="97"/>
  <c r="G12" i="98"/>
  <c r="F12" i="98"/>
  <c r="H12" i="98" s="1"/>
  <c r="E12" i="98"/>
  <c r="D12" i="98"/>
  <c r="D8" i="98"/>
  <c r="I39" i="97"/>
  <c r="I38" i="97"/>
  <c r="G16" i="100" l="1"/>
  <c r="G17" i="100" s="1"/>
  <c r="G21" i="100"/>
  <c r="G22" i="100" s="1"/>
  <c r="G29" i="100" s="1"/>
  <c r="G50" i="100" s="1"/>
  <c r="G52" i="100" s="1"/>
  <c r="H16" i="100"/>
  <c r="H17" i="100" s="1"/>
  <c r="I49" i="100"/>
  <c r="D52" i="100"/>
  <c r="I11" i="100"/>
  <c r="H13" i="100"/>
  <c r="E16" i="100"/>
  <c r="E17" i="100" s="1"/>
  <c r="E51" i="100"/>
  <c r="I51" i="100"/>
  <c r="E56" i="100"/>
  <c r="F16" i="100"/>
  <c r="F17" i="100" s="1"/>
  <c r="F51" i="100"/>
  <c r="E17" i="99"/>
  <c r="E21" i="99"/>
  <c r="E22" i="99" s="1"/>
  <c r="E29" i="99" s="1"/>
  <c r="E50" i="99" s="1"/>
  <c r="E51" i="99"/>
  <c r="I51" i="99"/>
  <c r="E56" i="99"/>
  <c r="I56" i="99"/>
  <c r="I45" i="99" s="1"/>
  <c r="I49" i="99" s="1"/>
  <c r="F16" i="99"/>
  <c r="F17" i="99" s="1"/>
  <c r="F56" i="99"/>
  <c r="G11" i="99"/>
  <c r="D36" i="99"/>
  <c r="D50" i="99" s="1"/>
  <c r="D52" i="99" s="1"/>
  <c r="I38" i="99"/>
  <c r="I43" i="99" s="1"/>
  <c r="I52" i="97"/>
  <c r="C53" i="97"/>
  <c r="D25" i="97"/>
  <c r="I27" i="97"/>
  <c r="I28" i="97" s="1"/>
  <c r="I29" i="97" s="1"/>
  <c r="D31" i="97"/>
  <c r="D32" i="97" s="1"/>
  <c r="F22" i="97"/>
  <c r="G22" i="97"/>
  <c r="H22" i="97"/>
  <c r="I22" i="97"/>
  <c r="E22" i="97"/>
  <c r="H17" i="97"/>
  <c r="I16" i="97"/>
  <c r="I17" i="97" s="1"/>
  <c r="H16" i="97"/>
  <c r="G16" i="97"/>
  <c r="G17" i="97" s="1"/>
  <c r="F16" i="97"/>
  <c r="F17" i="97" s="1"/>
  <c r="E16" i="97"/>
  <c r="E17" i="97" s="1"/>
  <c r="I15" i="97"/>
  <c r="H15" i="97"/>
  <c r="G15" i="97"/>
  <c r="F15" i="97"/>
  <c r="E15" i="97"/>
  <c r="C16" i="97"/>
  <c r="C17" i="97" s="1"/>
  <c r="F20" i="97"/>
  <c r="G20" i="97"/>
  <c r="H20" i="97"/>
  <c r="I20" i="97"/>
  <c r="E20" i="97"/>
  <c r="F13" i="97"/>
  <c r="G13" i="97"/>
  <c r="H13" i="97"/>
  <c r="I13" i="97"/>
  <c r="E13" i="97"/>
  <c r="F11" i="97"/>
  <c r="G11" i="97" s="1"/>
  <c r="H11" i="97" s="1"/>
  <c r="I11" i="97" s="1"/>
  <c r="F21" i="100" l="1"/>
  <c r="F22" i="100" s="1"/>
  <c r="F29" i="100" s="1"/>
  <c r="F50" i="100" s="1"/>
  <c r="F52" i="100" s="1"/>
  <c r="E21" i="100"/>
  <c r="E22" i="100" s="1"/>
  <c r="E29" i="100" s="1"/>
  <c r="E50" i="100" s="1"/>
  <c r="E52" i="100" s="1"/>
  <c r="I15" i="100"/>
  <c r="I13" i="100"/>
  <c r="H21" i="100"/>
  <c r="H22" i="100" s="1"/>
  <c r="H29" i="100" s="1"/>
  <c r="H50" i="100" s="1"/>
  <c r="H52" i="100" s="1"/>
  <c r="F21" i="99"/>
  <c r="F22" i="99" s="1"/>
  <c r="F29" i="99" s="1"/>
  <c r="F50" i="99" s="1"/>
  <c r="F52" i="99" s="1"/>
  <c r="G13" i="99"/>
  <c r="H11" i="99"/>
  <c r="E52" i="99"/>
  <c r="G27" i="97"/>
  <c r="G28" i="97" s="1"/>
  <c r="G29" i="97" s="1"/>
  <c r="D24" i="97"/>
  <c r="F27" i="97"/>
  <c r="F28" i="97" s="1"/>
  <c r="F29" i="97" s="1"/>
  <c r="E27" i="97"/>
  <c r="E28" i="97" s="1"/>
  <c r="E29" i="97" s="1"/>
  <c r="H27" i="97"/>
  <c r="H28" i="97" s="1"/>
  <c r="H29" i="97" s="1"/>
  <c r="E21" i="97"/>
  <c r="F21" i="97"/>
  <c r="I16" i="100" l="1"/>
  <c r="I17" i="100" s="1"/>
  <c r="H13" i="99"/>
  <c r="I11" i="99"/>
  <c r="G16" i="99"/>
  <c r="G17" i="99" s="1"/>
  <c r="G21" i="97"/>
  <c r="H21" i="97"/>
  <c r="I21" i="97"/>
  <c r="J21" i="97"/>
  <c r="K21" i="97"/>
  <c r="D21" i="97"/>
  <c r="J36" i="97"/>
  <c r="K36" i="97"/>
  <c r="D36" i="97"/>
  <c r="E49" i="97"/>
  <c r="F49" i="97"/>
  <c r="G49" i="97"/>
  <c r="H49" i="97"/>
  <c r="J49" i="97"/>
  <c r="K49" i="97"/>
  <c r="E43" i="97"/>
  <c r="F43" i="97"/>
  <c r="G43" i="97"/>
  <c r="H43" i="97"/>
  <c r="I43" i="97"/>
  <c r="J43" i="97"/>
  <c r="K43" i="97"/>
  <c r="D43" i="97"/>
  <c r="I21" i="100" l="1"/>
  <c r="I22" i="100" s="1"/>
  <c r="I29" i="100" s="1"/>
  <c r="I50" i="100" s="1"/>
  <c r="I52" i="100" s="1"/>
  <c r="C53" i="100" s="1"/>
  <c r="G21" i="99"/>
  <c r="G22" i="99" s="1"/>
  <c r="G29" i="99" s="1"/>
  <c r="G50" i="99" s="1"/>
  <c r="G52" i="99" s="1"/>
  <c r="H16" i="99"/>
  <c r="H17" i="99" s="1"/>
  <c r="H21" i="99"/>
  <c r="H22" i="99" s="1"/>
  <c r="H29" i="99" s="1"/>
  <c r="H50" i="99" s="1"/>
  <c r="H52" i="99" s="1"/>
  <c r="I13" i="99"/>
  <c r="D136" i="97"/>
  <c r="I16" i="99" l="1"/>
  <c r="I17" i="99" s="1"/>
  <c r="E136" i="97"/>
  <c r="I21" i="99" l="1"/>
  <c r="I22" i="99" s="1"/>
  <c r="I29" i="99" s="1"/>
  <c r="I50" i="99" s="1"/>
  <c r="I52" i="99" s="1"/>
  <c r="C53" i="99" s="1"/>
</calcChain>
</file>

<file path=xl/sharedStrings.xml><?xml version="1.0" encoding="utf-8"?>
<sst xmlns="http://schemas.openxmlformats.org/spreadsheetml/2006/main" count="185" uniqueCount="72">
  <si>
    <t>Flux monétaires</t>
  </si>
  <si>
    <t>Facteur d'actualisation</t>
  </si>
  <si>
    <t>Flux monétaires actualisés</t>
  </si>
  <si>
    <t>Valeur actuelle nette</t>
  </si>
  <si>
    <t xml:space="preserve">Année </t>
  </si>
  <si>
    <t>Flux monétaires nets d'exploitation</t>
  </si>
  <si>
    <t>Flux monétaires nets après impôts</t>
  </si>
  <si>
    <t>Coûts</t>
  </si>
  <si>
    <t>Coût totaux</t>
  </si>
  <si>
    <t>Produits des ventes</t>
  </si>
  <si>
    <t>DATA</t>
  </si>
  <si>
    <t>Ventes en unité</t>
  </si>
  <si>
    <t>Écart</t>
  </si>
  <si>
    <t>Impact sur la VAN en %</t>
  </si>
  <si>
    <t>Impact fiscal de l'exploitation</t>
  </si>
  <si>
    <t xml:space="preserve">Conclusion: </t>
  </si>
  <si>
    <t>Matricule</t>
  </si>
  <si>
    <t>Gr.</t>
  </si>
  <si>
    <t>Méthodes d'analyse des projets APRÈS impôt</t>
  </si>
  <si>
    <t>Calcul des ajustements fiscaux des valeurs de récupération</t>
  </si>
  <si>
    <t>NOM :</t>
  </si>
  <si>
    <t>Prén. :</t>
  </si>
  <si>
    <t>Impôt à payer</t>
  </si>
  <si>
    <t>Partie 2 - Analyse de sensibilité - QUESTION OBLIGATOIRE</t>
  </si>
  <si>
    <t>VAN après impôt</t>
  </si>
  <si>
    <t>Calcul, questionnement et notes</t>
  </si>
  <si>
    <t>Lab 6</t>
  </si>
  <si>
    <t>Effet fiscal sur disposition d'actifs</t>
  </si>
  <si>
    <t>Valeurs de récupération</t>
  </si>
  <si>
    <t>Prix de vente unitaire ($/u)</t>
  </si>
  <si>
    <t>Investissements</t>
  </si>
  <si>
    <t>Q1)</t>
  </si>
  <si>
    <t>Q2)</t>
  </si>
  <si>
    <t>a) le coût annuel équivalent après impôt (CAÉ)</t>
  </si>
  <si>
    <t>CAÉ</t>
  </si>
  <si>
    <t>AÉ</t>
  </si>
  <si>
    <t>RC</t>
  </si>
  <si>
    <t>b) l'annuité équivalente après impôt (AÉ)</t>
  </si>
  <si>
    <t>c) le recouvrement du capital après impôt (RC) - QUESTION BONUS</t>
  </si>
  <si>
    <t>Investissements totaux</t>
  </si>
  <si>
    <t>Valeurs de récupération totales</t>
  </si>
  <si>
    <t>Effet fiscal sur disposition d'actifs total</t>
  </si>
  <si>
    <r>
      <t>Q3</t>
    </r>
    <r>
      <rPr>
        <b/>
        <sz val="10"/>
        <rFont val=")"/>
      </rPr>
      <t>)</t>
    </r>
  </si>
  <si>
    <t>matières premières</t>
  </si>
  <si>
    <t>main d'œuvre directe</t>
  </si>
  <si>
    <t>frais généraux</t>
  </si>
  <si>
    <t>Publicité</t>
  </si>
  <si>
    <t>plan d'affaire</t>
  </si>
  <si>
    <t>autres frais</t>
  </si>
  <si>
    <t>DPA immeuble</t>
  </si>
  <si>
    <t>DPA équipement</t>
  </si>
  <si>
    <t>Immeuble</t>
  </si>
  <si>
    <t>Terrain</t>
  </si>
  <si>
    <t>équipement de production</t>
  </si>
  <si>
    <t>inventaire</t>
  </si>
  <si>
    <t>montant imposable</t>
  </si>
  <si>
    <t>Amortissement</t>
  </si>
  <si>
    <t>taux</t>
  </si>
  <si>
    <t>Immeuble (fermeture)</t>
  </si>
  <si>
    <t>FNACC Immeuble</t>
  </si>
  <si>
    <t>FNACC Équipement</t>
  </si>
  <si>
    <t>Équipement (non-fermeture)</t>
  </si>
  <si>
    <t>TRAM après impots</t>
  </si>
  <si>
    <t>VAN</t>
  </si>
  <si>
    <t>Explication de votre méthode : Pour obtenir ces nouvelles VANs nous avons simplement, recopier le tableau de la question 1 dans une autre fenetre en multipliant le prix des matières premières par 90% puis par 110%. Il nous a alors suffit de recopier les VANs obtenues.</t>
  </si>
  <si>
    <t>On remarque que la variations du prix des matières premières entraine une variations presque 4 fois supèrieurs pour la VAN. On en déduit que la VAN est particulièerement sensible aux pris des matières premières.</t>
  </si>
  <si>
    <t>Débours d'inv. Après impôt en annuité</t>
  </si>
  <si>
    <t>Débours d'exploitation après impot en annuité</t>
  </si>
  <si>
    <t>Valeurs de revente Eq</t>
  </si>
  <si>
    <t>Valeurs de revente Immeuble</t>
  </si>
  <si>
    <t>Équipement</t>
  </si>
  <si>
    <t>Annuïté 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</si>
</sst>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 * #,##0.00_)\ &quot;$&quot;_ ;_ * \(#,##0.00\)\ &quot;$&quot;_ ;_ * &quot;-&quot;??_)\ &quot;$&quot;_ ;_ @_ "/>
    <numFmt numFmtId="164" formatCode="#,##0\ &quot;$&quot;_-;[Red]#,##0\ &quot;$&quot;\-"/>
    <numFmt numFmtId="165" formatCode="_-* #,##0.00\ &quot;$&quot;_-;_-* #,##0.00\ &quot;$&quot;\-;_-* &quot;-&quot;??\ &quot;$&quot;_-;_-@_-"/>
    <numFmt numFmtId="166" formatCode="#,##0\ &quot;$&quot;_-"/>
    <numFmt numFmtId="167" formatCode="0.0000"/>
    <numFmt numFmtId="168" formatCode="_ * #,##0_)\ &quot;$&quot;_ ;_ * \(#,##0\)\ &quot;$&quot;_ ;_ * &quot;-&quot;??_)\ &quot;$&quot;_ ;_ @_ "/>
    <numFmt numFmtId="169" formatCode="h&quot; h &quot;mm;@"/>
    <numFmt numFmtId="170" formatCode="[$-F800]dddd\,\ mmmm\ dd\,\ yyyy"/>
    <numFmt numFmtId="171" formatCode="#,##0&quot; u&quot;"/>
    <numFmt numFmtId="172" formatCode="#,##0&quot; $/u&quot;"/>
  </numFmts>
  <fonts count="20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name val="Arial"/>
      <family val="2"/>
    </font>
    <font>
      <b/>
      <sz val="11"/>
      <color rgb="FF000000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sz val="24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b/>
      <sz val="10"/>
      <name val=")"/>
    </font>
    <font>
      <b/>
      <sz val="10"/>
      <color theme="1"/>
      <name val="Arial"/>
      <family val="2"/>
    </font>
    <font>
      <b/>
      <sz val="10"/>
      <color rgb="FF000000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2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8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</cellStyleXfs>
  <cellXfs count="237">
    <xf numFmtId="0" fontId="0" fillId="0" borderId="0" xfId="0"/>
    <xf numFmtId="0" fontId="3" fillId="0" borderId="0" xfId="0" applyFont="1"/>
    <xf numFmtId="0" fontId="0" fillId="0" borderId="0" xfId="0" applyFont="1" applyBorder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5" xfId="0" applyFont="1" applyBorder="1"/>
    <xf numFmtId="0" fontId="0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168" fontId="0" fillId="0" borderId="0" xfId="1" applyNumberFormat="1" applyFont="1" applyFill="1" applyBorder="1" applyAlignment="1">
      <alignment horizontal="right"/>
    </xf>
    <xf numFmtId="0" fontId="6" fillId="0" borderId="0" xfId="0" applyFont="1" applyBorder="1"/>
    <xf numFmtId="0" fontId="0" fillId="0" borderId="0" xfId="0" applyNumberFormat="1" applyFont="1" applyAlignment="1">
      <alignment horizontal="center"/>
    </xf>
    <xf numFmtId="0" fontId="3" fillId="0" borderId="12" xfId="0" applyFont="1" applyBorder="1"/>
    <xf numFmtId="168" fontId="7" fillId="0" borderId="0" xfId="0" applyNumberFormat="1" applyFont="1" applyFill="1" applyBorder="1"/>
    <xf numFmtId="168" fontId="0" fillId="0" borderId="0" xfId="0" applyNumberFormat="1" applyFont="1" applyBorder="1" applyAlignment="1">
      <alignment horizontal="right"/>
    </xf>
    <xf numFmtId="0" fontId="3" fillId="3" borderId="12" xfId="0" applyFont="1" applyFill="1" applyBorder="1" applyAlignment="1">
      <alignment horizontal="center"/>
    </xf>
    <xf numFmtId="9" fontId="0" fillId="3" borderId="15" xfId="0" applyNumberFormat="1" applyFont="1" applyFill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164" fontId="0" fillId="3" borderId="15" xfId="0" applyNumberFormat="1" applyFont="1" applyFill="1" applyBorder="1" applyAlignment="1">
      <alignment horizontal="center"/>
    </xf>
    <xf numFmtId="164" fontId="0" fillId="3" borderId="14" xfId="0" applyNumberFormat="1" applyFont="1" applyFill="1" applyBorder="1" applyAlignment="1">
      <alignment horizontal="center"/>
    </xf>
    <xf numFmtId="9" fontId="0" fillId="3" borderId="13" xfId="0" applyNumberFormat="1" applyFont="1" applyFill="1" applyBorder="1" applyAlignment="1">
      <alignment horizontal="center"/>
    </xf>
    <xf numFmtId="0" fontId="0" fillId="3" borderId="15" xfId="0" applyFont="1" applyFill="1" applyBorder="1" applyAlignment="1">
      <alignment horizontal="center"/>
    </xf>
    <xf numFmtId="166" fontId="0" fillId="3" borderId="13" xfId="0" applyNumberFormat="1" applyFont="1" applyFill="1" applyBorder="1" applyAlignment="1">
      <alignment horizontal="center"/>
    </xf>
    <xf numFmtId="10" fontId="0" fillId="3" borderId="15" xfId="0" applyNumberFormat="1" applyFont="1" applyFill="1" applyBorder="1" applyAlignment="1">
      <alignment horizontal="center"/>
    </xf>
    <xf numFmtId="49" fontId="8" fillId="0" borderId="9" xfId="0" applyNumberFormat="1" applyFont="1" applyBorder="1" applyAlignment="1"/>
    <xf numFmtId="49" fontId="9" fillId="0" borderId="9" xfId="0" applyNumberFormat="1" applyFont="1" applyBorder="1"/>
    <xf numFmtId="49" fontId="11" fillId="0" borderId="0" xfId="0" applyNumberFormat="1" applyFont="1" applyBorder="1" applyAlignment="1"/>
    <xf numFmtId="0" fontId="10" fillId="0" borderId="0" xfId="0" applyFont="1" applyBorder="1"/>
    <xf numFmtId="49" fontId="10" fillId="0" borderId="0" xfId="0" applyNumberFormat="1" applyFont="1" applyBorder="1"/>
    <xf numFmtId="0" fontId="10" fillId="0" borderId="0" xfId="0" applyFont="1"/>
    <xf numFmtId="0" fontId="11" fillId="0" borderId="0" xfId="0" applyFont="1"/>
    <xf numFmtId="167" fontId="0" fillId="3" borderId="0" xfId="0" applyNumberFormat="1" applyFont="1" applyFill="1" applyBorder="1" applyAlignment="1">
      <alignment horizontal="center"/>
    </xf>
    <xf numFmtId="168" fontId="0" fillId="3" borderId="2" xfId="0" applyNumberFormat="1" applyFont="1" applyFill="1" applyBorder="1"/>
    <xf numFmtId="168" fontId="0" fillId="3" borderId="0" xfId="0" applyNumberFormat="1" applyFont="1" applyFill="1" applyBorder="1"/>
    <xf numFmtId="168" fontId="6" fillId="3" borderId="0" xfId="0" applyNumberFormat="1" applyFont="1" applyFill="1" applyBorder="1"/>
    <xf numFmtId="168" fontId="6" fillId="0" borderId="10" xfId="1" applyNumberFormat="1" applyFont="1" applyFill="1" applyBorder="1"/>
    <xf numFmtId="0" fontId="1" fillId="0" borderId="0" xfId="283"/>
    <xf numFmtId="0" fontId="12" fillId="0" borderId="0" xfId="283" applyFont="1"/>
    <xf numFmtId="169" fontId="13" fillId="0" borderId="0" xfId="0" applyNumberFormat="1" applyFont="1"/>
    <xf numFmtId="168" fontId="0" fillId="0" borderId="9" xfId="0" applyNumberFormat="1" applyFont="1" applyFill="1" applyBorder="1"/>
    <xf numFmtId="168" fontId="0" fillId="3" borderId="0" xfId="0" applyNumberFormat="1" applyFont="1" applyFill="1" applyBorder="1" applyAlignment="1">
      <alignment horizontal="center"/>
    </xf>
    <xf numFmtId="168" fontId="3" fillId="0" borderId="9" xfId="0" applyNumberFormat="1" applyFont="1" applyFill="1" applyBorder="1"/>
    <xf numFmtId="0" fontId="3" fillId="3" borderId="9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171" fontId="0" fillId="3" borderId="0" xfId="0" applyNumberFormat="1" applyFont="1" applyFill="1" applyBorder="1" applyAlignment="1">
      <alignment horizontal="center"/>
    </xf>
    <xf numFmtId="172" fontId="0" fillId="3" borderId="14" xfId="1" applyNumberFormat="1" applyFont="1" applyFill="1" applyBorder="1" applyAlignment="1">
      <alignment horizontal="center"/>
    </xf>
    <xf numFmtId="172" fontId="0" fillId="3" borderId="5" xfId="1" applyNumberFormat="1" applyFont="1" applyFill="1" applyBorder="1" applyAlignment="1">
      <alignment horizontal="center"/>
    </xf>
    <xf numFmtId="168" fontId="0" fillId="0" borderId="2" xfId="1" applyNumberFormat="1" applyFont="1" applyFill="1" applyBorder="1" applyAlignment="1">
      <alignment horizontal="center"/>
    </xf>
    <xf numFmtId="168" fontId="0" fillId="0" borderId="0" xfId="1" applyNumberFormat="1" applyFont="1" applyFill="1" applyBorder="1" applyAlignment="1">
      <alignment horizontal="center"/>
    </xf>
    <xf numFmtId="168" fontId="0" fillId="0" borderId="0" xfId="1" applyNumberFormat="1" applyFont="1" applyFill="1" applyBorder="1"/>
    <xf numFmtId="168" fontId="6" fillId="0" borderId="0" xfId="1" applyNumberFormat="1" applyFont="1" applyFill="1" applyBorder="1"/>
    <xf numFmtId="168" fontId="6" fillId="0" borderId="25" xfId="1" applyNumberFormat="1" applyFont="1" applyFill="1" applyBorder="1"/>
    <xf numFmtId="9" fontId="0" fillId="3" borderId="13" xfId="2" applyFont="1" applyFill="1" applyBorder="1" applyAlignment="1">
      <alignment horizontal="center"/>
    </xf>
    <xf numFmtId="9" fontId="0" fillId="3" borderId="15" xfId="2" applyFont="1" applyFill="1" applyBorder="1" applyAlignment="1">
      <alignment horizontal="center"/>
    </xf>
    <xf numFmtId="168" fontId="3" fillId="0" borderId="2" xfId="1" applyNumberFormat="1" applyFont="1" applyFill="1" applyBorder="1" applyAlignment="1">
      <alignment horizontal="center"/>
    </xf>
    <xf numFmtId="168" fontId="3" fillId="0" borderId="28" xfId="1" applyNumberFormat="1" applyFont="1" applyFill="1" applyBorder="1" applyAlignment="1">
      <alignment horizontal="center"/>
    </xf>
    <xf numFmtId="9" fontId="0" fillId="3" borderId="30" xfId="0" applyNumberFormat="1" applyFont="1" applyFill="1" applyBorder="1" applyAlignment="1">
      <alignment horizontal="center"/>
    </xf>
    <xf numFmtId="168" fontId="3" fillId="0" borderId="20" xfId="0" applyNumberFormat="1" applyFont="1" applyFill="1" applyBorder="1" applyAlignment="1">
      <alignment horizontal="center"/>
    </xf>
    <xf numFmtId="168" fontId="3" fillId="0" borderId="20" xfId="0" applyNumberFormat="1" applyFont="1" applyFill="1" applyBorder="1"/>
    <xf numFmtId="168" fontId="3" fillId="0" borderId="21" xfId="0" applyNumberFormat="1" applyFont="1" applyFill="1" applyBorder="1"/>
    <xf numFmtId="168" fontId="6" fillId="3" borderId="25" xfId="0" applyNumberFormat="1" applyFont="1" applyFill="1" applyBorder="1"/>
    <xf numFmtId="168" fontId="6" fillId="0" borderId="29" xfId="1" applyNumberFormat="1" applyFont="1" applyFill="1" applyBorder="1"/>
    <xf numFmtId="168" fontId="7" fillId="0" borderId="25" xfId="0" applyNumberFormat="1" applyFont="1" applyFill="1" applyBorder="1"/>
    <xf numFmtId="0" fontId="6" fillId="3" borderId="1" xfId="0" applyFont="1" applyFill="1" applyBorder="1" applyAlignment="1"/>
    <xf numFmtId="0" fontId="6" fillId="3" borderId="3" xfId="0" applyFont="1" applyFill="1" applyBorder="1" applyAlignment="1"/>
    <xf numFmtId="0" fontId="0" fillId="3" borderId="3" xfId="0" applyFont="1" applyFill="1" applyBorder="1"/>
    <xf numFmtId="168" fontId="0" fillId="0" borderId="3" xfId="0" applyNumberFormat="1" applyFont="1" applyFill="1" applyBorder="1"/>
    <xf numFmtId="168" fontId="0" fillId="0" borderId="3" xfId="0" applyNumberFormat="1" applyFont="1" applyFill="1" applyBorder="1" applyAlignment="1">
      <alignment horizontal="center"/>
    </xf>
    <xf numFmtId="0" fontId="0" fillId="0" borderId="1" xfId="0" applyFont="1" applyBorder="1"/>
    <xf numFmtId="0" fontId="0" fillId="0" borderId="3" xfId="0" applyFont="1" applyBorder="1"/>
    <xf numFmtId="168" fontId="3" fillId="0" borderId="10" xfId="1" applyNumberFormat="1" applyFont="1" applyFill="1" applyBorder="1" applyAlignment="1">
      <alignment horizontal="right"/>
    </xf>
    <xf numFmtId="168" fontId="3" fillId="0" borderId="0" xfId="1" applyNumberFormat="1" applyFont="1" applyFill="1" applyBorder="1" applyAlignment="1">
      <alignment horizontal="center"/>
    </xf>
    <xf numFmtId="168" fontId="3" fillId="0" borderId="25" xfId="1" applyNumberFormat="1" applyFont="1" applyFill="1" applyBorder="1" applyAlignment="1">
      <alignment horizontal="center"/>
    </xf>
    <xf numFmtId="168" fontId="3" fillId="0" borderId="9" xfId="1" applyNumberFormat="1" applyFont="1" applyFill="1" applyBorder="1" applyAlignment="1">
      <alignment horizontal="right"/>
    </xf>
    <xf numFmtId="168" fontId="3" fillId="0" borderId="29" xfId="1" applyNumberFormat="1" applyFont="1" applyFill="1" applyBorder="1" applyAlignment="1">
      <alignment horizontal="right"/>
    </xf>
    <xf numFmtId="168" fontId="0" fillId="0" borderId="9" xfId="1" applyNumberFormat="1" applyFont="1" applyFill="1" applyBorder="1"/>
    <xf numFmtId="0" fontId="3" fillId="0" borderId="27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3" borderId="9" xfId="0" applyFont="1" applyFill="1" applyBorder="1" applyAlignment="1">
      <alignment horizontal="center"/>
    </xf>
    <xf numFmtId="168" fontId="3" fillId="0" borderId="0" xfId="1" applyNumberFormat="1" applyFont="1" applyFill="1" applyBorder="1"/>
    <xf numFmtId="49" fontId="15" fillId="0" borderId="12" xfId="0" applyNumberFormat="1" applyFont="1" applyBorder="1"/>
    <xf numFmtId="0" fontId="1" fillId="0" borderId="12" xfId="0" applyFont="1" applyBorder="1"/>
    <xf numFmtId="0" fontId="3" fillId="0" borderId="12" xfId="0" applyFont="1" applyBorder="1" applyAlignment="1">
      <alignment horizontal="right"/>
    </xf>
    <xf numFmtId="0" fontId="1" fillId="0" borderId="0" xfId="0" applyFont="1"/>
    <xf numFmtId="49" fontId="1" fillId="0" borderId="0" xfId="0" applyNumberFormat="1" applyFont="1" applyBorder="1" applyAlignment="1"/>
    <xf numFmtId="0" fontId="1" fillId="0" borderId="0" xfId="0" applyFont="1" applyAlignment="1">
      <alignment horizontal="center" vertical="center"/>
    </xf>
    <xf numFmtId="171" fontId="1" fillId="3" borderId="0" xfId="0" applyNumberFormat="1" applyFont="1" applyFill="1" applyBorder="1" applyAlignment="1">
      <alignment horizontal="center"/>
    </xf>
    <xf numFmtId="171" fontId="1" fillId="5" borderId="0" xfId="0" applyNumberFormat="1" applyFont="1" applyFill="1" applyBorder="1" applyAlignment="1">
      <alignment horizontal="center"/>
    </xf>
    <xf numFmtId="172" fontId="1" fillId="3" borderId="5" xfId="1" applyNumberFormat="1" applyFont="1" applyFill="1" applyBorder="1" applyAlignment="1">
      <alignment horizontal="center"/>
    </xf>
    <xf numFmtId="172" fontId="1" fillId="5" borderId="5" xfId="1" applyNumberFormat="1" applyFont="1" applyFill="1" applyBorder="1" applyAlignment="1">
      <alignment horizontal="center"/>
    </xf>
    <xf numFmtId="44" fontId="1" fillId="0" borderId="28" xfId="1" applyNumberFormat="1" applyFont="1" applyFill="1" applyBorder="1"/>
    <xf numFmtId="44" fontId="1" fillId="0" borderId="25" xfId="1" applyNumberFormat="1" applyFont="1" applyFill="1" applyBorder="1"/>
    <xf numFmtId="168" fontId="1" fillId="3" borderId="2" xfId="0" applyNumberFormat="1" applyFont="1" applyFill="1" applyBorder="1"/>
    <xf numFmtId="168" fontId="1" fillId="3" borderId="28" xfId="0" applyNumberFormat="1" applyFont="1" applyFill="1" applyBorder="1"/>
    <xf numFmtId="168" fontId="1" fillId="3" borderId="0" xfId="0" applyNumberFormat="1" applyFont="1" applyFill="1" applyBorder="1"/>
    <xf numFmtId="168" fontId="1" fillId="3" borderId="25" xfId="0" applyNumberFormat="1" applyFont="1" applyFill="1" applyBorder="1"/>
    <xf numFmtId="168" fontId="1" fillId="0" borderId="2" xfId="1" applyNumberFormat="1" applyFont="1" applyFill="1" applyBorder="1"/>
    <xf numFmtId="168" fontId="1" fillId="0" borderId="28" xfId="1" applyNumberFormat="1" applyFont="1" applyFill="1" applyBorder="1"/>
    <xf numFmtId="168" fontId="1" fillId="0" borderId="0" xfId="1" applyNumberFormat="1" applyFont="1" applyFill="1" applyBorder="1"/>
    <xf numFmtId="168" fontId="1" fillId="0" borderId="25" xfId="1" applyNumberFormat="1" applyFont="1" applyFill="1" applyBorder="1"/>
    <xf numFmtId="168" fontId="1" fillId="0" borderId="25" xfId="1" applyNumberFormat="1" applyFont="1" applyFill="1" applyBorder="1" applyAlignment="1">
      <alignment horizontal="right"/>
    </xf>
    <xf numFmtId="168" fontId="1" fillId="0" borderId="0" xfId="0" applyNumberFormat="1" applyFont="1" applyFill="1" applyBorder="1"/>
    <xf numFmtId="168" fontId="1" fillId="0" borderId="25" xfId="0" applyNumberFormat="1" applyFont="1" applyFill="1" applyBorder="1"/>
    <xf numFmtId="167" fontId="1" fillId="3" borderId="0" xfId="0" applyNumberFormat="1" applyFont="1" applyFill="1" applyBorder="1" applyAlignment="1">
      <alignment horizontal="center"/>
    </xf>
    <xf numFmtId="167" fontId="1" fillId="3" borderId="25" xfId="0" applyNumberFormat="1" applyFont="1" applyFill="1" applyBorder="1" applyAlignment="1">
      <alignment horizontal="center"/>
    </xf>
    <xf numFmtId="0" fontId="1" fillId="0" borderId="0" xfId="0" applyFont="1" applyBorder="1"/>
    <xf numFmtId="0" fontId="1" fillId="0" borderId="6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25" xfId="0" applyFont="1" applyBorder="1"/>
    <xf numFmtId="10" fontId="1" fillId="0" borderId="0" xfId="0" applyNumberFormat="1" applyFont="1" applyBorder="1"/>
    <xf numFmtId="168" fontId="1" fillId="0" borderId="0" xfId="0" applyNumberFormat="1" applyFont="1" applyBorder="1"/>
    <xf numFmtId="0" fontId="1" fillId="0" borderId="2" xfId="0" applyFont="1" applyBorder="1"/>
    <xf numFmtId="168" fontId="1" fillId="0" borderId="0" xfId="0" applyNumberFormat="1" applyFont="1" applyBorder="1" applyAlignment="1">
      <alignment horizontal="right"/>
    </xf>
    <xf numFmtId="10" fontId="1" fillId="2" borderId="40" xfId="2" applyNumberFormat="1" applyFont="1" applyFill="1" applyBorder="1" applyAlignment="1">
      <alignment horizontal="right"/>
    </xf>
    <xf numFmtId="44" fontId="17" fillId="0" borderId="1" xfId="1" applyNumberFormat="1" applyFont="1" applyFill="1" applyBorder="1" applyAlignment="1">
      <alignment horizontal="center"/>
    </xf>
    <xf numFmtId="44" fontId="18" fillId="0" borderId="2" xfId="1" applyNumberFormat="1" applyFont="1" applyBorder="1" applyAlignment="1">
      <alignment horizontal="left"/>
    </xf>
    <xf numFmtId="44" fontId="17" fillId="0" borderId="2" xfId="1" applyNumberFormat="1" applyFont="1" applyFill="1" applyBorder="1"/>
    <xf numFmtId="44" fontId="17" fillId="0" borderId="0" xfId="1" applyNumberFormat="1" applyFont="1" applyFill="1" applyBorder="1" applyAlignment="1">
      <alignment horizontal="center"/>
    </xf>
    <xf numFmtId="44" fontId="17" fillId="0" borderId="0" xfId="1" applyNumberFormat="1" applyFont="1"/>
    <xf numFmtId="44" fontId="17" fillId="0" borderId="0" xfId="1" applyNumberFormat="1" applyFont="1" applyFill="1" applyBorder="1"/>
    <xf numFmtId="168" fontId="18" fillId="0" borderId="9" xfId="1" applyNumberFormat="1" applyFont="1" applyFill="1" applyBorder="1" applyAlignment="1">
      <alignment horizontal="right"/>
    </xf>
    <xf numFmtId="168" fontId="18" fillId="0" borderId="10" xfId="1" applyNumberFormat="1" applyFont="1" applyFill="1" applyBorder="1" applyAlignment="1">
      <alignment horizontal="right"/>
    </xf>
    <xf numFmtId="164" fontId="17" fillId="0" borderId="0" xfId="1" applyNumberFormat="1" applyFont="1"/>
    <xf numFmtId="168" fontId="17" fillId="0" borderId="0" xfId="1" applyNumberFormat="1" applyFont="1"/>
    <xf numFmtId="0" fontId="3" fillId="0" borderId="2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9" fontId="3" fillId="0" borderId="27" xfId="2" applyFont="1" applyBorder="1" applyAlignment="1">
      <alignment horizontal="left" vertical="top"/>
    </xf>
    <xf numFmtId="9" fontId="3" fillId="0" borderId="2" xfId="2" applyFont="1" applyBorder="1" applyAlignment="1">
      <alignment horizontal="left" vertical="top"/>
    </xf>
    <xf numFmtId="9" fontId="3" fillId="0" borderId="28" xfId="2" applyFont="1" applyBorder="1" applyAlignment="1">
      <alignment horizontal="left" vertical="top"/>
    </xf>
    <xf numFmtId="9" fontId="3" fillId="0" borderId="24" xfId="2" applyFont="1" applyBorder="1" applyAlignment="1">
      <alignment horizontal="left" vertical="top"/>
    </xf>
    <xf numFmtId="9" fontId="3" fillId="0" borderId="0" xfId="2" applyFont="1" applyBorder="1" applyAlignment="1">
      <alignment horizontal="left" vertical="top"/>
    </xf>
    <xf numFmtId="9" fontId="3" fillId="0" borderId="25" xfId="2" applyFont="1" applyBorder="1" applyAlignment="1">
      <alignment horizontal="left" vertical="top"/>
    </xf>
    <xf numFmtId="9" fontId="3" fillId="0" borderId="22" xfId="2" applyFont="1" applyBorder="1" applyAlignment="1">
      <alignment horizontal="left" vertical="top"/>
    </xf>
    <xf numFmtId="9" fontId="3" fillId="0" borderId="5" xfId="2" applyFont="1" applyBorder="1" applyAlignment="1">
      <alignment horizontal="left" vertical="top"/>
    </xf>
    <xf numFmtId="9" fontId="3" fillId="0" borderId="23" xfId="2" applyFont="1" applyBorder="1" applyAlignment="1">
      <alignment horizontal="left" vertical="top"/>
    </xf>
    <xf numFmtId="0" fontId="0" fillId="0" borderId="0" xfId="2" applyNumberFormat="1" applyFont="1" applyBorder="1" applyAlignment="1">
      <alignment horizontal="center" wrapText="1"/>
    </xf>
    <xf numFmtId="0" fontId="0" fillId="0" borderId="25" xfId="2" applyNumberFormat="1" applyFont="1" applyBorder="1" applyAlignment="1">
      <alignment horizontal="center" wrapText="1"/>
    </xf>
    <xf numFmtId="0" fontId="0" fillId="0" borderId="41" xfId="2" applyNumberFormat="1" applyFont="1" applyBorder="1" applyAlignment="1">
      <alignment horizontal="center" wrapText="1"/>
    </xf>
    <xf numFmtId="0" fontId="0" fillId="0" borderId="20" xfId="2" applyNumberFormat="1" applyFont="1" applyBorder="1" applyAlignment="1">
      <alignment horizontal="center" wrapText="1"/>
    </xf>
    <xf numFmtId="0" fontId="0" fillId="0" borderId="21" xfId="2" applyNumberFormat="1" applyFont="1" applyBorder="1" applyAlignment="1">
      <alignment horizontal="center" wrapText="1"/>
    </xf>
    <xf numFmtId="0" fontId="3" fillId="0" borderId="6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31" xfId="0" applyFont="1" applyBorder="1" applyAlignment="1">
      <alignment horizontal="left"/>
    </xf>
    <xf numFmtId="0" fontId="3" fillId="0" borderId="32" xfId="0" applyFont="1" applyBorder="1" applyAlignment="1">
      <alignment horizontal="left"/>
    </xf>
    <xf numFmtId="168" fontId="3" fillId="2" borderId="44" xfId="0" applyNumberFormat="1" applyFont="1" applyFill="1" applyBorder="1" applyAlignment="1">
      <alignment horizontal="center" vertical="center"/>
    </xf>
    <xf numFmtId="168" fontId="3" fillId="2" borderId="34" xfId="0" applyNumberFormat="1" applyFont="1" applyFill="1" applyBorder="1" applyAlignment="1">
      <alignment horizontal="center" vertical="center"/>
    </xf>
    <xf numFmtId="0" fontId="3" fillId="0" borderId="27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168" fontId="3" fillId="2" borderId="33" xfId="0" applyNumberFormat="1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/>
    </xf>
    <xf numFmtId="0" fontId="3" fillId="3" borderId="43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44" xfId="0" applyFont="1" applyFill="1" applyBorder="1" applyAlignment="1">
      <alignment horizontal="center"/>
    </xf>
    <xf numFmtId="0" fontId="0" fillId="3" borderId="34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0" borderId="8" xfId="0" applyFont="1" applyBorder="1" applyAlignment="1">
      <alignment horizontal="left"/>
    </xf>
    <xf numFmtId="0" fontId="3" fillId="0" borderId="37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11" fillId="4" borderId="16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center" vertical="center"/>
    </xf>
    <xf numFmtId="0" fontId="11" fillId="4" borderId="21" xfId="0" applyFont="1" applyFill="1" applyBorder="1" applyAlignment="1">
      <alignment horizontal="center" vertical="center"/>
    </xf>
    <xf numFmtId="0" fontId="3" fillId="0" borderId="35" xfId="0" applyFont="1" applyBorder="1" applyAlignment="1">
      <alignment horizontal="left"/>
    </xf>
    <xf numFmtId="0" fontId="3" fillId="0" borderId="36" xfId="0" applyFont="1" applyBorder="1" applyAlignment="1">
      <alignment horizontal="left"/>
    </xf>
    <xf numFmtId="170" fontId="16" fillId="0" borderId="0" xfId="0" applyNumberFormat="1" applyFont="1" applyAlignment="1">
      <alignment horizontal="left"/>
    </xf>
    <xf numFmtId="49" fontId="10" fillId="0" borderId="9" xfId="0" applyNumberFormat="1" applyFont="1" applyBorder="1" applyAlignment="1">
      <alignment horizontal="center"/>
    </xf>
    <xf numFmtId="49" fontId="10" fillId="0" borderId="11" xfId="0" applyNumberFormat="1" applyFont="1" applyBorder="1" applyAlignment="1">
      <alignment horizontal="center"/>
    </xf>
    <xf numFmtId="9" fontId="3" fillId="0" borderId="24" xfId="2" applyFont="1" applyBorder="1" applyAlignment="1">
      <alignment horizontal="center"/>
    </xf>
    <xf numFmtId="9" fontId="3" fillId="0" borderId="6" xfId="2" applyFont="1" applyBorder="1" applyAlignment="1">
      <alignment horizontal="center"/>
    </xf>
    <xf numFmtId="0" fontId="3" fillId="0" borderId="2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11" fillId="0" borderId="0" xfId="0" applyFont="1" applyAlignment="1">
      <alignment horizontal="center"/>
    </xf>
    <xf numFmtId="0" fontId="0" fillId="0" borderId="31" xfId="0" applyFont="1" applyBorder="1" applyAlignment="1">
      <alignment horizontal="left"/>
    </xf>
    <xf numFmtId="0" fontId="0" fillId="0" borderId="32" xfId="0" applyFont="1" applyBorder="1" applyAlignment="1">
      <alignment horizontal="left"/>
    </xf>
    <xf numFmtId="0" fontId="0" fillId="3" borderId="33" xfId="0" applyFont="1" applyFill="1" applyBorder="1" applyAlignment="1">
      <alignment horizontal="center"/>
    </xf>
    <xf numFmtId="0" fontId="3" fillId="0" borderId="38" xfId="0" applyFont="1" applyBorder="1" applyAlignment="1">
      <alignment horizontal="center" wrapText="1"/>
    </xf>
    <xf numFmtId="0" fontId="3" fillId="0" borderId="40" xfId="0" applyFont="1" applyBorder="1" applyAlignment="1">
      <alignment horizontal="center" wrapText="1"/>
    </xf>
    <xf numFmtId="0" fontId="3" fillId="0" borderId="39" xfId="0" applyFont="1" applyBorder="1" applyAlignment="1">
      <alignment horizontal="center" wrapText="1"/>
    </xf>
    <xf numFmtId="0" fontId="3" fillId="0" borderId="24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3" fillId="0" borderId="37" xfId="0" applyFont="1" applyBorder="1" applyAlignment="1">
      <alignment horizontal="right" vertical="center"/>
    </xf>
    <xf numFmtId="9" fontId="3" fillId="0" borderId="11" xfId="0" applyNumberFormat="1" applyFont="1" applyBorder="1" applyAlignment="1">
      <alignment horizontal="left"/>
    </xf>
    <xf numFmtId="44" fontId="0" fillId="0" borderId="9" xfId="0" applyNumberFormat="1" applyFont="1" applyFill="1" applyBorder="1"/>
    <xf numFmtId="168" fontId="1" fillId="0" borderId="0" xfId="283" applyNumberFormat="1"/>
    <xf numFmtId="168" fontId="0" fillId="0" borderId="0" xfId="0" applyNumberFormat="1" applyFont="1" applyBorder="1" applyAlignment="1">
      <alignment horizontal="center"/>
    </xf>
    <xf numFmtId="168" fontId="1" fillId="6" borderId="0" xfId="0" applyNumberFormat="1" applyFont="1" applyFill="1" applyBorder="1"/>
    <xf numFmtId="10" fontId="0" fillId="0" borderId="0" xfId="2" applyNumberFormat="1" applyFont="1" applyBorder="1"/>
    <xf numFmtId="44" fontId="1" fillId="0" borderId="0" xfId="1" applyNumberFormat="1" applyFont="1" applyFill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9" fontId="0" fillId="0" borderId="0" xfId="0" applyNumberFormat="1" applyFont="1" applyFill="1" applyBorder="1" applyAlignment="1">
      <alignment horizontal="center"/>
    </xf>
    <xf numFmtId="171" fontId="0" fillId="0" borderId="0" xfId="0" applyNumberFormat="1" applyFont="1" applyFill="1" applyBorder="1" applyAlignment="1">
      <alignment horizontal="center"/>
    </xf>
    <xf numFmtId="171" fontId="1" fillId="0" borderId="0" xfId="0" applyNumberFormat="1" applyFont="1" applyFill="1" applyBorder="1" applyAlignment="1">
      <alignment horizontal="center"/>
    </xf>
    <xf numFmtId="172" fontId="0" fillId="0" borderId="0" xfId="1" applyNumberFormat="1" applyFont="1" applyFill="1" applyBorder="1" applyAlignment="1">
      <alignment horizontal="center"/>
    </xf>
    <xf numFmtId="172" fontId="1" fillId="0" borderId="0" xfId="1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9" fontId="19" fillId="0" borderId="0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44" fontId="0" fillId="0" borderId="2" xfId="0" applyNumberFormat="1" applyFont="1" applyBorder="1" applyAlignment="1">
      <alignment horizontal="center"/>
    </xf>
    <xf numFmtId="44" fontId="0" fillId="0" borderId="0" xfId="0" applyNumberFormat="1" applyFont="1" applyAlignment="1">
      <alignment horizontal="center"/>
    </xf>
    <xf numFmtId="44" fontId="0" fillId="0" borderId="5" xfId="0" applyNumberFormat="1" applyFont="1" applyBorder="1" applyAlignment="1">
      <alignment horizontal="center"/>
    </xf>
    <xf numFmtId="0" fontId="1" fillId="0" borderId="3" xfId="2" applyNumberFormat="1" applyFont="1" applyBorder="1" applyAlignment="1">
      <alignment horizontal="center" wrapText="1"/>
    </xf>
    <xf numFmtId="2" fontId="0" fillId="0" borderId="1" xfId="0" applyNumberFormat="1" applyFont="1" applyBorder="1"/>
    <xf numFmtId="2" fontId="0" fillId="0" borderId="0" xfId="0" applyNumberFormat="1" applyFont="1" applyBorder="1" applyAlignment="1">
      <alignment horizontal="center"/>
    </xf>
    <xf numFmtId="2" fontId="0" fillId="0" borderId="0" xfId="0" applyNumberFormat="1" applyFont="1" applyBorder="1"/>
    <xf numFmtId="2" fontId="0" fillId="0" borderId="3" xfId="0" applyNumberFormat="1" applyFont="1" applyBorder="1"/>
    <xf numFmtId="2" fontId="6" fillId="0" borderId="0" xfId="0" applyNumberFormat="1" applyFont="1" applyBorder="1"/>
    <xf numFmtId="2" fontId="1" fillId="0" borderId="0" xfId="0" applyNumberFormat="1" applyFont="1" applyBorder="1"/>
    <xf numFmtId="168" fontId="2" fillId="0" borderId="0" xfId="0" applyNumberFormat="1" applyFont="1" applyBorder="1" applyAlignment="1">
      <alignment horizontal="center"/>
    </xf>
  </cellXfs>
  <cellStyles count="284"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Monétaire" xfId="1" builtinId="4"/>
    <cellStyle name="Normal" xfId="0" builtinId="0"/>
    <cellStyle name="Normal 2" xfId="283"/>
    <cellStyle name="Pourcentage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9"/>
  <sheetViews>
    <sheetView tabSelected="1" showWhiteSpace="0" view="pageLayout" topLeftCell="A55" zoomScale="85" zoomScaleNormal="85" zoomScalePageLayoutView="85" workbookViewId="0">
      <selection activeCell="J80" sqref="J80"/>
    </sheetView>
  </sheetViews>
  <sheetFormatPr baseColWidth="10" defaultColWidth="5.42578125" defaultRowHeight="12.75"/>
  <cols>
    <col min="1" max="1" width="8" style="3" customWidth="1"/>
    <col min="2" max="2" width="18.7109375" style="3" customWidth="1"/>
    <col min="3" max="3" width="11" style="3" customWidth="1"/>
    <col min="4" max="4" width="12.140625" style="4" customWidth="1"/>
    <col min="5" max="11" width="12.140625" style="89" customWidth="1"/>
    <col min="12" max="16384" width="5.42578125" style="3"/>
  </cols>
  <sheetData>
    <row r="1" spans="1:11" ht="15">
      <c r="A1" s="25" t="s">
        <v>20</v>
      </c>
      <c r="B1" s="26"/>
      <c r="C1" s="13" t="s">
        <v>21</v>
      </c>
      <c r="D1" s="185"/>
      <c r="E1" s="186"/>
      <c r="F1" s="86" t="s">
        <v>16</v>
      </c>
      <c r="G1" s="87"/>
      <c r="H1" s="88" t="s">
        <v>17</v>
      </c>
      <c r="I1" s="87"/>
    </row>
    <row r="2" spans="1:11" ht="12.95" customHeight="1">
      <c r="A2" s="25" t="s">
        <v>20</v>
      </c>
      <c r="B2" s="26"/>
      <c r="C2" s="13" t="s">
        <v>21</v>
      </c>
      <c r="D2" s="185"/>
      <c r="E2" s="186"/>
      <c r="F2" s="86" t="s">
        <v>16</v>
      </c>
      <c r="G2" s="87"/>
      <c r="H2" s="88" t="s">
        <v>17</v>
      </c>
      <c r="I2" s="87"/>
    </row>
    <row r="3" spans="1:11" ht="12.95" customHeight="1">
      <c r="A3" s="25" t="s">
        <v>20</v>
      </c>
      <c r="B3" s="26"/>
      <c r="C3" s="13" t="s">
        <v>21</v>
      </c>
      <c r="D3" s="185"/>
      <c r="E3" s="186"/>
      <c r="F3" s="86" t="s">
        <v>16</v>
      </c>
      <c r="G3" s="87"/>
      <c r="H3" s="88" t="s">
        <v>17</v>
      </c>
      <c r="I3" s="87"/>
    </row>
    <row r="4" spans="1:11" ht="12.95" customHeight="1">
      <c r="A4" s="27"/>
      <c r="B4" s="27"/>
      <c r="C4" s="28"/>
      <c r="D4" s="29"/>
      <c r="E4" s="90"/>
    </row>
    <row r="5" spans="1:11" ht="15">
      <c r="A5" s="31" t="s">
        <v>26</v>
      </c>
      <c r="B5" s="31"/>
      <c r="C5" s="197" t="s">
        <v>18</v>
      </c>
      <c r="D5" s="197"/>
      <c r="E5" s="197"/>
      <c r="F5" s="197"/>
      <c r="G5" s="197"/>
      <c r="H5" s="197"/>
      <c r="I5" s="197"/>
    </row>
    <row r="6" spans="1:11" ht="15">
      <c r="A6" s="1"/>
      <c r="B6" s="31"/>
      <c r="C6" s="31"/>
      <c r="D6" s="30"/>
      <c r="E6" s="91"/>
    </row>
    <row r="7" spans="1:11" ht="13.5" thickBot="1">
      <c r="A7" s="1" t="s">
        <v>31</v>
      </c>
    </row>
    <row r="8" spans="1:11" ht="12.95" customHeight="1">
      <c r="A8" s="176" t="s">
        <v>24</v>
      </c>
      <c r="B8" s="177"/>
      <c r="C8" s="177"/>
      <c r="D8" s="177"/>
      <c r="E8" s="177"/>
      <c r="F8" s="177"/>
      <c r="G8" s="177"/>
      <c r="H8" s="177"/>
      <c r="I8" s="177"/>
      <c r="J8" s="177"/>
      <c r="K8" s="178"/>
    </row>
    <row r="9" spans="1:11" ht="14.1" customHeight="1" thickBot="1">
      <c r="A9" s="179"/>
      <c r="B9" s="180"/>
      <c r="C9" s="180"/>
      <c r="D9" s="180"/>
      <c r="E9" s="180"/>
      <c r="F9" s="180"/>
      <c r="G9" s="180"/>
      <c r="H9" s="180"/>
      <c r="I9" s="180"/>
      <c r="J9" s="180"/>
      <c r="K9" s="181"/>
    </row>
    <row r="10" spans="1:11">
      <c r="A10" s="182" t="s">
        <v>4</v>
      </c>
      <c r="B10" s="183"/>
      <c r="C10" s="44" t="s">
        <v>10</v>
      </c>
      <c r="D10" s="45">
        <v>2019</v>
      </c>
      <c r="E10" s="45">
        <v>2020</v>
      </c>
      <c r="F10" s="45">
        <v>2021</v>
      </c>
      <c r="G10" s="45">
        <v>2022</v>
      </c>
      <c r="H10" s="45">
        <v>2023</v>
      </c>
      <c r="I10" s="45">
        <v>2024</v>
      </c>
      <c r="J10" s="45">
        <v>2025</v>
      </c>
      <c r="K10" s="45">
        <v>2026</v>
      </c>
    </row>
    <row r="11" spans="1:11">
      <c r="A11" s="161" t="s">
        <v>11</v>
      </c>
      <c r="B11" s="172"/>
      <c r="C11" s="17"/>
      <c r="D11" s="46"/>
      <c r="E11" s="92">
        <v>245</v>
      </c>
      <c r="F11" s="92">
        <f t="shared" ref="F11:I11" si="0">(1.05)*E11</f>
        <v>257.25</v>
      </c>
      <c r="G11" s="92">
        <f t="shared" si="0"/>
        <v>270.11250000000001</v>
      </c>
      <c r="H11" s="92">
        <f t="shared" si="0"/>
        <v>283.61812500000002</v>
      </c>
      <c r="I11" s="92">
        <f t="shared" si="0"/>
        <v>297.79903125000004</v>
      </c>
      <c r="J11" s="92"/>
      <c r="K11" s="93"/>
    </row>
    <row r="12" spans="1:11">
      <c r="A12" s="174" t="s">
        <v>29</v>
      </c>
      <c r="B12" s="175"/>
      <c r="C12" s="47"/>
      <c r="D12" s="48"/>
      <c r="E12" s="94">
        <v>2430</v>
      </c>
      <c r="F12" s="94">
        <v>2430</v>
      </c>
      <c r="G12" s="94">
        <v>2430</v>
      </c>
      <c r="H12" s="94">
        <v>2430</v>
      </c>
      <c r="I12" s="94">
        <v>2430</v>
      </c>
      <c r="J12" s="94"/>
      <c r="K12" s="95"/>
    </row>
    <row r="13" spans="1:11">
      <c r="A13" s="148" t="s">
        <v>9</v>
      </c>
      <c r="B13" s="150"/>
      <c r="C13" s="16"/>
      <c r="D13" s="73"/>
      <c r="E13" s="85">
        <f>E12*E11</f>
        <v>595350</v>
      </c>
      <c r="F13" s="85">
        <f t="shared" ref="F13:I13" si="1">F12*F11</f>
        <v>625117.5</v>
      </c>
      <c r="G13" s="85">
        <f t="shared" si="1"/>
        <v>656373.375</v>
      </c>
      <c r="H13" s="85">
        <f t="shared" si="1"/>
        <v>689192.04375000007</v>
      </c>
      <c r="I13" s="85">
        <f t="shared" si="1"/>
        <v>723651.64593750006</v>
      </c>
      <c r="J13" s="85"/>
      <c r="K13" s="85"/>
    </row>
    <row r="14" spans="1:11">
      <c r="A14" s="161" t="s">
        <v>7</v>
      </c>
      <c r="B14" s="172"/>
      <c r="C14" s="18"/>
      <c r="D14" s="121"/>
      <c r="E14" s="122"/>
      <c r="F14" s="122"/>
      <c r="G14" s="123"/>
      <c r="H14" s="123"/>
      <c r="I14" s="123"/>
      <c r="J14" s="123"/>
      <c r="K14" s="96"/>
    </row>
    <row r="15" spans="1:11">
      <c r="A15" s="131" t="s">
        <v>43</v>
      </c>
      <c r="B15" s="132"/>
      <c r="C15" s="19">
        <v>330</v>
      </c>
      <c r="D15" s="124"/>
      <c r="E15" s="50">
        <f t="shared" ref="E15:I15" si="2">$C$15*E11</f>
        <v>80850</v>
      </c>
      <c r="F15" s="50">
        <f t="shared" si="2"/>
        <v>84892.5</v>
      </c>
      <c r="G15" s="50">
        <f t="shared" si="2"/>
        <v>89137.125</v>
      </c>
      <c r="H15" s="50">
        <f t="shared" si="2"/>
        <v>93593.981250000012</v>
      </c>
      <c r="I15" s="50">
        <f t="shared" si="2"/>
        <v>98273.680312500015</v>
      </c>
      <c r="J15" s="50"/>
      <c r="K15" s="97"/>
    </row>
    <row r="16" spans="1:11">
      <c r="A16" s="131" t="s">
        <v>44</v>
      </c>
      <c r="B16" s="132"/>
      <c r="C16" s="19">
        <f>2.3*C15</f>
        <v>758.99999999999989</v>
      </c>
      <c r="D16" s="124"/>
      <c r="E16" s="51">
        <f t="shared" ref="E16:I16" si="3">2.3*E15</f>
        <v>185955</v>
      </c>
      <c r="F16" s="51">
        <f t="shared" si="3"/>
        <v>195252.74999999997</v>
      </c>
      <c r="G16" s="51">
        <f t="shared" si="3"/>
        <v>205015.38749999998</v>
      </c>
      <c r="H16" s="51">
        <f t="shared" si="3"/>
        <v>215266.15687500002</v>
      </c>
      <c r="I16" s="51">
        <f t="shared" si="3"/>
        <v>226029.46471875001</v>
      </c>
      <c r="J16" s="126"/>
      <c r="K16" s="97"/>
    </row>
    <row r="17" spans="1:11">
      <c r="A17" s="131" t="s">
        <v>45</v>
      </c>
      <c r="B17" s="132"/>
      <c r="C17" s="19">
        <f>0.23*C16</f>
        <v>174.57</v>
      </c>
      <c r="D17" s="124"/>
      <c r="E17" s="51">
        <f t="shared" ref="E17:I17" si="4">0.23*E16</f>
        <v>42769.65</v>
      </c>
      <c r="F17" s="51">
        <f t="shared" si="4"/>
        <v>44908.132499999992</v>
      </c>
      <c r="G17" s="51">
        <f t="shared" si="4"/>
        <v>47153.539124999996</v>
      </c>
      <c r="H17" s="51">
        <f t="shared" si="4"/>
        <v>49511.216081250008</v>
      </c>
      <c r="I17" s="51">
        <f t="shared" si="4"/>
        <v>51986.776885312502</v>
      </c>
      <c r="J17" s="126"/>
      <c r="K17" s="97"/>
    </row>
    <row r="18" spans="1:11">
      <c r="A18" s="131" t="s">
        <v>46</v>
      </c>
      <c r="B18" s="132"/>
      <c r="C18" s="19"/>
      <c r="D18" s="124"/>
      <c r="E18" s="51">
        <v>6100</v>
      </c>
      <c r="F18" s="51">
        <v>6100</v>
      </c>
      <c r="G18" s="126"/>
      <c r="H18" s="126"/>
      <c r="I18" s="126"/>
      <c r="J18" s="126"/>
      <c r="K18" s="97"/>
    </row>
    <row r="19" spans="1:11">
      <c r="A19" s="131" t="s">
        <v>47</v>
      </c>
      <c r="B19" s="132"/>
      <c r="C19" s="19"/>
      <c r="D19" s="124"/>
      <c r="E19" s="130">
        <v>7700</v>
      </c>
      <c r="F19" s="125"/>
      <c r="G19" s="126"/>
      <c r="H19" s="126"/>
      <c r="I19" s="126"/>
      <c r="J19" s="126"/>
      <c r="K19" s="97"/>
    </row>
    <row r="20" spans="1:11">
      <c r="A20" s="174" t="s">
        <v>48</v>
      </c>
      <c r="B20" s="175"/>
      <c r="C20" s="20">
        <v>208800</v>
      </c>
      <c r="D20" s="124"/>
      <c r="E20" s="129">
        <f>$C$20-20074-19858</f>
        <v>168868</v>
      </c>
      <c r="F20" s="129">
        <f t="shared" ref="F20:I20" si="5">$C$20-20074-19858</f>
        <v>168868</v>
      </c>
      <c r="G20" s="129">
        <f t="shared" si="5"/>
        <v>168868</v>
      </c>
      <c r="H20" s="129">
        <f t="shared" si="5"/>
        <v>168868</v>
      </c>
      <c r="I20" s="129">
        <f t="shared" si="5"/>
        <v>168868</v>
      </c>
      <c r="J20" s="129"/>
      <c r="K20" s="129"/>
    </row>
    <row r="21" spans="1:11">
      <c r="A21" s="148" t="s">
        <v>8</v>
      </c>
      <c r="B21" s="150"/>
      <c r="C21" s="43"/>
      <c r="D21" s="127" t="str">
        <f>IF(SUM(D15:D20)&gt;0,SUM(D15:D20)," ")</f>
        <v xml:space="preserve"> </v>
      </c>
      <c r="E21" s="128">
        <f>IF(SUM(E15:E20)&gt;0,SUM(E15:E20)," ")</f>
        <v>492242.65</v>
      </c>
      <c r="F21" s="128">
        <f t="shared" ref="F21:K21" si="6">IF(SUM(F15:F20)&gt;0,SUM(F15:F20)," ")</f>
        <v>500021.38250000001</v>
      </c>
      <c r="G21" s="128">
        <f t="shared" si="6"/>
        <v>510174.05162499996</v>
      </c>
      <c r="H21" s="128">
        <f t="shared" si="6"/>
        <v>527239.35420625005</v>
      </c>
      <c r="I21" s="128">
        <f t="shared" si="6"/>
        <v>545157.9219165626</v>
      </c>
      <c r="J21" s="128" t="str">
        <f t="shared" si="6"/>
        <v xml:space="preserve"> </v>
      </c>
      <c r="K21" s="76" t="str">
        <f t="shared" si="6"/>
        <v xml:space="preserve"> </v>
      </c>
    </row>
    <row r="22" spans="1:11">
      <c r="A22" s="148" t="s">
        <v>5</v>
      </c>
      <c r="B22" s="149"/>
      <c r="C22" s="149"/>
      <c r="D22" s="77"/>
      <c r="E22" s="52">
        <f>E13-E21</f>
        <v>103107.34999999998</v>
      </c>
      <c r="F22" s="52">
        <f t="shared" ref="F22:I22" si="7">F13-F21</f>
        <v>125096.11749999999</v>
      </c>
      <c r="G22" s="52">
        <f t="shared" si="7"/>
        <v>146199.32337500004</v>
      </c>
      <c r="H22" s="52">
        <f t="shared" si="7"/>
        <v>161952.68954375002</v>
      </c>
      <c r="I22" s="52">
        <f t="shared" si="7"/>
        <v>178493.72402093746</v>
      </c>
      <c r="J22" s="52"/>
      <c r="K22" s="53"/>
    </row>
    <row r="23" spans="1:11">
      <c r="A23" s="161" t="s">
        <v>14</v>
      </c>
      <c r="B23" s="172"/>
      <c r="C23" s="21"/>
      <c r="D23" s="33"/>
      <c r="E23" s="98"/>
      <c r="F23" s="98"/>
      <c r="G23" s="98"/>
      <c r="H23" s="98"/>
      <c r="I23" s="98"/>
      <c r="J23" s="98"/>
      <c r="K23" s="99"/>
    </row>
    <row r="24" spans="1:11">
      <c r="A24" s="131" t="s">
        <v>49</v>
      </c>
      <c r="B24" s="147"/>
      <c r="C24" s="17">
        <v>0.1</v>
      </c>
      <c r="D24" s="41">
        <f>D31*C24/2</f>
        <v>10004</v>
      </c>
      <c r="E24" s="100">
        <f>$C$24*$D$31*(1-$C$24/2)*(1-$C$24)^(E10-2020)</f>
        <v>19007.599999999999</v>
      </c>
      <c r="F24" s="100">
        <f t="shared" ref="F24:I24" si="8">$C$24*$D$31*(1-$C$24/2)*(1-$C$24)^(F10-2020)</f>
        <v>17106.84</v>
      </c>
      <c r="G24" s="100">
        <f t="shared" si="8"/>
        <v>15396.155999999999</v>
      </c>
      <c r="H24" s="100">
        <f t="shared" si="8"/>
        <v>13856.5404</v>
      </c>
      <c r="I24" s="100">
        <f t="shared" si="8"/>
        <v>12470.886360000002</v>
      </c>
      <c r="J24" s="100"/>
      <c r="K24" s="101"/>
    </row>
    <row r="25" spans="1:11">
      <c r="A25" s="131" t="s">
        <v>50</v>
      </c>
      <c r="B25" s="147"/>
      <c r="C25" s="17">
        <v>0.2</v>
      </c>
      <c r="D25" s="34">
        <f>$D$33*$C$25/2</f>
        <v>17730</v>
      </c>
      <c r="E25" s="100">
        <f>$C$25*$D$33*(1-$C$25/2)*(1-$C$25)^(E10-2020)</f>
        <v>31914</v>
      </c>
      <c r="F25" s="100">
        <f t="shared" ref="F25:I25" si="9">$C$25*$D$33*(1-$C$25/2)*(1-$C$25)^(F10-2020)</f>
        <v>25531.200000000001</v>
      </c>
      <c r="G25" s="100">
        <f t="shared" si="9"/>
        <v>20424.960000000003</v>
      </c>
      <c r="H25" s="100">
        <f t="shared" si="9"/>
        <v>16339.968000000004</v>
      </c>
      <c r="I25" s="100">
        <f t="shared" si="9"/>
        <v>13071.974400000006</v>
      </c>
      <c r="J25" s="35"/>
      <c r="K25" s="62"/>
    </row>
    <row r="26" spans="1:11">
      <c r="A26" s="131"/>
      <c r="B26" s="147"/>
      <c r="C26" s="17"/>
      <c r="D26" s="34"/>
      <c r="E26" s="35"/>
      <c r="F26" s="35"/>
      <c r="G26" s="35"/>
      <c r="H26" s="35"/>
      <c r="I26" s="35"/>
      <c r="J26" s="35"/>
      <c r="K26" s="62"/>
    </row>
    <row r="27" spans="1:11">
      <c r="A27" s="131" t="s">
        <v>55</v>
      </c>
      <c r="B27" s="147"/>
      <c r="C27" s="17"/>
      <c r="D27" s="34"/>
      <c r="E27" s="35">
        <f>E25+E24</f>
        <v>50921.599999999999</v>
      </c>
      <c r="F27" s="35">
        <f t="shared" ref="F27:I27" si="10">F25+F24</f>
        <v>42638.04</v>
      </c>
      <c r="G27" s="35">
        <f t="shared" si="10"/>
        <v>35821.116000000002</v>
      </c>
      <c r="H27" s="35">
        <f t="shared" si="10"/>
        <v>30196.508400000006</v>
      </c>
      <c r="I27" s="35">
        <f t="shared" si="10"/>
        <v>25542.86076000001</v>
      </c>
      <c r="J27" s="35"/>
      <c r="K27" s="62"/>
    </row>
    <row r="28" spans="1:11">
      <c r="A28" s="82" t="s">
        <v>22</v>
      </c>
      <c r="B28" s="83"/>
      <c r="C28" s="208">
        <v>0.22</v>
      </c>
      <c r="D28" s="40"/>
      <c r="E28" s="209">
        <f>E27*$C$28</f>
        <v>11202.752</v>
      </c>
      <c r="F28" s="209">
        <f t="shared" ref="F28:I28" si="11">F27*$C$28</f>
        <v>9380.3688000000002</v>
      </c>
      <c r="G28" s="209">
        <f t="shared" si="11"/>
        <v>7880.64552</v>
      </c>
      <c r="H28" s="209">
        <f t="shared" si="11"/>
        <v>6643.2318480000013</v>
      </c>
      <c r="I28" s="209">
        <f t="shared" si="11"/>
        <v>5619.4293672000022</v>
      </c>
      <c r="J28" s="36"/>
      <c r="K28" s="63"/>
    </row>
    <row r="29" spans="1:11">
      <c r="A29" s="148" t="s">
        <v>6</v>
      </c>
      <c r="B29" s="149"/>
      <c r="C29" s="150"/>
      <c r="D29" s="42"/>
      <c r="E29" s="14">
        <f>E22-E28</f>
        <v>91904.597999999969</v>
      </c>
      <c r="F29" s="14">
        <f t="shared" ref="F29:I29" si="12">F22-F28</f>
        <v>115715.7487</v>
      </c>
      <c r="G29" s="14">
        <f t="shared" si="12"/>
        <v>138318.67785500005</v>
      </c>
      <c r="H29" s="14">
        <f t="shared" si="12"/>
        <v>155309.45769575002</v>
      </c>
      <c r="I29" s="14">
        <f t="shared" si="12"/>
        <v>172874.29465373745</v>
      </c>
      <c r="J29" s="14"/>
      <c r="K29" s="64"/>
    </row>
    <row r="30" spans="1:11">
      <c r="A30" s="78" t="s">
        <v>30</v>
      </c>
      <c r="B30" s="79"/>
      <c r="C30" s="18">
        <v>328000</v>
      </c>
      <c r="D30" s="49"/>
      <c r="E30" s="102"/>
      <c r="F30" s="102"/>
      <c r="G30" s="102"/>
      <c r="H30" s="102"/>
      <c r="I30" s="102"/>
      <c r="J30" s="102"/>
      <c r="K30" s="103"/>
    </row>
    <row r="31" spans="1:11">
      <c r="A31" s="131" t="s">
        <v>51</v>
      </c>
      <c r="B31" s="147"/>
      <c r="C31" s="19"/>
      <c r="D31" s="50">
        <f>0.61*C30</f>
        <v>200080</v>
      </c>
      <c r="E31" s="104"/>
      <c r="F31" s="104"/>
      <c r="G31" s="104"/>
      <c r="H31" s="104"/>
      <c r="I31" s="104"/>
      <c r="J31" s="104"/>
      <c r="K31" s="105"/>
    </row>
    <row r="32" spans="1:11">
      <c r="A32" s="131" t="s">
        <v>52</v>
      </c>
      <c r="B32" s="147"/>
      <c r="C32" s="22"/>
      <c r="D32" s="10">
        <f>C30-D31</f>
        <v>127920</v>
      </c>
      <c r="E32" s="104"/>
      <c r="F32" s="104"/>
      <c r="G32" s="104"/>
      <c r="H32" s="104"/>
      <c r="I32" s="104"/>
      <c r="J32" s="104"/>
      <c r="K32" s="105"/>
    </row>
    <row r="33" spans="1:11">
      <c r="A33" s="131" t="s">
        <v>53</v>
      </c>
      <c r="B33" s="147"/>
      <c r="C33" s="22"/>
      <c r="D33" s="10">
        <v>177300</v>
      </c>
      <c r="E33" s="104"/>
      <c r="F33" s="104"/>
      <c r="G33" s="104"/>
      <c r="H33" s="104"/>
      <c r="I33" s="104"/>
      <c r="J33" s="104"/>
      <c r="K33" s="105"/>
    </row>
    <row r="34" spans="1:11">
      <c r="A34" s="131" t="s">
        <v>54</v>
      </c>
      <c r="B34" s="147"/>
      <c r="C34" s="22"/>
      <c r="D34" s="10">
        <v>3000</v>
      </c>
      <c r="E34" s="104"/>
      <c r="F34" s="104"/>
      <c r="G34" s="104"/>
      <c r="H34" s="104"/>
      <c r="I34" s="104"/>
      <c r="J34" s="104"/>
      <c r="K34" s="105"/>
    </row>
    <row r="35" spans="1:11">
      <c r="A35" s="131"/>
      <c r="B35" s="147"/>
      <c r="C35" s="22"/>
      <c r="D35" s="10"/>
      <c r="E35" s="104"/>
      <c r="F35" s="104"/>
      <c r="G35" s="104"/>
      <c r="H35" s="104"/>
      <c r="I35" s="104"/>
      <c r="J35" s="104"/>
      <c r="K35" s="105"/>
    </row>
    <row r="36" spans="1:11">
      <c r="A36" s="148" t="s">
        <v>39</v>
      </c>
      <c r="B36" s="149"/>
      <c r="C36" s="150"/>
      <c r="D36" s="75">
        <f>IF(SUM(D30:D35)&gt;0,SUM(D30:D35)," ")</f>
        <v>508300</v>
      </c>
      <c r="E36" s="72">
        <f>IF(SUM(E30:E35)&gt;0,SUM(E30:E35),0)</f>
        <v>0</v>
      </c>
      <c r="F36" s="72">
        <f t="shared" ref="F36:I36" si="13">IF(SUM(F30:F35)&gt;0,SUM(F30:F35),0)</f>
        <v>0</v>
      </c>
      <c r="G36" s="72">
        <f t="shared" si="13"/>
        <v>0</v>
      </c>
      <c r="H36" s="72">
        <f t="shared" si="13"/>
        <v>0</v>
      </c>
      <c r="I36" s="72">
        <f t="shared" si="13"/>
        <v>0</v>
      </c>
      <c r="J36" s="72" t="str">
        <f t="shared" ref="E36:K36" si="14">IF(SUM(J30:J35)&gt;0,SUM(J30:J35)," ")</f>
        <v xml:space="preserve"> </v>
      </c>
      <c r="K36" s="76" t="str">
        <f t="shared" si="14"/>
        <v xml:space="preserve"> </v>
      </c>
    </row>
    <row r="37" spans="1:11">
      <c r="A37" s="161" t="s">
        <v>28</v>
      </c>
      <c r="B37" s="172"/>
      <c r="C37" s="54"/>
      <c r="D37" s="49"/>
      <c r="E37" s="102"/>
      <c r="F37" s="102"/>
      <c r="G37" s="102"/>
      <c r="H37" s="102"/>
      <c r="I37" s="102"/>
      <c r="J37" s="102"/>
      <c r="K37" s="103"/>
    </row>
    <row r="38" spans="1:11">
      <c r="A38" s="131" t="s">
        <v>51</v>
      </c>
      <c r="B38" s="147"/>
      <c r="C38" s="55"/>
      <c r="D38" s="50"/>
      <c r="E38" s="104"/>
      <c r="F38" s="104"/>
      <c r="G38" s="104"/>
      <c r="H38" s="104"/>
      <c r="I38" s="51">
        <f>0.6*D31</f>
        <v>120048</v>
      </c>
      <c r="J38" s="104"/>
      <c r="K38" s="105"/>
    </row>
    <row r="39" spans="1:11">
      <c r="A39" s="131" t="s">
        <v>52</v>
      </c>
      <c r="B39" s="147"/>
      <c r="C39" s="55"/>
      <c r="D39" s="50"/>
      <c r="E39" s="104"/>
      <c r="F39" s="104"/>
      <c r="G39" s="104"/>
      <c r="H39" s="104"/>
      <c r="I39" s="51">
        <f>1.45*D32</f>
        <v>185484</v>
      </c>
      <c r="J39" s="104"/>
      <c r="K39" s="105"/>
    </row>
    <row r="40" spans="1:11">
      <c r="A40" s="131" t="s">
        <v>53</v>
      </c>
      <c r="B40" s="147"/>
      <c r="C40" s="55"/>
      <c r="D40" s="50"/>
      <c r="E40" s="104"/>
      <c r="F40" s="104"/>
      <c r="G40" s="104"/>
      <c r="H40" s="104"/>
      <c r="I40" s="210">
        <v>97896.905413172397</v>
      </c>
      <c r="J40" s="104"/>
      <c r="K40" s="105"/>
    </row>
    <row r="41" spans="1:11">
      <c r="A41" s="131" t="s">
        <v>54</v>
      </c>
      <c r="B41" s="147"/>
      <c r="C41" s="55"/>
      <c r="D41" s="50"/>
      <c r="E41" s="104"/>
      <c r="F41" s="104"/>
      <c r="G41" s="104"/>
      <c r="H41" s="104"/>
      <c r="I41" s="51">
        <f>1.08*D34</f>
        <v>3240</v>
      </c>
      <c r="J41" s="104"/>
      <c r="K41" s="106"/>
    </row>
    <row r="42" spans="1:11">
      <c r="A42" s="131"/>
      <c r="B42" s="147"/>
      <c r="C42" s="55"/>
      <c r="D42" s="50"/>
      <c r="E42" s="104"/>
      <c r="F42" s="104"/>
      <c r="G42" s="104"/>
      <c r="H42" s="104"/>
      <c r="I42" s="104"/>
      <c r="J42" s="104"/>
      <c r="K42" s="106"/>
    </row>
    <row r="43" spans="1:11">
      <c r="A43" s="148" t="s">
        <v>40</v>
      </c>
      <c r="B43" s="149"/>
      <c r="C43" s="150"/>
      <c r="D43" s="72" t="str">
        <f>IF(SUM(D37:D42)&gt;0,SUM(D37:D42)," ")</f>
        <v xml:space="preserve"> </v>
      </c>
      <c r="E43" s="72" t="str">
        <f t="shared" ref="E43:K43" si="15">IF(SUM(E37:E42)&gt;0,SUM(E37:E42)," ")</f>
        <v xml:space="preserve"> </v>
      </c>
      <c r="F43" s="72" t="str">
        <f t="shared" si="15"/>
        <v xml:space="preserve"> </v>
      </c>
      <c r="G43" s="72" t="str">
        <f t="shared" si="15"/>
        <v xml:space="preserve"> </v>
      </c>
      <c r="H43" s="72" t="str">
        <f t="shared" si="15"/>
        <v xml:space="preserve"> </v>
      </c>
      <c r="I43" s="72">
        <f t="shared" si="15"/>
        <v>406668.90541317238</v>
      </c>
      <c r="J43" s="72" t="str">
        <f t="shared" si="15"/>
        <v xml:space="preserve"> </v>
      </c>
      <c r="K43" s="76" t="str">
        <f t="shared" si="15"/>
        <v xml:space="preserve"> </v>
      </c>
    </row>
    <row r="44" spans="1:11">
      <c r="A44" s="131" t="s">
        <v>27</v>
      </c>
      <c r="B44" s="132"/>
      <c r="C44" s="147"/>
      <c r="D44" s="69"/>
      <c r="E44" s="107"/>
      <c r="F44" s="107"/>
      <c r="G44" s="107"/>
      <c r="H44" s="107"/>
      <c r="I44" s="107"/>
      <c r="J44" s="107"/>
      <c r="K44" s="108"/>
    </row>
    <row r="45" spans="1:11">
      <c r="A45" s="131" t="s">
        <v>58</v>
      </c>
      <c r="B45" s="147"/>
      <c r="C45" s="65"/>
      <c r="D45" s="68"/>
      <c r="E45" s="107"/>
      <c r="F45" s="107"/>
      <c r="G45" s="107"/>
      <c r="H45" s="107"/>
      <c r="I45" s="107">
        <f>(I56-I38)*C28</f>
        <v>-1718.205007199992</v>
      </c>
      <c r="J45" s="107"/>
      <c r="K45" s="108"/>
    </row>
    <row r="46" spans="1:11">
      <c r="A46" s="131" t="s">
        <v>61</v>
      </c>
      <c r="B46" s="147"/>
      <c r="C46" s="66"/>
      <c r="D46" s="68"/>
      <c r="E46" s="107"/>
      <c r="F46" s="107"/>
      <c r="G46" s="107"/>
      <c r="H46" s="107"/>
      <c r="I46" s="107">
        <f>-(I57-I40)*(C28*C25)/(C25+C59)</f>
        <v>7882.1537461884682</v>
      </c>
      <c r="J46" s="107"/>
      <c r="K46" s="108"/>
    </row>
    <row r="47" spans="1:11">
      <c r="A47" s="131" t="s">
        <v>52</v>
      </c>
      <c r="B47" s="147"/>
      <c r="C47" s="67"/>
      <c r="D47" s="69"/>
      <c r="E47" s="107"/>
      <c r="F47" s="107"/>
      <c r="G47" s="107"/>
      <c r="H47" s="107"/>
      <c r="I47" s="107">
        <f>(I39-D32)*C28/2</f>
        <v>6332.04</v>
      </c>
      <c r="J47" s="107"/>
      <c r="K47" s="108"/>
    </row>
    <row r="48" spans="1:11">
      <c r="A48" s="131"/>
      <c r="B48" s="147"/>
      <c r="C48" s="67"/>
      <c r="D48" s="69"/>
      <c r="E48" s="107"/>
      <c r="F48" s="107"/>
      <c r="G48" s="107"/>
      <c r="H48" s="107"/>
      <c r="I48" s="107"/>
      <c r="J48" s="107"/>
      <c r="K48" s="108"/>
    </row>
    <row r="49" spans="1:11">
      <c r="A49" s="148" t="s">
        <v>41</v>
      </c>
      <c r="B49" s="149"/>
      <c r="C49" s="149"/>
      <c r="D49" s="75" t="str">
        <f>IF(SUM(D44:D48)&gt;0,SUM(D44:D48)," ")</f>
        <v xml:space="preserve"> </v>
      </c>
      <c r="E49" s="72" t="str">
        <f t="shared" ref="E49:K49" si="16">IF(SUM(E44:E48)&gt;0,SUM(E44:E48)," ")</f>
        <v xml:space="preserve"> </v>
      </c>
      <c r="F49" s="72" t="str">
        <f t="shared" si="16"/>
        <v xml:space="preserve"> </v>
      </c>
      <c r="G49" s="72" t="str">
        <f t="shared" si="16"/>
        <v xml:space="preserve"> </v>
      </c>
      <c r="H49" s="72" t="str">
        <f t="shared" si="16"/>
        <v xml:space="preserve"> </v>
      </c>
      <c r="I49" s="72">
        <f>SUM(I44:I48)</f>
        <v>12495.988738988475</v>
      </c>
      <c r="J49" s="72" t="str">
        <f t="shared" si="16"/>
        <v xml:space="preserve"> </v>
      </c>
      <c r="K49" s="76" t="str">
        <f t="shared" si="16"/>
        <v xml:space="preserve"> </v>
      </c>
    </row>
    <row r="50" spans="1:11" ht="12" customHeight="1">
      <c r="A50" s="161" t="s">
        <v>0</v>
      </c>
      <c r="B50" s="172"/>
      <c r="C50" s="23"/>
      <c r="D50" s="73">
        <f>D$29-D$36</f>
        <v>-508300</v>
      </c>
      <c r="E50" s="73">
        <f t="shared" ref="E50:H50" si="17">E$29-E$36</f>
        <v>91904.597999999969</v>
      </c>
      <c r="F50" s="73">
        <f t="shared" si="17"/>
        <v>115715.7487</v>
      </c>
      <c r="G50" s="73">
        <f t="shared" si="17"/>
        <v>138318.67785500005</v>
      </c>
      <c r="H50" s="73">
        <f t="shared" si="17"/>
        <v>155309.45769575002</v>
      </c>
      <c r="I50" s="73">
        <f>I$29-I$36+I$49+I$43</f>
        <v>592039.1888058983</v>
      </c>
      <c r="J50" s="73"/>
      <c r="K50" s="74"/>
    </row>
    <row r="51" spans="1:11">
      <c r="A51" s="131" t="s">
        <v>1</v>
      </c>
      <c r="B51" s="147"/>
      <c r="C51" s="24">
        <f>C59</f>
        <v>5.460000000000001E-2</v>
      </c>
      <c r="D51" s="32">
        <f>(1+$C$51)^(2019-D$10)</f>
        <v>1</v>
      </c>
      <c r="E51" s="32">
        <f t="shared" ref="E51:I51" si="18">(1+$C$51)^(2019-E$10)</f>
        <v>0.94822681585435242</v>
      </c>
      <c r="F51" s="32">
        <f t="shared" si="18"/>
        <v>0.8991340943052839</v>
      </c>
      <c r="G51" s="32">
        <f t="shared" si="18"/>
        <v>0.85258305926918632</v>
      </c>
      <c r="H51" s="32">
        <f t="shared" si="18"/>
        <v>0.80844211954218315</v>
      </c>
      <c r="I51" s="32">
        <f t="shared" si="18"/>
        <v>0.76658649681602797</v>
      </c>
      <c r="J51" s="109"/>
      <c r="K51" s="110"/>
    </row>
    <row r="52" spans="1:11" ht="13.5" thickBot="1">
      <c r="A52" s="155" t="s">
        <v>2</v>
      </c>
      <c r="B52" s="173"/>
      <c r="C52" s="58"/>
      <c r="D52" s="59">
        <f>D51*D50</f>
        <v>-508300</v>
      </c>
      <c r="E52" s="59">
        <f t="shared" ref="E52:I52" si="19">E51*E50</f>
        <v>87146.404323914263</v>
      </c>
      <c r="F52" s="59">
        <f t="shared" si="19"/>
        <v>104043.97490423232</v>
      </c>
      <c r="G52" s="59">
        <f t="shared" si="19"/>
        <v>117928.16151968499</v>
      </c>
      <c r="H52" s="59">
        <f t="shared" si="19"/>
        <v>125558.70716449918</v>
      </c>
      <c r="I52" s="59">
        <f t="shared" si="19"/>
        <v>453849.24772451655</v>
      </c>
      <c r="J52" s="60"/>
      <c r="K52" s="61"/>
    </row>
    <row r="53" spans="1:11" ht="13.5" thickBot="1">
      <c r="A53" s="157" t="s">
        <v>3</v>
      </c>
      <c r="B53" s="158"/>
      <c r="C53" s="163">
        <f>SUM(D52:I52)</f>
        <v>380226.49563684734</v>
      </c>
      <c r="D53" s="160"/>
    </row>
    <row r="55" spans="1:11">
      <c r="A55" s="169" t="s">
        <v>19</v>
      </c>
      <c r="B55" s="170"/>
      <c r="C55" s="170"/>
      <c r="D55" s="170"/>
      <c r="E55" s="170"/>
      <c r="F55" s="170"/>
      <c r="G55" s="170"/>
      <c r="H55" s="170"/>
      <c r="I55" s="170"/>
      <c r="J55" s="170"/>
      <c r="K55" s="171"/>
    </row>
    <row r="56" spans="1:11">
      <c r="A56" s="151" t="s">
        <v>59</v>
      </c>
      <c r="B56" s="132"/>
      <c r="C56" s="2"/>
      <c r="D56" s="211"/>
      <c r="E56" s="117">
        <f>$D$31*(1-$C$24/2)*(1-$C$24)^(E10-2019)</f>
        <v>171068.4</v>
      </c>
      <c r="F56" s="117">
        <f t="shared" ref="F56:I56" si="20">$D$31*(1-$C$24/2)*(1-$C$24)^(F10-2019)</f>
        <v>153961.56</v>
      </c>
      <c r="G56" s="117">
        <f t="shared" si="20"/>
        <v>138565.40400000001</v>
      </c>
      <c r="H56" s="117">
        <f t="shared" si="20"/>
        <v>124708.86360000003</v>
      </c>
      <c r="I56" s="212">
        <f t="shared" si="20"/>
        <v>112237.97724000004</v>
      </c>
      <c r="J56" s="117"/>
      <c r="K56" s="112"/>
    </row>
    <row r="57" spans="1:11">
      <c r="A57" s="151" t="s">
        <v>60</v>
      </c>
      <c r="B57" s="132"/>
      <c r="C57" s="2"/>
      <c r="D57" s="211"/>
      <c r="E57" s="117">
        <f>$D$33*(1-$C$25/2)*(1-$C$25)^(E10-2019)</f>
        <v>127656</v>
      </c>
      <c r="F57" s="117">
        <f t="shared" ref="F57:I57" si="21">$D$33*(1-$C$25/2)*(1-$C$25)^(F10-2019)</f>
        <v>102124.80000000002</v>
      </c>
      <c r="G57" s="117">
        <f t="shared" si="21"/>
        <v>81699.840000000026</v>
      </c>
      <c r="H57" s="117">
        <f t="shared" si="21"/>
        <v>65359.872000000032</v>
      </c>
      <c r="I57" s="212">
        <f t="shared" si="21"/>
        <v>52287.897600000033</v>
      </c>
      <c r="J57" s="117"/>
      <c r="K57" s="112"/>
    </row>
    <row r="58" spans="1:11">
      <c r="A58" s="151"/>
      <c r="B58" s="132"/>
      <c r="C58" s="2"/>
      <c r="D58" s="211"/>
      <c r="E58" s="117"/>
      <c r="F58" s="117"/>
      <c r="G58" s="117"/>
      <c r="H58" s="117"/>
      <c r="I58" s="117"/>
      <c r="J58" s="117"/>
      <c r="K58" s="112"/>
    </row>
    <row r="59" spans="1:11">
      <c r="A59" s="151" t="s">
        <v>62</v>
      </c>
      <c r="B59" s="132"/>
      <c r="C59" s="213">
        <f>0.07*(1-C28)</f>
        <v>5.460000000000001E-2</v>
      </c>
      <c r="D59" s="211"/>
      <c r="E59" s="117"/>
      <c r="F59" s="117"/>
      <c r="G59" s="117"/>
      <c r="H59" s="117"/>
      <c r="I59" s="117"/>
      <c r="J59" s="117"/>
      <c r="K59" s="112"/>
    </row>
    <row r="60" spans="1:11">
      <c r="A60" s="151"/>
      <c r="B60" s="132"/>
      <c r="C60" s="2"/>
      <c r="D60" s="7"/>
      <c r="E60" s="111"/>
      <c r="F60" s="111"/>
      <c r="G60" s="111"/>
      <c r="H60" s="111"/>
      <c r="I60" s="111"/>
      <c r="J60" s="111"/>
      <c r="K60" s="112"/>
    </row>
    <row r="61" spans="1:11">
      <c r="A61" s="151"/>
      <c r="B61" s="132"/>
      <c r="C61" s="2"/>
      <c r="D61" s="7"/>
      <c r="E61" s="111"/>
      <c r="F61" s="11"/>
      <c r="G61" s="111"/>
      <c r="H61" s="111"/>
      <c r="I61" s="111"/>
      <c r="J61" s="111"/>
      <c r="K61" s="112"/>
    </row>
    <row r="62" spans="1:11">
      <c r="A62" s="151"/>
      <c r="B62" s="132"/>
      <c r="C62" s="2"/>
      <c r="D62" s="7"/>
      <c r="E62" s="111"/>
      <c r="F62" s="111"/>
      <c r="G62" s="111"/>
      <c r="H62" s="111"/>
      <c r="I62" s="111"/>
      <c r="J62" s="111"/>
      <c r="K62" s="112"/>
    </row>
    <row r="63" spans="1:11">
      <c r="A63" s="195"/>
      <c r="B63" s="196"/>
      <c r="C63" s="5"/>
      <c r="D63" s="6"/>
      <c r="E63" s="113"/>
      <c r="F63" s="113"/>
      <c r="G63" s="113"/>
      <c r="H63" s="113"/>
      <c r="I63" s="113"/>
      <c r="J63" s="113"/>
      <c r="K63" s="114"/>
    </row>
    <row r="65" spans="1:11" ht="13.5" thickBot="1">
      <c r="A65" s="1" t="s">
        <v>32</v>
      </c>
    </row>
    <row r="66" spans="1:11">
      <c r="A66" s="164" t="s">
        <v>33</v>
      </c>
      <c r="B66" s="166"/>
      <c r="C66" s="166"/>
      <c r="D66" s="166"/>
      <c r="E66" s="166"/>
      <c r="F66" s="166"/>
      <c r="G66" s="166"/>
      <c r="H66" s="166"/>
      <c r="I66" s="166"/>
      <c r="J66" s="166"/>
      <c r="K66" s="165"/>
    </row>
    <row r="67" spans="1:11">
      <c r="C67" s="230"/>
      <c r="D67" s="231"/>
      <c r="E67" s="232"/>
      <c r="F67" s="232"/>
      <c r="G67" s="232"/>
      <c r="H67" s="232"/>
      <c r="I67" s="2"/>
      <c r="J67" s="2"/>
      <c r="K67" s="115"/>
    </row>
    <row r="68" spans="1:11">
      <c r="A68" s="131" t="s">
        <v>66</v>
      </c>
      <c r="B68" s="132"/>
      <c r="C68" s="233"/>
      <c r="E68" s="232"/>
      <c r="F68" s="234"/>
      <c r="G68" s="232"/>
      <c r="H68" s="232"/>
      <c r="I68" s="2"/>
      <c r="J68" s="2"/>
      <c r="K68" s="115"/>
    </row>
    <row r="69" spans="1:11">
      <c r="A69" s="131" t="s">
        <v>51</v>
      </c>
      <c r="B69" s="132"/>
      <c r="C69" s="233"/>
      <c r="D69" s="236">
        <f>D31*(1-(((C$28*C$24)/(C$24+C$51))*((1+C$51/2)/(1+C$51))))*H$69</f>
        <v>40314.904987263923</v>
      </c>
      <c r="E69" s="232"/>
      <c r="F69" s="232"/>
      <c r="G69" s="235" t="s">
        <v>71</v>
      </c>
      <c r="H69" s="232">
        <f>(C51*(1+C51)^5)/(((1+C51)^5)-1)</f>
        <v>0.23391962870702193</v>
      </c>
      <c r="I69" s="2"/>
      <c r="J69" s="2"/>
      <c r="K69" s="115"/>
    </row>
    <row r="70" spans="1:11">
      <c r="A70" s="131" t="s">
        <v>70</v>
      </c>
      <c r="B70" s="132"/>
      <c r="C70" s="233"/>
      <c r="D70" s="236">
        <f>D33*(1-(((C$28*C$25)/(C$25+C$51))*((1+C$51/2)/(1+C$51))))*H$69</f>
        <v>34491.960533609177</v>
      </c>
      <c r="E70" s="232"/>
      <c r="F70" s="232"/>
      <c r="G70" s="232"/>
      <c r="H70" s="232"/>
      <c r="I70" s="2"/>
      <c r="J70" s="2"/>
      <c r="K70" s="115"/>
    </row>
    <row r="71" spans="1:11">
      <c r="A71" s="131"/>
      <c r="B71" s="132"/>
      <c r="C71" s="233"/>
      <c r="D71" s="231"/>
      <c r="E71" s="232"/>
      <c r="F71" s="232"/>
      <c r="G71" s="232"/>
      <c r="H71" s="232"/>
      <c r="I71" s="2"/>
      <c r="J71" s="2"/>
      <c r="K71" s="115"/>
    </row>
    <row r="72" spans="1:11">
      <c r="A72" s="131" t="s">
        <v>67</v>
      </c>
      <c r="B72" s="132"/>
      <c r="C72" s="233"/>
      <c r="D72" s="231"/>
      <c r="E72" s="231"/>
      <c r="F72" s="231"/>
      <c r="G72" s="231"/>
      <c r="H72" s="231"/>
      <c r="I72" s="231"/>
      <c r="J72" s="2"/>
      <c r="K72" s="115"/>
    </row>
    <row r="73" spans="1:11">
      <c r="A73" s="131"/>
      <c r="B73" s="132"/>
      <c r="C73" s="233"/>
      <c r="D73" s="231"/>
      <c r="E73" s="232"/>
      <c r="F73" s="232"/>
      <c r="G73" s="232"/>
      <c r="H73" s="232"/>
      <c r="I73" s="2"/>
      <c r="J73" s="2"/>
      <c r="K73" s="115"/>
    </row>
    <row r="74" spans="1:11">
      <c r="A74" s="131"/>
      <c r="B74" s="132"/>
      <c r="C74" s="233"/>
      <c r="D74" s="231"/>
      <c r="E74" s="232"/>
      <c r="F74" s="232"/>
      <c r="G74" s="232"/>
      <c r="H74" s="232"/>
      <c r="I74" s="2"/>
      <c r="J74" s="2"/>
      <c r="K74" s="115"/>
    </row>
    <row r="75" spans="1:11">
      <c r="A75" s="131" t="s">
        <v>68</v>
      </c>
      <c r="B75" s="132"/>
      <c r="C75" s="233"/>
      <c r="D75" s="231"/>
      <c r="E75" s="232"/>
      <c r="F75" s="232"/>
      <c r="G75" s="232"/>
      <c r="H75" s="232"/>
      <c r="I75" s="2"/>
      <c r="J75" s="2"/>
      <c r="K75" s="115"/>
    </row>
    <row r="76" spans="1:11">
      <c r="A76" s="131" t="s">
        <v>69</v>
      </c>
      <c r="B76" s="132"/>
      <c r="C76" s="233"/>
      <c r="D76" s="231"/>
      <c r="E76" s="232"/>
      <c r="F76" s="232"/>
      <c r="G76" s="232"/>
      <c r="H76" s="232"/>
      <c r="I76" s="2"/>
      <c r="J76" s="2"/>
      <c r="K76" s="115"/>
    </row>
    <row r="77" spans="1:11">
      <c r="A77" s="131"/>
      <c r="B77" s="132"/>
      <c r="C77" s="233"/>
      <c r="D77" s="231"/>
      <c r="E77" s="232"/>
      <c r="F77" s="232"/>
      <c r="G77" s="232"/>
      <c r="H77" s="232"/>
      <c r="I77" s="2"/>
      <c r="J77" s="2"/>
      <c r="K77" s="115"/>
    </row>
    <row r="78" spans="1:11">
      <c r="A78" s="131"/>
      <c r="B78" s="132"/>
      <c r="C78" s="233"/>
      <c r="D78" s="231"/>
      <c r="E78" s="232"/>
      <c r="F78" s="232"/>
      <c r="G78" s="232"/>
      <c r="H78" s="232"/>
      <c r="I78" s="2"/>
      <c r="J78" s="2"/>
      <c r="K78" s="115"/>
    </row>
    <row r="79" spans="1:11">
      <c r="A79" s="131"/>
      <c r="B79" s="132"/>
      <c r="C79" s="233"/>
      <c r="D79" s="231"/>
      <c r="E79" s="232"/>
      <c r="F79" s="232"/>
      <c r="G79" s="232"/>
      <c r="H79" s="232"/>
      <c r="I79" s="2"/>
      <c r="J79" s="2"/>
      <c r="K79" s="115"/>
    </row>
    <row r="80" spans="1:11">
      <c r="A80" s="131"/>
      <c r="B80" s="132"/>
      <c r="C80" s="233"/>
      <c r="D80" s="231"/>
      <c r="E80" s="232"/>
      <c r="F80" s="232"/>
      <c r="G80" s="232"/>
      <c r="H80" s="232"/>
      <c r="I80" s="2"/>
      <c r="J80" s="2"/>
      <c r="K80" s="115"/>
    </row>
    <row r="81" spans="1:11">
      <c r="A81" s="131"/>
      <c r="B81" s="132"/>
      <c r="C81" s="233"/>
      <c r="D81" s="231"/>
      <c r="E81" s="232"/>
      <c r="F81" s="232"/>
      <c r="G81" s="232"/>
      <c r="H81" s="232"/>
      <c r="I81" s="2"/>
      <c r="J81" s="2"/>
      <c r="K81" s="115"/>
    </row>
    <row r="82" spans="1:11">
      <c r="A82" s="131"/>
      <c r="B82" s="132"/>
      <c r="C82" s="233"/>
      <c r="D82" s="231"/>
      <c r="E82" s="232"/>
      <c r="F82" s="232"/>
      <c r="G82" s="232"/>
      <c r="H82" s="232"/>
      <c r="I82" s="2"/>
      <c r="J82" s="2"/>
      <c r="K82" s="115"/>
    </row>
    <row r="83" spans="1:11">
      <c r="A83" s="131"/>
      <c r="B83" s="132"/>
      <c r="C83" s="233"/>
      <c r="D83" s="231"/>
      <c r="E83" s="232"/>
      <c r="F83" s="232"/>
      <c r="G83" s="232"/>
      <c r="H83" s="232"/>
      <c r="I83" s="2"/>
      <c r="J83" s="2"/>
      <c r="K83" s="115"/>
    </row>
    <row r="84" spans="1:11">
      <c r="A84" s="131"/>
      <c r="B84" s="132"/>
      <c r="C84" s="233"/>
      <c r="D84" s="231"/>
      <c r="E84" s="232"/>
      <c r="F84" s="232"/>
      <c r="G84" s="232"/>
      <c r="H84" s="232"/>
      <c r="I84" s="2"/>
      <c r="J84" s="2"/>
      <c r="K84" s="115"/>
    </row>
    <row r="85" spans="1:11">
      <c r="A85" s="131"/>
      <c r="B85" s="132"/>
      <c r="C85" s="233"/>
      <c r="D85" s="231"/>
      <c r="E85" s="232"/>
      <c r="F85" s="232"/>
      <c r="G85" s="232"/>
      <c r="H85" s="232"/>
      <c r="I85" s="2"/>
      <c r="J85" s="2"/>
      <c r="K85" s="115"/>
    </row>
    <row r="86" spans="1:11">
      <c r="A86" s="131"/>
      <c r="B86" s="132"/>
      <c r="C86" s="233"/>
      <c r="D86" s="231"/>
      <c r="E86" s="232"/>
      <c r="F86" s="232"/>
      <c r="G86" s="232"/>
      <c r="H86" s="232"/>
      <c r="I86" s="2"/>
      <c r="J86" s="2"/>
      <c r="K86" s="115"/>
    </row>
    <row r="87" spans="1:11">
      <c r="A87" s="131"/>
      <c r="B87" s="132"/>
      <c r="C87" s="233"/>
      <c r="D87" s="231"/>
      <c r="E87" s="232"/>
      <c r="F87" s="232"/>
      <c r="G87" s="232"/>
      <c r="H87" s="232"/>
      <c r="I87" s="2"/>
      <c r="J87" s="2"/>
      <c r="K87" s="115"/>
    </row>
    <row r="88" spans="1:11">
      <c r="A88" s="131"/>
      <c r="B88" s="132"/>
      <c r="C88" s="233"/>
      <c r="D88" s="231"/>
      <c r="E88" s="232"/>
      <c r="F88" s="232"/>
      <c r="G88" s="232"/>
      <c r="H88" s="232"/>
      <c r="I88" s="2"/>
      <c r="J88" s="2"/>
      <c r="K88" s="115"/>
    </row>
    <row r="89" spans="1:11">
      <c r="A89" s="161" t="s">
        <v>0</v>
      </c>
      <c r="B89" s="162"/>
      <c r="C89" s="23"/>
      <c r="D89" s="73"/>
      <c r="E89" s="73"/>
      <c r="F89" s="73"/>
      <c r="G89" s="73"/>
      <c r="H89" s="73"/>
      <c r="I89" s="73"/>
      <c r="J89" s="73"/>
      <c r="K89" s="57"/>
    </row>
    <row r="90" spans="1:11">
      <c r="A90" s="131" t="s">
        <v>1</v>
      </c>
      <c r="B90" s="132"/>
      <c r="C90" s="24"/>
      <c r="D90" s="32"/>
      <c r="E90" s="32"/>
      <c r="F90" s="32"/>
      <c r="G90" s="32"/>
      <c r="H90" s="32"/>
      <c r="I90" s="32"/>
      <c r="J90" s="109"/>
      <c r="K90" s="110"/>
    </row>
    <row r="91" spans="1:11" ht="13.5" thickBot="1">
      <c r="A91" s="155" t="s">
        <v>2</v>
      </c>
      <c r="B91" s="156"/>
      <c r="C91" s="58"/>
      <c r="D91" s="59"/>
      <c r="E91" s="59"/>
      <c r="F91" s="59"/>
      <c r="G91" s="59"/>
      <c r="H91" s="59"/>
      <c r="I91" s="59"/>
      <c r="J91" s="60"/>
      <c r="K91" s="61"/>
    </row>
    <row r="92" spans="1:11" ht="13.5" thickBot="1">
      <c r="A92" s="198"/>
      <c r="B92" s="199"/>
      <c r="C92" s="200"/>
      <c r="D92" s="168"/>
    </row>
    <row r="93" spans="1:11" ht="13.5" thickBot="1">
      <c r="A93" s="198"/>
      <c r="B93" s="199"/>
      <c r="C93" s="200"/>
      <c r="D93" s="168"/>
    </row>
    <row r="94" spans="1:11" ht="13.5" thickBot="1">
      <c r="A94" s="157" t="s">
        <v>34</v>
      </c>
      <c r="B94" s="158"/>
      <c r="C94" s="163">
        <f>-SUM(D69:D69)+D73-SUM(D75:D77)</f>
        <v>-40314.904987263923</v>
      </c>
      <c r="D94" s="160"/>
    </row>
    <row r="95" spans="1:11" ht="13.5" thickBot="1"/>
    <row r="96" spans="1:11">
      <c r="A96" s="164" t="s">
        <v>37</v>
      </c>
      <c r="B96" s="165"/>
      <c r="C96" s="166"/>
      <c r="D96" s="166"/>
      <c r="E96" s="166"/>
      <c r="F96" s="166"/>
      <c r="G96" s="166"/>
      <c r="H96" s="166"/>
      <c r="I96" s="166"/>
      <c r="J96" s="166"/>
      <c r="K96" s="165"/>
    </row>
    <row r="97" spans="1:11">
      <c r="A97" s="161" t="s">
        <v>0</v>
      </c>
      <c r="B97" s="162"/>
      <c r="C97" s="23"/>
      <c r="D97" s="56"/>
      <c r="E97" s="56"/>
      <c r="F97" s="56"/>
      <c r="G97" s="56"/>
      <c r="H97" s="56"/>
      <c r="I97" s="56"/>
      <c r="J97" s="56"/>
      <c r="K97" s="57"/>
    </row>
    <row r="98" spans="1:11">
      <c r="A98" s="131" t="s">
        <v>1</v>
      </c>
      <c r="B98" s="132"/>
      <c r="C98" s="24">
        <v>0</v>
      </c>
      <c r="D98" s="32"/>
      <c r="E98" s="109"/>
      <c r="F98" s="109"/>
      <c r="G98" s="109"/>
      <c r="H98" s="109"/>
      <c r="I98" s="109"/>
      <c r="J98" s="109"/>
      <c r="K98" s="110"/>
    </row>
    <row r="99" spans="1:11" ht="13.5" thickBot="1">
      <c r="A99" s="155" t="s">
        <v>2</v>
      </c>
      <c r="B99" s="156"/>
      <c r="C99" s="58"/>
      <c r="D99" s="59"/>
      <c r="E99" s="60"/>
      <c r="F99" s="60"/>
      <c r="G99" s="60"/>
      <c r="H99" s="60"/>
      <c r="I99" s="60"/>
      <c r="J99" s="60"/>
      <c r="K99" s="61"/>
    </row>
    <row r="100" spans="1:11" ht="13.5" thickBot="1">
      <c r="A100" s="198"/>
      <c r="B100" s="199"/>
      <c r="C100" s="167"/>
      <c r="D100" s="168"/>
    </row>
    <row r="101" spans="1:11" ht="13.5" thickBot="1">
      <c r="A101" s="198"/>
      <c r="B101" s="199"/>
      <c r="C101" s="200"/>
      <c r="D101" s="168"/>
    </row>
    <row r="102" spans="1:11" ht="13.5" thickBot="1">
      <c r="A102" s="157" t="s">
        <v>35</v>
      </c>
      <c r="B102" s="158"/>
      <c r="C102" s="159">
        <f>C53*H68</f>
        <v>0</v>
      </c>
      <c r="D102" s="160"/>
    </row>
    <row r="103" spans="1:11" ht="13.5" thickBot="1"/>
    <row r="104" spans="1:11">
      <c r="A104" s="164" t="s">
        <v>38</v>
      </c>
      <c r="B104" s="166"/>
      <c r="C104" s="166"/>
      <c r="D104" s="166"/>
      <c r="E104" s="166"/>
      <c r="F104" s="166"/>
      <c r="G104" s="166"/>
      <c r="H104" s="166"/>
      <c r="I104" s="166"/>
      <c r="J104" s="166"/>
      <c r="K104" s="165"/>
    </row>
    <row r="105" spans="1:11">
      <c r="A105" s="131"/>
      <c r="B105" s="132"/>
      <c r="C105" s="70"/>
      <c r="D105" s="7"/>
      <c r="E105" s="111"/>
      <c r="F105" s="111"/>
      <c r="G105" s="111"/>
      <c r="H105" s="111"/>
      <c r="I105" s="111"/>
      <c r="J105" s="111"/>
      <c r="K105" s="115"/>
    </row>
    <row r="106" spans="1:11">
      <c r="A106" s="131"/>
      <c r="B106" s="132"/>
      <c r="C106" s="71"/>
      <c r="D106" s="7"/>
      <c r="E106" s="111"/>
      <c r="F106" s="111"/>
      <c r="G106" s="111"/>
      <c r="H106" s="111"/>
      <c r="I106" s="111"/>
      <c r="J106" s="111"/>
      <c r="K106" s="115"/>
    </row>
    <row r="107" spans="1:11">
      <c r="A107" s="131"/>
      <c r="B107" s="132"/>
      <c r="C107" s="71"/>
      <c r="D107" s="7"/>
      <c r="E107" s="111"/>
      <c r="F107" s="111"/>
      <c r="G107" s="111"/>
      <c r="H107" s="111"/>
      <c r="I107" s="111"/>
      <c r="J107" s="111"/>
      <c r="K107" s="115"/>
    </row>
    <row r="108" spans="1:11">
      <c r="A108" s="131"/>
      <c r="B108" s="132"/>
      <c r="C108" s="71"/>
      <c r="D108" s="7"/>
      <c r="E108" s="111"/>
      <c r="F108" s="111"/>
      <c r="G108" s="111"/>
      <c r="H108" s="111"/>
      <c r="I108" s="111"/>
      <c r="J108" s="111"/>
      <c r="K108" s="115"/>
    </row>
    <row r="109" spans="1:11">
      <c r="A109" s="131"/>
      <c r="B109" s="132"/>
      <c r="C109" s="71"/>
      <c r="D109" s="7"/>
      <c r="E109" s="111"/>
      <c r="F109" s="111"/>
      <c r="G109" s="111"/>
      <c r="H109" s="111"/>
      <c r="I109" s="111"/>
      <c r="J109" s="111"/>
      <c r="K109" s="115"/>
    </row>
    <row r="110" spans="1:11">
      <c r="A110" s="131"/>
      <c r="B110" s="132"/>
      <c r="C110" s="71"/>
      <c r="D110" s="7"/>
      <c r="E110" s="111"/>
      <c r="F110" s="11"/>
      <c r="G110" s="111"/>
      <c r="H110" s="111"/>
      <c r="I110" s="111"/>
      <c r="J110" s="111"/>
      <c r="K110" s="115"/>
    </row>
    <row r="111" spans="1:11">
      <c r="A111" s="131"/>
      <c r="B111" s="132"/>
      <c r="C111" s="71"/>
      <c r="D111" s="7"/>
      <c r="E111" s="111"/>
      <c r="F111" s="116"/>
      <c r="G111" s="111"/>
      <c r="H111" s="111"/>
      <c r="I111" s="111"/>
      <c r="J111" s="111"/>
      <c r="K111" s="115"/>
    </row>
    <row r="112" spans="1:11">
      <c r="A112" s="131"/>
      <c r="B112" s="132"/>
      <c r="C112" s="71"/>
      <c r="D112" s="7"/>
      <c r="E112" s="111"/>
      <c r="F112" s="117"/>
      <c r="G112" s="111"/>
      <c r="H112" s="111"/>
      <c r="I112" s="111"/>
      <c r="J112" s="111"/>
      <c r="K112" s="115"/>
    </row>
    <row r="113" spans="1:11">
      <c r="A113" s="131"/>
      <c r="B113" s="132"/>
      <c r="C113" s="71"/>
      <c r="D113" s="7"/>
      <c r="E113" s="111"/>
      <c r="F113" s="117"/>
      <c r="G113" s="111"/>
      <c r="H113" s="111"/>
      <c r="I113" s="111"/>
      <c r="J113" s="111"/>
      <c r="K113" s="115"/>
    </row>
    <row r="114" spans="1:11">
      <c r="A114" s="161" t="s">
        <v>0</v>
      </c>
      <c r="B114" s="162"/>
      <c r="C114" s="23"/>
      <c r="D114" s="56"/>
      <c r="E114" s="56"/>
      <c r="F114" s="56"/>
      <c r="G114" s="56"/>
      <c r="H114" s="56"/>
      <c r="I114" s="56"/>
      <c r="J114" s="56"/>
      <c r="K114" s="57"/>
    </row>
    <row r="115" spans="1:11">
      <c r="A115" s="131" t="s">
        <v>1</v>
      </c>
      <c r="B115" s="132"/>
      <c r="C115" s="24">
        <v>0</v>
      </c>
      <c r="D115" s="32"/>
      <c r="E115" s="109"/>
      <c r="F115" s="109"/>
      <c r="G115" s="109"/>
      <c r="H115" s="109"/>
      <c r="I115" s="109"/>
      <c r="J115" s="109"/>
      <c r="K115" s="110"/>
    </row>
    <row r="116" spans="1:11" ht="13.5" thickBot="1">
      <c r="A116" s="155" t="s">
        <v>2</v>
      </c>
      <c r="B116" s="156"/>
      <c r="C116" s="58"/>
      <c r="D116" s="59"/>
      <c r="E116" s="60"/>
      <c r="F116" s="60"/>
      <c r="G116" s="60"/>
      <c r="H116" s="60"/>
      <c r="I116" s="60"/>
      <c r="J116" s="60"/>
      <c r="K116" s="61"/>
    </row>
    <row r="117" spans="1:11" ht="13.5" thickBot="1">
      <c r="A117" s="198"/>
      <c r="B117" s="199"/>
      <c r="C117" s="167"/>
      <c r="D117" s="168"/>
    </row>
    <row r="118" spans="1:11" ht="13.5" thickBot="1">
      <c r="A118" s="198"/>
      <c r="B118" s="199"/>
      <c r="C118" s="200"/>
      <c r="D118" s="168"/>
    </row>
    <row r="119" spans="1:11" ht="13.5" thickBot="1">
      <c r="A119" s="157" t="s">
        <v>36</v>
      </c>
      <c r="B119" s="158"/>
      <c r="C119" s="159"/>
      <c r="D119" s="160"/>
    </row>
    <row r="121" spans="1:11" ht="13.5" thickBot="1">
      <c r="A121" s="1" t="s">
        <v>42</v>
      </c>
    </row>
    <row r="122" spans="1:11">
      <c r="A122" s="152" t="s">
        <v>23</v>
      </c>
      <c r="B122" s="153"/>
      <c r="C122" s="153"/>
      <c r="D122" s="153"/>
      <c r="E122" s="153"/>
      <c r="F122" s="153"/>
      <c r="G122" s="153"/>
      <c r="H122" s="153"/>
      <c r="I122" s="153"/>
      <c r="J122" s="153"/>
      <c r="K122" s="154"/>
    </row>
    <row r="123" spans="1:11">
      <c r="A123" s="189" t="s">
        <v>12</v>
      </c>
      <c r="B123" s="190"/>
      <c r="C123" s="8"/>
      <c r="D123" s="9"/>
      <c r="E123" s="118"/>
      <c r="F123" s="118"/>
      <c r="G123" s="118"/>
      <c r="H123" s="118"/>
      <c r="I123" s="118"/>
      <c r="J123" s="118"/>
      <c r="K123" s="201" t="s">
        <v>13</v>
      </c>
    </row>
    <row r="124" spans="1:11">
      <c r="A124" s="191"/>
      <c r="B124" s="192"/>
      <c r="C124" s="2"/>
      <c r="D124" s="7"/>
      <c r="E124" s="111"/>
      <c r="F124" s="111"/>
      <c r="G124" s="111"/>
      <c r="H124" s="111"/>
      <c r="I124" s="111"/>
      <c r="J124" s="111"/>
      <c r="K124" s="202"/>
    </row>
    <row r="125" spans="1:11">
      <c r="A125" s="193"/>
      <c r="B125" s="194"/>
      <c r="C125" s="5"/>
      <c r="D125" s="6"/>
      <c r="E125" s="113"/>
      <c r="F125" s="113"/>
      <c r="G125" s="113"/>
      <c r="H125" s="113"/>
      <c r="I125" s="113"/>
      <c r="J125" s="113"/>
      <c r="K125" s="203"/>
    </row>
    <row r="126" spans="1:11">
      <c r="A126" s="187">
        <v>-0.1</v>
      </c>
      <c r="B126" s="188"/>
      <c r="C126" s="119" t="s">
        <v>63</v>
      </c>
      <c r="D126" s="226">
        <v>525725.15475306334</v>
      </c>
      <c r="E126" s="226"/>
      <c r="F126" s="119"/>
      <c r="G126" s="119"/>
      <c r="H126" s="119"/>
      <c r="I126" s="119"/>
      <c r="J126" s="119"/>
      <c r="K126" s="120">
        <f>(D126-D127)/D127</f>
        <v>0.38266312523149659</v>
      </c>
    </row>
    <row r="127" spans="1:11">
      <c r="A127" s="187">
        <v>0</v>
      </c>
      <c r="B127" s="188"/>
      <c r="C127" s="15"/>
      <c r="D127" s="227">
        <v>380226.49563684734</v>
      </c>
      <c r="E127" s="227"/>
      <c r="F127" s="119"/>
      <c r="G127" s="119"/>
      <c r="H127" s="119"/>
      <c r="I127" s="119"/>
      <c r="J127" s="119"/>
      <c r="K127" s="120">
        <v>0</v>
      </c>
    </row>
    <row r="128" spans="1:11">
      <c r="A128" s="187">
        <v>0.1</v>
      </c>
      <c r="B128" s="188"/>
      <c r="C128" s="15"/>
      <c r="D128" s="228">
        <v>234727.83652063127</v>
      </c>
      <c r="E128" s="228"/>
      <c r="F128" s="119"/>
      <c r="G128" s="119"/>
      <c r="H128" s="119"/>
      <c r="I128" s="119"/>
      <c r="J128" s="119"/>
      <c r="K128" s="120">
        <f>(D128-D127)/D127</f>
        <v>-0.38266312523149676</v>
      </c>
    </row>
    <row r="129" spans="1:11">
      <c r="A129" s="133" t="s">
        <v>64</v>
      </c>
      <c r="B129" s="134"/>
      <c r="C129" s="134"/>
      <c r="D129" s="134"/>
      <c r="E129" s="134"/>
      <c r="F129" s="134"/>
      <c r="G129" s="134"/>
      <c r="H129" s="134"/>
      <c r="I129" s="134"/>
      <c r="J129" s="134"/>
      <c r="K129" s="135"/>
    </row>
    <row r="130" spans="1:11">
      <c r="A130" s="136"/>
      <c r="B130" s="137"/>
      <c r="C130" s="137"/>
      <c r="D130" s="137"/>
      <c r="E130" s="137"/>
      <c r="F130" s="137"/>
      <c r="G130" s="137"/>
      <c r="H130" s="137"/>
      <c r="I130" s="137"/>
      <c r="J130" s="137"/>
      <c r="K130" s="138"/>
    </row>
    <row r="131" spans="1:11">
      <c r="A131" s="136"/>
      <c r="B131" s="137"/>
      <c r="C131" s="137"/>
      <c r="D131" s="137"/>
      <c r="E131" s="137"/>
      <c r="F131" s="137"/>
      <c r="G131" s="137"/>
      <c r="H131" s="137"/>
      <c r="I131" s="137"/>
      <c r="J131" s="137"/>
      <c r="K131" s="138"/>
    </row>
    <row r="132" spans="1:11">
      <c r="A132" s="139"/>
      <c r="B132" s="140"/>
      <c r="C132" s="140"/>
      <c r="D132" s="140"/>
      <c r="E132" s="140"/>
      <c r="F132" s="140"/>
      <c r="G132" s="140"/>
      <c r="H132" s="140"/>
      <c r="I132" s="140"/>
      <c r="J132" s="140"/>
      <c r="K132" s="141"/>
    </row>
    <row r="133" spans="1:11">
      <c r="A133" s="204" t="s">
        <v>15</v>
      </c>
      <c r="B133" s="205"/>
      <c r="C133" s="229" t="s">
        <v>65</v>
      </c>
      <c r="D133" s="142"/>
      <c r="E133" s="142"/>
      <c r="F133" s="142"/>
      <c r="G133" s="142"/>
      <c r="H133" s="142"/>
      <c r="I133" s="142"/>
      <c r="J133" s="142"/>
      <c r="K133" s="143"/>
    </row>
    <row r="134" spans="1:11" ht="13.5" thickBot="1">
      <c r="A134" s="206"/>
      <c r="B134" s="207"/>
      <c r="C134" s="144"/>
      <c r="D134" s="145"/>
      <c r="E134" s="145"/>
      <c r="F134" s="145"/>
      <c r="G134" s="145"/>
      <c r="H134" s="145"/>
      <c r="I134" s="145"/>
      <c r="J134" s="145"/>
      <c r="K134" s="146"/>
    </row>
    <row r="136" spans="1:11" ht="14.25">
      <c r="D136" s="39">
        <f ca="1">NOW()</f>
        <v>43791.471165393516</v>
      </c>
      <c r="E136" s="184">
        <f ca="1">NOW()</f>
        <v>43791.471165393516</v>
      </c>
      <c r="F136" s="184"/>
      <c r="G136" s="184"/>
    </row>
    <row r="166" spans="11:13">
      <c r="K166" s="132"/>
      <c r="L166" s="132"/>
      <c r="M166" s="12"/>
    </row>
    <row r="204" spans="4:4">
      <c r="D204" s="3"/>
    </row>
    <row r="205" spans="4:4">
      <c r="D205" s="3"/>
    </row>
    <row r="206" spans="4:4">
      <c r="D206" s="3"/>
    </row>
    <row r="207" spans="4:4">
      <c r="D207" s="3"/>
    </row>
    <row r="208" spans="4:4">
      <c r="D208" s="3"/>
    </row>
    <row r="209" spans="4:4">
      <c r="D209" s="3"/>
    </row>
    <row r="210" spans="4:4">
      <c r="D210" s="3"/>
    </row>
    <row r="211" spans="4:4">
      <c r="D211" s="3"/>
    </row>
    <row r="212" spans="4:4">
      <c r="D212" s="3"/>
    </row>
    <row r="213" spans="4:4">
      <c r="D213" s="3"/>
    </row>
    <row r="214" spans="4:4">
      <c r="D214" s="3"/>
    </row>
    <row r="215" spans="4:4">
      <c r="D215" s="3"/>
    </row>
    <row r="216" spans="4:4">
      <c r="D216" s="3"/>
    </row>
    <row r="217" spans="4:4">
      <c r="D217" s="3"/>
    </row>
    <row r="218" spans="4:4">
      <c r="D218" s="3"/>
    </row>
    <row r="219" spans="4:4">
      <c r="D219" s="3"/>
    </row>
  </sheetData>
  <mergeCells count="131">
    <mergeCell ref="D126:E126"/>
    <mergeCell ref="D128:E128"/>
    <mergeCell ref="D127:E127"/>
    <mergeCell ref="A115:B115"/>
    <mergeCell ref="A116:B116"/>
    <mergeCell ref="A117:B117"/>
    <mergeCell ref="C117:D117"/>
    <mergeCell ref="A119:B119"/>
    <mergeCell ref="C119:D119"/>
    <mergeCell ref="C101:D101"/>
    <mergeCell ref="A106:B106"/>
    <mergeCell ref="A107:B107"/>
    <mergeCell ref="A108:B108"/>
    <mergeCell ref="A109:B109"/>
    <mergeCell ref="A118:B118"/>
    <mergeCell ref="C118:D118"/>
    <mergeCell ref="A101:B101"/>
    <mergeCell ref="A111:B111"/>
    <mergeCell ref="A112:B112"/>
    <mergeCell ref="A113:B113"/>
    <mergeCell ref="A114:B114"/>
    <mergeCell ref="K166:L166"/>
    <mergeCell ref="A56:B56"/>
    <mergeCell ref="A61:B61"/>
    <mergeCell ref="A69:B69"/>
    <mergeCell ref="A70:B70"/>
    <mergeCell ref="A71:B71"/>
    <mergeCell ref="A89:B89"/>
    <mergeCell ref="A90:B90"/>
    <mergeCell ref="A91:B91"/>
    <mergeCell ref="K123:K125"/>
    <mergeCell ref="A133:B134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18:B18"/>
    <mergeCell ref="E136:G136"/>
    <mergeCell ref="D1:E1"/>
    <mergeCell ref="D2:E2"/>
    <mergeCell ref="D3:E3"/>
    <mergeCell ref="A44:C44"/>
    <mergeCell ref="A127:B127"/>
    <mergeCell ref="A128:B128"/>
    <mergeCell ref="A126:B126"/>
    <mergeCell ref="A123:B125"/>
    <mergeCell ref="A62:B62"/>
    <mergeCell ref="A63:B63"/>
    <mergeCell ref="A59:B59"/>
    <mergeCell ref="C5:I5"/>
    <mergeCell ref="A45:B45"/>
    <mergeCell ref="A46:B46"/>
    <mergeCell ref="A85:B85"/>
    <mergeCell ref="A86:B86"/>
    <mergeCell ref="A87:B87"/>
    <mergeCell ref="A88:B88"/>
    <mergeCell ref="A92:B92"/>
    <mergeCell ref="A93:B93"/>
    <mergeCell ref="C92:D92"/>
    <mergeCell ref="C93:D93"/>
    <mergeCell ref="A14:B14"/>
    <mergeCell ref="A8:K9"/>
    <mergeCell ref="A10:B10"/>
    <mergeCell ref="A11:B11"/>
    <mergeCell ref="A12:B12"/>
    <mergeCell ref="A13:B13"/>
    <mergeCell ref="A15:B15"/>
    <mergeCell ref="A16:B16"/>
    <mergeCell ref="A17:B17"/>
    <mergeCell ref="A20:B20"/>
    <mergeCell ref="A21:B21"/>
    <mergeCell ref="A22:C22"/>
    <mergeCell ref="A29:C29"/>
    <mergeCell ref="A27:B27"/>
    <mergeCell ref="A26:B26"/>
    <mergeCell ref="A25:B25"/>
    <mergeCell ref="A24:B24"/>
    <mergeCell ref="A23:B23"/>
    <mergeCell ref="A110:B110"/>
    <mergeCell ref="A55:K55"/>
    <mergeCell ref="A66:K66"/>
    <mergeCell ref="A68:B68"/>
    <mergeCell ref="C53:D53"/>
    <mergeCell ref="A50:B50"/>
    <mergeCell ref="A51:B51"/>
    <mergeCell ref="A52:B52"/>
    <mergeCell ref="A53:B53"/>
    <mergeCell ref="A47:B47"/>
    <mergeCell ref="A37:B37"/>
    <mergeCell ref="A38:B38"/>
    <mergeCell ref="A39:B39"/>
    <mergeCell ref="A40:B40"/>
    <mergeCell ref="A41:B41"/>
    <mergeCell ref="A31:B31"/>
    <mergeCell ref="A32:B32"/>
    <mergeCell ref="A33:B33"/>
    <mergeCell ref="A34:B34"/>
    <mergeCell ref="A100:B100"/>
    <mergeCell ref="A19:B19"/>
    <mergeCell ref="A129:K132"/>
    <mergeCell ref="C133:K134"/>
    <mergeCell ref="A35:B35"/>
    <mergeCell ref="A42:B42"/>
    <mergeCell ref="A43:C43"/>
    <mergeCell ref="A36:C36"/>
    <mergeCell ref="A48:B48"/>
    <mergeCell ref="A49:C49"/>
    <mergeCell ref="A57:B57"/>
    <mergeCell ref="A58:B58"/>
    <mergeCell ref="A60:B60"/>
    <mergeCell ref="A122:K122"/>
    <mergeCell ref="A99:B99"/>
    <mergeCell ref="A102:B102"/>
    <mergeCell ref="C102:D102"/>
    <mergeCell ref="A97:B97"/>
    <mergeCell ref="A98:B98"/>
    <mergeCell ref="A94:B94"/>
    <mergeCell ref="C94:D94"/>
    <mergeCell ref="A96:K96"/>
    <mergeCell ref="C100:D100"/>
    <mergeCell ref="A104:K104"/>
    <mergeCell ref="A105:B105"/>
  </mergeCells>
  <phoneticPr fontId="2" type="noConversion"/>
  <pageMargins left="0.2" right="0.2" top="0.2" bottom="0.2" header="0" footer="0"/>
  <pageSetup scale="75" orientation="portrait" r:id="rId1"/>
  <headerFooter alignWithMargins="0"/>
  <rowBreaks count="1" manualBreakCount="1">
    <brk id="64" max="16383" man="1"/>
  </rowBreaks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H12" sqref="H12"/>
    </sheetView>
  </sheetViews>
  <sheetFormatPr baseColWidth="10" defaultColWidth="10.85546875" defaultRowHeight="12.75"/>
  <cols>
    <col min="1" max="7" width="10.85546875" style="37"/>
    <col min="8" max="8" width="12.42578125" style="37" bestFit="1" customWidth="1"/>
    <col min="9" max="16384" width="10.85546875" style="37"/>
  </cols>
  <sheetData>
    <row r="1" spans="1:8" ht="31.5">
      <c r="A1" s="38" t="s">
        <v>25</v>
      </c>
    </row>
    <row r="5" spans="1:8">
      <c r="B5"/>
      <c r="C5"/>
      <c r="D5"/>
    </row>
    <row r="6" spans="1:8">
      <c r="B6"/>
      <c r="C6"/>
      <c r="D6"/>
    </row>
    <row r="7" spans="1:8">
      <c r="B7"/>
      <c r="C7" s="89" t="s">
        <v>56</v>
      </c>
      <c r="D7"/>
    </row>
    <row r="8" spans="1:8">
      <c r="B8"/>
      <c r="C8" s="89" t="s">
        <v>57</v>
      </c>
      <c r="D8">
        <f>(48000/177300)^(1/11)</f>
        <v>0.88799811854935873</v>
      </c>
    </row>
    <row r="9" spans="1:8">
      <c r="B9"/>
      <c r="C9"/>
      <c r="D9"/>
    </row>
    <row r="10" spans="1:8">
      <c r="B10"/>
      <c r="C10"/>
      <c r="D10"/>
    </row>
    <row r="12" spans="1:8">
      <c r="D12" s="37">
        <f>177300*$D$8</f>
        <v>157442.06641880129</v>
      </c>
      <c r="E12" s="37">
        <f>D12*$D$8</f>
        <v>139808.25876041871</v>
      </c>
      <c r="F12" s="37">
        <f t="shared" ref="F12:H12" si="0">E12*$D$8</f>
        <v>124149.47073691372</v>
      </c>
      <c r="G12" s="37">
        <f>F12*$D$8</f>
        <v>110244.49643327805</v>
      </c>
      <c r="H12" s="210">
        <f t="shared" si="0"/>
        <v>97896.905413172397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topLeftCell="A19" workbookViewId="0">
      <selection activeCell="N46" sqref="A1:XFD1048576"/>
    </sheetView>
  </sheetViews>
  <sheetFormatPr baseColWidth="10" defaultRowHeight="12.75"/>
  <sheetData>
    <row r="1" spans="1:12">
      <c r="A1" s="215"/>
      <c r="B1" s="215"/>
      <c r="C1" s="216"/>
      <c r="D1" s="216"/>
      <c r="E1" s="216"/>
      <c r="F1" s="216"/>
      <c r="G1" s="216"/>
      <c r="H1" s="216"/>
      <c r="I1" s="216"/>
      <c r="J1" s="216"/>
      <c r="K1" s="216"/>
      <c r="L1" s="217"/>
    </row>
    <row r="2" spans="1:12">
      <c r="A2" s="215"/>
      <c r="B2" s="215"/>
      <c r="C2" s="218"/>
      <c r="D2" s="219"/>
      <c r="E2" s="220"/>
      <c r="F2" s="220"/>
      <c r="G2" s="220"/>
      <c r="H2" s="220"/>
      <c r="I2" s="220"/>
      <c r="J2" s="220"/>
      <c r="K2" s="220"/>
      <c r="L2" s="217"/>
    </row>
    <row r="3" spans="1:12">
      <c r="A3" s="215"/>
      <c r="B3" s="215"/>
      <c r="C3" s="221"/>
      <c r="D3" s="221"/>
      <c r="E3" s="222"/>
      <c r="F3" s="222"/>
      <c r="G3" s="222"/>
      <c r="H3" s="222"/>
      <c r="I3" s="222"/>
      <c r="J3" s="222"/>
      <c r="K3" s="222"/>
      <c r="L3" s="217"/>
    </row>
    <row r="4" spans="1:12">
      <c r="A4" s="215"/>
      <c r="B4" s="215"/>
      <c r="C4" s="216"/>
      <c r="D4" s="73"/>
      <c r="E4" s="85"/>
      <c r="F4" s="85"/>
      <c r="G4" s="85"/>
      <c r="H4" s="85"/>
      <c r="I4" s="85"/>
      <c r="J4" s="85"/>
      <c r="K4" s="85"/>
      <c r="L4" s="217"/>
    </row>
    <row r="5" spans="1:12">
      <c r="A5" s="215"/>
      <c r="B5" s="215"/>
      <c r="C5" s="224">
        <v>-0.1</v>
      </c>
      <c r="D5" s="225"/>
      <c r="E5" s="225"/>
      <c r="F5" s="225"/>
      <c r="G5" s="225"/>
      <c r="H5" s="225"/>
      <c r="I5" s="225"/>
      <c r="J5" s="126"/>
      <c r="K5" s="214"/>
      <c r="L5" s="217"/>
    </row>
    <row r="6" spans="1:12">
      <c r="A6" s="215"/>
      <c r="B6" s="215"/>
      <c r="C6" s="225"/>
      <c r="D6" s="225"/>
      <c r="E6" s="225"/>
      <c r="F6" s="225"/>
      <c r="G6" s="225"/>
      <c r="H6" s="225"/>
      <c r="I6" s="225"/>
      <c r="J6" s="50"/>
      <c r="K6" s="214"/>
      <c r="L6" s="217"/>
    </row>
    <row r="7" spans="1:12">
      <c r="A7" s="215"/>
      <c r="B7" s="215"/>
      <c r="C7" s="225"/>
      <c r="D7" s="225"/>
      <c r="E7" s="225"/>
      <c r="F7" s="225"/>
      <c r="G7" s="225"/>
      <c r="H7" s="225"/>
      <c r="I7" s="225"/>
      <c r="J7" s="126"/>
      <c r="K7" s="214"/>
      <c r="L7" s="217"/>
    </row>
    <row r="8" spans="1:12">
      <c r="A8" s="215"/>
      <c r="B8" s="215"/>
      <c r="C8" s="223"/>
      <c r="D8" s="124"/>
      <c r="E8" s="51"/>
      <c r="F8" s="51"/>
      <c r="G8" s="51"/>
      <c r="H8" s="51"/>
      <c r="I8" s="51"/>
      <c r="J8" s="126"/>
      <c r="K8" s="214"/>
      <c r="L8" s="217"/>
    </row>
    <row r="9" spans="1:12" ht="13.5" thickBot="1">
      <c r="A9" s="215"/>
      <c r="B9" s="215"/>
      <c r="C9" s="223"/>
      <c r="D9" s="124"/>
      <c r="E9" s="51"/>
      <c r="F9" s="51"/>
      <c r="G9" s="126"/>
      <c r="H9" s="126"/>
      <c r="I9" s="126"/>
      <c r="J9" s="126"/>
      <c r="K9" s="214"/>
      <c r="L9" s="217"/>
    </row>
    <row r="10" spans="1:12">
      <c r="A10" s="182" t="s">
        <v>4</v>
      </c>
      <c r="B10" s="183"/>
      <c r="C10" s="44" t="s">
        <v>10</v>
      </c>
      <c r="D10" s="45">
        <v>2019</v>
      </c>
      <c r="E10" s="45">
        <v>2020</v>
      </c>
      <c r="F10" s="45">
        <v>2021</v>
      </c>
      <c r="G10" s="45">
        <v>2022</v>
      </c>
      <c r="H10" s="45">
        <v>2023</v>
      </c>
      <c r="I10" s="45">
        <v>2024</v>
      </c>
      <c r="J10" s="45">
        <v>2025</v>
      </c>
      <c r="K10" s="45">
        <v>2026</v>
      </c>
      <c r="L10" s="217"/>
    </row>
    <row r="11" spans="1:12">
      <c r="A11" s="161" t="s">
        <v>11</v>
      </c>
      <c r="B11" s="172"/>
      <c r="C11" s="17"/>
      <c r="D11" s="46"/>
      <c r="E11" s="92">
        <v>245</v>
      </c>
      <c r="F11" s="92">
        <f t="shared" ref="F11:I11" si="0">(1.05)*E11</f>
        <v>257.25</v>
      </c>
      <c r="G11" s="92">
        <f t="shared" si="0"/>
        <v>270.11250000000001</v>
      </c>
      <c r="H11" s="92">
        <f t="shared" si="0"/>
        <v>283.61812500000002</v>
      </c>
      <c r="I11" s="92">
        <f t="shared" si="0"/>
        <v>297.79903125000004</v>
      </c>
      <c r="J11" s="92"/>
      <c r="K11" s="93"/>
      <c r="L11" s="217"/>
    </row>
    <row r="12" spans="1:12">
      <c r="A12" s="174" t="s">
        <v>29</v>
      </c>
      <c r="B12" s="175"/>
      <c r="C12" s="47"/>
      <c r="D12" s="48"/>
      <c r="E12" s="94">
        <v>2430</v>
      </c>
      <c r="F12" s="94">
        <v>2430</v>
      </c>
      <c r="G12" s="94">
        <v>2430</v>
      </c>
      <c r="H12" s="94">
        <v>2430</v>
      </c>
      <c r="I12" s="94">
        <v>2430</v>
      </c>
      <c r="J12" s="94"/>
      <c r="K12" s="95"/>
      <c r="L12" s="217"/>
    </row>
    <row r="13" spans="1:12">
      <c r="A13" s="148" t="s">
        <v>9</v>
      </c>
      <c r="B13" s="150"/>
      <c r="C13" s="16"/>
      <c r="D13" s="73"/>
      <c r="E13" s="85">
        <f>E12*E11</f>
        <v>595350</v>
      </c>
      <c r="F13" s="85">
        <f t="shared" ref="F13:I13" si="1">F12*F11</f>
        <v>625117.5</v>
      </c>
      <c r="G13" s="85">
        <f t="shared" si="1"/>
        <v>656373.375</v>
      </c>
      <c r="H13" s="85">
        <f t="shared" si="1"/>
        <v>689192.04375000007</v>
      </c>
      <c r="I13" s="85">
        <f t="shared" si="1"/>
        <v>723651.64593750006</v>
      </c>
      <c r="J13" s="85"/>
      <c r="K13" s="85"/>
      <c r="L13" s="217"/>
    </row>
    <row r="14" spans="1:12">
      <c r="A14" s="161" t="s">
        <v>7</v>
      </c>
      <c r="B14" s="172"/>
      <c r="C14" s="18"/>
      <c r="D14" s="121"/>
      <c r="E14" s="122"/>
      <c r="F14" s="122"/>
      <c r="G14" s="123"/>
      <c r="H14" s="123"/>
      <c r="I14" s="123"/>
      <c r="J14" s="123"/>
      <c r="K14" s="96"/>
      <c r="L14" s="217"/>
    </row>
    <row r="15" spans="1:12">
      <c r="A15" s="131" t="s">
        <v>43</v>
      </c>
      <c r="B15" s="132"/>
      <c r="C15" s="19">
        <v>330</v>
      </c>
      <c r="D15" s="124"/>
      <c r="E15" s="50">
        <f>$C$15*E11*(1+$C$5)</f>
        <v>72765</v>
      </c>
      <c r="F15" s="50">
        <f t="shared" ref="F15:I15" si="2">$C$15*F11*(1+$C$5)</f>
        <v>76403.25</v>
      </c>
      <c r="G15" s="50">
        <f t="shared" si="2"/>
        <v>80223.412500000006</v>
      </c>
      <c r="H15" s="50">
        <f t="shared" si="2"/>
        <v>84234.583125000019</v>
      </c>
      <c r="I15" s="50">
        <f t="shared" si="2"/>
        <v>88446.312281250022</v>
      </c>
      <c r="J15" s="50"/>
      <c r="K15" s="97"/>
      <c r="L15" s="217"/>
    </row>
    <row r="16" spans="1:12">
      <c r="A16" s="131" t="s">
        <v>44</v>
      </c>
      <c r="B16" s="132"/>
      <c r="C16" s="19">
        <f>2.3*C15</f>
        <v>758.99999999999989</v>
      </c>
      <c r="D16" s="124"/>
      <c r="E16" s="51">
        <f t="shared" ref="E16:I16" si="3">2.3*E15</f>
        <v>167359.5</v>
      </c>
      <c r="F16" s="51">
        <f t="shared" si="3"/>
        <v>175727.47499999998</v>
      </c>
      <c r="G16" s="51">
        <f t="shared" si="3"/>
        <v>184513.84875</v>
      </c>
      <c r="H16" s="51">
        <f t="shared" si="3"/>
        <v>193739.54118750003</v>
      </c>
      <c r="I16" s="51">
        <f t="shared" si="3"/>
        <v>203426.51824687503</v>
      </c>
      <c r="J16" s="126"/>
      <c r="K16" s="97"/>
      <c r="L16" s="217"/>
    </row>
    <row r="17" spans="1:12">
      <c r="A17" s="131" t="s">
        <v>45</v>
      </c>
      <c r="B17" s="132"/>
      <c r="C17" s="19">
        <f>0.23*C16</f>
        <v>174.57</v>
      </c>
      <c r="D17" s="124"/>
      <c r="E17" s="51">
        <f t="shared" ref="E17:I17" si="4">0.23*E16</f>
        <v>38492.685000000005</v>
      </c>
      <c r="F17" s="51">
        <f t="shared" si="4"/>
        <v>40417.319249999993</v>
      </c>
      <c r="G17" s="51">
        <f t="shared" si="4"/>
        <v>42438.1852125</v>
      </c>
      <c r="H17" s="51">
        <f t="shared" si="4"/>
        <v>44560.094473125006</v>
      </c>
      <c r="I17" s="51">
        <f t="shared" si="4"/>
        <v>46788.099196781259</v>
      </c>
      <c r="J17" s="126"/>
      <c r="K17" s="97"/>
      <c r="L17" s="217"/>
    </row>
    <row r="18" spans="1:12">
      <c r="A18" s="131" t="s">
        <v>46</v>
      </c>
      <c r="B18" s="132"/>
      <c r="C18" s="19"/>
      <c r="D18" s="124"/>
      <c r="E18" s="51">
        <v>6100</v>
      </c>
      <c r="F18" s="51">
        <v>6100</v>
      </c>
      <c r="G18" s="126"/>
      <c r="H18" s="126"/>
      <c r="I18" s="126"/>
      <c r="J18" s="126"/>
      <c r="K18" s="97"/>
      <c r="L18" s="217"/>
    </row>
    <row r="19" spans="1:12">
      <c r="A19" s="131" t="s">
        <v>47</v>
      </c>
      <c r="B19" s="132"/>
      <c r="C19" s="19"/>
      <c r="D19" s="124"/>
      <c r="E19" s="130">
        <v>7700</v>
      </c>
      <c r="F19" s="125"/>
      <c r="G19" s="126"/>
      <c r="H19" s="126"/>
      <c r="I19" s="126"/>
      <c r="J19" s="126"/>
      <c r="K19" s="97"/>
      <c r="L19" s="217"/>
    </row>
    <row r="20" spans="1:12">
      <c r="A20" s="174" t="s">
        <v>48</v>
      </c>
      <c r="B20" s="175"/>
      <c r="C20" s="20">
        <v>208800</v>
      </c>
      <c r="D20" s="124"/>
      <c r="E20" s="129">
        <f>$C$20-20074-19858</f>
        <v>168868</v>
      </c>
      <c r="F20" s="129">
        <f t="shared" ref="F20:I20" si="5">$C$20-20074-19858</f>
        <v>168868</v>
      </c>
      <c r="G20" s="129">
        <f t="shared" si="5"/>
        <v>168868</v>
      </c>
      <c r="H20" s="129">
        <f t="shared" si="5"/>
        <v>168868</v>
      </c>
      <c r="I20" s="129">
        <f t="shared" si="5"/>
        <v>168868</v>
      </c>
      <c r="J20" s="129"/>
      <c r="K20" s="129"/>
      <c r="L20" s="217"/>
    </row>
    <row r="21" spans="1:12">
      <c r="A21" s="148" t="s">
        <v>8</v>
      </c>
      <c r="B21" s="150"/>
      <c r="C21" s="84"/>
      <c r="D21" s="127" t="str">
        <f>IF(SUM(D15:D20)&gt;0,SUM(D15:D20)," ")</f>
        <v xml:space="preserve"> </v>
      </c>
      <c r="E21" s="128">
        <f>IF(SUM(E15:E20)&gt;0,SUM(E15:E20)," ")</f>
        <v>461285.185</v>
      </c>
      <c r="F21" s="128">
        <f t="shared" ref="F21:K21" si="6">IF(SUM(F15:F20)&gt;0,SUM(F15:F20)," ")</f>
        <v>467516.04424999998</v>
      </c>
      <c r="G21" s="128">
        <f t="shared" si="6"/>
        <v>476043.44646249997</v>
      </c>
      <c r="H21" s="128">
        <f t="shared" si="6"/>
        <v>491402.21878562507</v>
      </c>
      <c r="I21" s="128">
        <f t="shared" si="6"/>
        <v>507528.92972490634</v>
      </c>
      <c r="J21" s="128" t="str">
        <f t="shared" si="6"/>
        <v xml:space="preserve"> </v>
      </c>
      <c r="K21" s="76" t="str">
        <f t="shared" si="6"/>
        <v xml:space="preserve"> </v>
      </c>
      <c r="L21" s="217"/>
    </row>
    <row r="22" spans="1:12">
      <c r="A22" s="148" t="s">
        <v>5</v>
      </c>
      <c r="B22" s="149"/>
      <c r="C22" s="149"/>
      <c r="D22" s="77"/>
      <c r="E22" s="52">
        <f>E13-E21</f>
        <v>134064.815</v>
      </c>
      <c r="F22" s="52">
        <f t="shared" ref="F22:I22" si="7">F13-F21</f>
        <v>157601.45575000002</v>
      </c>
      <c r="G22" s="52">
        <f t="shared" si="7"/>
        <v>180329.92853750003</v>
      </c>
      <c r="H22" s="52">
        <f t="shared" si="7"/>
        <v>197789.824964375</v>
      </c>
      <c r="I22" s="52">
        <f t="shared" si="7"/>
        <v>216122.71621259372</v>
      </c>
      <c r="J22" s="52"/>
      <c r="K22" s="53"/>
      <c r="L22" s="217"/>
    </row>
    <row r="23" spans="1:12">
      <c r="A23" s="161" t="s">
        <v>14</v>
      </c>
      <c r="B23" s="172"/>
      <c r="C23" s="21"/>
      <c r="D23" s="33"/>
      <c r="E23" s="98"/>
      <c r="F23" s="98"/>
      <c r="G23" s="98"/>
      <c r="H23" s="98"/>
      <c r="I23" s="98"/>
      <c r="J23" s="98"/>
      <c r="K23" s="99"/>
      <c r="L23" s="217"/>
    </row>
    <row r="24" spans="1:12">
      <c r="A24" s="131" t="s">
        <v>49</v>
      </c>
      <c r="B24" s="147"/>
      <c r="C24" s="17">
        <v>0.1</v>
      </c>
      <c r="D24" s="41">
        <f>D31*C24/2</f>
        <v>10004</v>
      </c>
      <c r="E24" s="100">
        <f>$C$24*$D$31*(1-$C$24/2)*(1-$C$24)^(E10-2020)</f>
        <v>19007.599999999999</v>
      </c>
      <c r="F24" s="100">
        <f t="shared" ref="F24:I24" si="8">$C$24*$D$31*(1-$C$24/2)*(1-$C$24)^(F10-2020)</f>
        <v>17106.84</v>
      </c>
      <c r="G24" s="100">
        <f t="shared" si="8"/>
        <v>15396.155999999999</v>
      </c>
      <c r="H24" s="100">
        <f t="shared" si="8"/>
        <v>13856.5404</v>
      </c>
      <c r="I24" s="100">
        <f t="shared" si="8"/>
        <v>12470.886360000002</v>
      </c>
      <c r="J24" s="100"/>
      <c r="K24" s="101"/>
      <c r="L24" s="217"/>
    </row>
    <row r="25" spans="1:12">
      <c r="A25" s="131" t="s">
        <v>50</v>
      </c>
      <c r="B25" s="147"/>
      <c r="C25" s="17">
        <v>0.2</v>
      </c>
      <c r="D25" s="34">
        <f>$D$33*$C$25/2</f>
        <v>17730</v>
      </c>
      <c r="E25" s="100">
        <f>$C$25*$D$33*(1-$C$25/2)*(1-$C$25)^(E10-2020)</f>
        <v>31914</v>
      </c>
      <c r="F25" s="100">
        <f t="shared" ref="F25:I25" si="9">$C$25*$D$33*(1-$C$25/2)*(1-$C$25)^(F10-2020)</f>
        <v>25531.200000000001</v>
      </c>
      <c r="G25" s="100">
        <f t="shared" si="9"/>
        <v>20424.960000000003</v>
      </c>
      <c r="H25" s="100">
        <f t="shared" si="9"/>
        <v>16339.968000000004</v>
      </c>
      <c r="I25" s="100">
        <f t="shared" si="9"/>
        <v>13071.974400000006</v>
      </c>
      <c r="J25" s="35"/>
      <c r="K25" s="62"/>
      <c r="L25" s="217"/>
    </row>
    <row r="26" spans="1:12">
      <c r="A26" s="131"/>
      <c r="B26" s="147"/>
      <c r="C26" s="17"/>
      <c r="D26" s="34"/>
      <c r="E26" s="35"/>
      <c r="F26" s="35"/>
      <c r="G26" s="35"/>
      <c r="H26" s="35"/>
      <c r="I26" s="35"/>
      <c r="J26" s="35"/>
      <c r="K26" s="62"/>
      <c r="L26" s="217"/>
    </row>
    <row r="27" spans="1:12">
      <c r="A27" s="131" t="s">
        <v>55</v>
      </c>
      <c r="B27" s="147"/>
      <c r="C27" s="17"/>
      <c r="D27" s="34"/>
      <c r="E27" s="35">
        <f>E25+E24</f>
        <v>50921.599999999999</v>
      </c>
      <c r="F27" s="35">
        <f t="shared" ref="F27:I27" si="10">F25+F24</f>
        <v>42638.04</v>
      </c>
      <c r="G27" s="35">
        <f t="shared" si="10"/>
        <v>35821.116000000002</v>
      </c>
      <c r="H27" s="35">
        <f t="shared" si="10"/>
        <v>30196.508400000006</v>
      </c>
      <c r="I27" s="35">
        <f t="shared" si="10"/>
        <v>25542.86076000001</v>
      </c>
      <c r="J27" s="35"/>
      <c r="K27" s="62"/>
      <c r="L27" s="217"/>
    </row>
    <row r="28" spans="1:12">
      <c r="A28" s="82" t="s">
        <v>22</v>
      </c>
      <c r="B28" s="83"/>
      <c r="C28" s="208">
        <v>0.22</v>
      </c>
      <c r="D28" s="40"/>
      <c r="E28" s="209">
        <f>E27*$C$28</f>
        <v>11202.752</v>
      </c>
      <c r="F28" s="209">
        <f t="shared" ref="F28:I28" si="11">F27*$C$28</f>
        <v>9380.3688000000002</v>
      </c>
      <c r="G28" s="209">
        <f t="shared" si="11"/>
        <v>7880.64552</v>
      </c>
      <c r="H28" s="209">
        <f t="shared" si="11"/>
        <v>6643.2318480000013</v>
      </c>
      <c r="I28" s="209">
        <f t="shared" si="11"/>
        <v>5619.4293672000022</v>
      </c>
      <c r="J28" s="36"/>
      <c r="K28" s="63"/>
      <c r="L28" s="217"/>
    </row>
    <row r="29" spans="1:12">
      <c r="A29" s="148" t="s">
        <v>6</v>
      </c>
      <c r="B29" s="149"/>
      <c r="C29" s="150"/>
      <c r="D29" s="42"/>
      <c r="E29" s="14">
        <f>E22-E28</f>
        <v>122862.06299999999</v>
      </c>
      <c r="F29" s="14">
        <f t="shared" ref="F29:I29" si="12">F22-F28</f>
        <v>148221.08695000003</v>
      </c>
      <c r="G29" s="14">
        <f t="shared" si="12"/>
        <v>172449.28301750004</v>
      </c>
      <c r="H29" s="14">
        <f t="shared" si="12"/>
        <v>191146.59311637501</v>
      </c>
      <c r="I29" s="14">
        <f t="shared" si="12"/>
        <v>210503.28684539371</v>
      </c>
      <c r="J29" s="14"/>
      <c r="K29" s="64"/>
      <c r="L29" s="217"/>
    </row>
    <row r="30" spans="1:12">
      <c r="A30" s="80" t="s">
        <v>30</v>
      </c>
      <c r="B30" s="81"/>
      <c r="C30" s="18">
        <v>328000</v>
      </c>
      <c r="D30" s="49"/>
      <c r="E30" s="102"/>
      <c r="F30" s="102"/>
      <c r="G30" s="102"/>
      <c r="H30" s="102"/>
      <c r="I30" s="102"/>
      <c r="J30" s="102"/>
      <c r="K30" s="103"/>
      <c r="L30" s="217"/>
    </row>
    <row r="31" spans="1:12">
      <c r="A31" s="131" t="s">
        <v>51</v>
      </c>
      <c r="B31" s="147"/>
      <c r="C31" s="19"/>
      <c r="D31" s="50">
        <f>0.61*C30</f>
        <v>200080</v>
      </c>
      <c r="E31" s="104"/>
      <c r="F31" s="104"/>
      <c r="G31" s="104"/>
      <c r="H31" s="104"/>
      <c r="I31" s="104"/>
      <c r="J31" s="104"/>
      <c r="K31" s="105"/>
      <c r="L31" s="217"/>
    </row>
    <row r="32" spans="1:12">
      <c r="A32" s="131" t="s">
        <v>52</v>
      </c>
      <c r="B32" s="147"/>
      <c r="C32" s="22"/>
      <c r="D32" s="10">
        <f>C30-D31</f>
        <v>127920</v>
      </c>
      <c r="E32" s="104"/>
      <c r="F32" s="104"/>
      <c r="G32" s="104"/>
      <c r="H32" s="104"/>
      <c r="I32" s="104"/>
      <c r="J32" s="104"/>
      <c r="K32" s="105"/>
      <c r="L32" s="217"/>
    </row>
    <row r="33" spans="1:12">
      <c r="A33" s="131" t="s">
        <v>53</v>
      </c>
      <c r="B33" s="147"/>
      <c r="C33" s="22"/>
      <c r="D33" s="10">
        <v>177300</v>
      </c>
      <c r="E33" s="104"/>
      <c r="F33" s="104"/>
      <c r="G33" s="104"/>
      <c r="H33" s="104"/>
      <c r="I33" s="104"/>
      <c r="J33" s="104"/>
      <c r="K33" s="105"/>
      <c r="L33" s="217"/>
    </row>
    <row r="34" spans="1:12">
      <c r="A34" s="131" t="s">
        <v>54</v>
      </c>
      <c r="B34" s="147"/>
      <c r="C34" s="22"/>
      <c r="D34" s="10">
        <v>3000</v>
      </c>
      <c r="E34" s="104"/>
      <c r="F34" s="104"/>
      <c r="G34" s="104"/>
      <c r="H34" s="104"/>
      <c r="I34" s="104"/>
      <c r="J34" s="104"/>
      <c r="K34" s="105"/>
      <c r="L34" s="217"/>
    </row>
    <row r="35" spans="1:12">
      <c r="A35" s="131"/>
      <c r="B35" s="147"/>
      <c r="C35" s="22"/>
      <c r="D35" s="10"/>
      <c r="E35" s="104"/>
      <c r="F35" s="104"/>
      <c r="G35" s="104"/>
      <c r="H35" s="104"/>
      <c r="I35" s="104"/>
      <c r="J35" s="104"/>
      <c r="K35" s="105"/>
      <c r="L35" s="217"/>
    </row>
    <row r="36" spans="1:12">
      <c r="A36" s="148" t="s">
        <v>39</v>
      </c>
      <c r="B36" s="149"/>
      <c r="C36" s="150"/>
      <c r="D36" s="75">
        <f>IF(SUM(D30:D35)&gt;0,SUM(D30:D35)," ")</f>
        <v>508300</v>
      </c>
      <c r="E36" s="72">
        <f>IF(SUM(E30:E35)&gt;0,SUM(E30:E35),0)</f>
        <v>0</v>
      </c>
      <c r="F36" s="72">
        <f t="shared" ref="F36:I36" si="13">IF(SUM(F30:F35)&gt;0,SUM(F30:F35),0)</f>
        <v>0</v>
      </c>
      <c r="G36" s="72">
        <f t="shared" si="13"/>
        <v>0</v>
      </c>
      <c r="H36" s="72">
        <f t="shared" si="13"/>
        <v>0</v>
      </c>
      <c r="I36" s="72">
        <f t="shared" si="13"/>
        <v>0</v>
      </c>
      <c r="J36" s="72" t="str">
        <f t="shared" ref="J36:K36" si="14">IF(SUM(J30:J35)&gt;0,SUM(J30:J35)," ")</f>
        <v xml:space="preserve"> </v>
      </c>
      <c r="K36" s="76" t="str">
        <f t="shared" si="14"/>
        <v xml:space="preserve"> </v>
      </c>
      <c r="L36" s="217"/>
    </row>
    <row r="37" spans="1:12">
      <c r="A37" s="161" t="s">
        <v>28</v>
      </c>
      <c r="B37" s="172"/>
      <c r="C37" s="54"/>
      <c r="D37" s="49"/>
      <c r="E37" s="102"/>
      <c r="F37" s="102"/>
      <c r="G37" s="102"/>
      <c r="H37" s="102"/>
      <c r="I37" s="102"/>
      <c r="J37" s="102"/>
      <c r="K37" s="103"/>
      <c r="L37" s="217"/>
    </row>
    <row r="38" spans="1:12">
      <c r="A38" s="131" t="s">
        <v>51</v>
      </c>
      <c r="B38" s="147"/>
      <c r="C38" s="55"/>
      <c r="D38" s="50"/>
      <c r="E38" s="104"/>
      <c r="F38" s="104"/>
      <c r="G38" s="104"/>
      <c r="H38" s="104"/>
      <c r="I38" s="51">
        <f>0.6*D31</f>
        <v>120048</v>
      </c>
      <c r="J38" s="104"/>
      <c r="K38" s="105"/>
      <c r="L38" s="217"/>
    </row>
    <row r="39" spans="1:12">
      <c r="A39" s="131" t="s">
        <v>52</v>
      </c>
      <c r="B39" s="147"/>
      <c r="C39" s="55"/>
      <c r="D39" s="50"/>
      <c r="E39" s="104"/>
      <c r="F39" s="104"/>
      <c r="G39" s="104"/>
      <c r="H39" s="104"/>
      <c r="I39" s="51">
        <f>1.45*D32</f>
        <v>185484</v>
      </c>
      <c r="J39" s="104"/>
      <c r="K39" s="105"/>
      <c r="L39" s="217"/>
    </row>
    <row r="40" spans="1:12">
      <c r="A40" s="131" t="s">
        <v>53</v>
      </c>
      <c r="B40" s="147"/>
      <c r="C40" s="55"/>
      <c r="D40" s="50"/>
      <c r="E40" s="104"/>
      <c r="F40" s="104"/>
      <c r="G40" s="104"/>
      <c r="H40" s="104"/>
      <c r="I40" s="210">
        <v>97896.905413172397</v>
      </c>
      <c r="J40" s="104"/>
      <c r="K40" s="105"/>
      <c r="L40" s="217"/>
    </row>
    <row r="41" spans="1:12">
      <c r="A41" s="131" t="s">
        <v>54</v>
      </c>
      <c r="B41" s="147"/>
      <c r="C41" s="55"/>
      <c r="D41" s="50"/>
      <c r="E41" s="104"/>
      <c r="F41" s="104"/>
      <c r="G41" s="104"/>
      <c r="H41" s="104"/>
      <c r="I41" s="51">
        <f>1.08*D34</f>
        <v>3240</v>
      </c>
      <c r="J41" s="104"/>
      <c r="K41" s="106"/>
      <c r="L41" s="217"/>
    </row>
    <row r="42" spans="1:12">
      <c r="A42" s="131"/>
      <c r="B42" s="147"/>
      <c r="C42" s="55"/>
      <c r="D42" s="50"/>
      <c r="E42" s="104"/>
      <c r="F42" s="104"/>
      <c r="G42" s="104"/>
      <c r="H42" s="104"/>
      <c r="I42" s="104"/>
      <c r="J42" s="104"/>
      <c r="K42" s="106"/>
      <c r="L42" s="217"/>
    </row>
    <row r="43" spans="1:12">
      <c r="A43" s="148" t="s">
        <v>40</v>
      </c>
      <c r="B43" s="149"/>
      <c r="C43" s="150"/>
      <c r="D43" s="72" t="str">
        <f>IF(SUM(D37:D42)&gt;0,SUM(D37:D42)," ")</f>
        <v xml:space="preserve"> </v>
      </c>
      <c r="E43" s="72" t="str">
        <f t="shared" ref="E43:K43" si="15">IF(SUM(E37:E42)&gt;0,SUM(E37:E42)," ")</f>
        <v xml:space="preserve"> </v>
      </c>
      <c r="F43" s="72" t="str">
        <f t="shared" si="15"/>
        <v xml:space="preserve"> </v>
      </c>
      <c r="G43" s="72" t="str">
        <f t="shared" si="15"/>
        <v xml:space="preserve"> </v>
      </c>
      <c r="H43" s="72" t="str">
        <f t="shared" si="15"/>
        <v xml:space="preserve"> </v>
      </c>
      <c r="I43" s="72">
        <f t="shared" si="15"/>
        <v>406668.90541317238</v>
      </c>
      <c r="J43" s="72" t="str">
        <f t="shared" si="15"/>
        <v xml:space="preserve"> </v>
      </c>
      <c r="K43" s="76" t="str">
        <f t="shared" si="15"/>
        <v xml:space="preserve"> </v>
      </c>
      <c r="L43" s="217"/>
    </row>
    <row r="44" spans="1:12">
      <c r="A44" s="131" t="s">
        <v>27</v>
      </c>
      <c r="B44" s="132"/>
      <c r="C44" s="147"/>
      <c r="D44" s="69"/>
      <c r="E44" s="107"/>
      <c r="F44" s="107"/>
      <c r="G44" s="107"/>
      <c r="H44" s="107"/>
      <c r="I44" s="107"/>
      <c r="J44" s="107"/>
      <c r="K44" s="108"/>
      <c r="L44" s="217"/>
    </row>
    <row r="45" spans="1:12">
      <c r="A45" s="131" t="s">
        <v>58</v>
      </c>
      <c r="B45" s="147"/>
      <c r="C45" s="65"/>
      <c r="D45" s="68"/>
      <c r="E45" s="107"/>
      <c r="F45" s="107"/>
      <c r="G45" s="107"/>
      <c r="H45" s="107"/>
      <c r="I45" s="107">
        <f>(I56-I38)*C28</f>
        <v>-1718.205007199992</v>
      </c>
      <c r="J45" s="107"/>
      <c r="K45" s="108"/>
      <c r="L45" s="217"/>
    </row>
    <row r="46" spans="1:12">
      <c r="A46" s="131" t="s">
        <v>61</v>
      </c>
      <c r="B46" s="147"/>
      <c r="C46" s="66"/>
      <c r="D46" s="68"/>
      <c r="E46" s="107"/>
      <c r="F46" s="107"/>
      <c r="G46" s="107"/>
      <c r="H46" s="107"/>
      <c r="I46" s="107">
        <f>-(I57-I40)*(C28*C25)/(C25+C59)</f>
        <v>7882.1537461884682</v>
      </c>
      <c r="J46" s="107"/>
      <c r="K46" s="108"/>
      <c r="L46" s="217"/>
    </row>
    <row r="47" spans="1:12">
      <c r="A47" s="131" t="s">
        <v>52</v>
      </c>
      <c r="B47" s="147"/>
      <c r="C47" s="67"/>
      <c r="D47" s="69"/>
      <c r="E47" s="107"/>
      <c r="F47" s="107"/>
      <c r="G47" s="107"/>
      <c r="H47" s="107"/>
      <c r="I47" s="107">
        <f>(I39-D32)*C28/2</f>
        <v>6332.04</v>
      </c>
      <c r="J47" s="107"/>
      <c r="K47" s="108"/>
      <c r="L47" s="217"/>
    </row>
    <row r="48" spans="1:12">
      <c r="A48" s="131"/>
      <c r="B48" s="147"/>
      <c r="C48" s="67"/>
      <c r="D48" s="69"/>
      <c r="E48" s="107"/>
      <c r="F48" s="107"/>
      <c r="G48" s="107"/>
      <c r="H48" s="107"/>
      <c r="I48" s="107"/>
      <c r="J48" s="107"/>
      <c r="K48" s="108"/>
      <c r="L48" s="217"/>
    </row>
    <row r="49" spans="1:12">
      <c r="A49" s="148" t="s">
        <v>41</v>
      </c>
      <c r="B49" s="149"/>
      <c r="C49" s="149"/>
      <c r="D49" s="75" t="str">
        <f>IF(SUM(D44:D48)&gt;0,SUM(D44:D48)," ")</f>
        <v xml:space="preserve"> </v>
      </c>
      <c r="E49" s="72" t="str">
        <f t="shared" ref="E49:K49" si="16">IF(SUM(E44:E48)&gt;0,SUM(E44:E48)," ")</f>
        <v xml:space="preserve"> </v>
      </c>
      <c r="F49" s="72" t="str">
        <f t="shared" si="16"/>
        <v xml:space="preserve"> </v>
      </c>
      <c r="G49" s="72" t="str">
        <f t="shared" si="16"/>
        <v xml:space="preserve"> </v>
      </c>
      <c r="H49" s="72" t="str">
        <f t="shared" si="16"/>
        <v xml:space="preserve"> </v>
      </c>
      <c r="I49" s="72">
        <f>SUM(I44:I48)</f>
        <v>12495.988738988475</v>
      </c>
      <c r="J49" s="72" t="str">
        <f t="shared" si="16"/>
        <v xml:space="preserve"> </v>
      </c>
      <c r="K49" s="76" t="str">
        <f t="shared" si="16"/>
        <v xml:space="preserve"> </v>
      </c>
      <c r="L49" s="217"/>
    </row>
    <row r="50" spans="1:12">
      <c r="A50" s="161" t="s">
        <v>0</v>
      </c>
      <c r="B50" s="172"/>
      <c r="C50" s="23"/>
      <c r="D50" s="73">
        <f>D$29-D$36</f>
        <v>-508300</v>
      </c>
      <c r="E50" s="73">
        <f t="shared" ref="E50:H50" si="17">E$29-E$36</f>
        <v>122862.06299999999</v>
      </c>
      <c r="F50" s="73">
        <f t="shared" si="17"/>
        <v>148221.08695000003</v>
      </c>
      <c r="G50" s="73">
        <f t="shared" si="17"/>
        <v>172449.28301750004</v>
      </c>
      <c r="H50" s="73">
        <f t="shared" si="17"/>
        <v>191146.59311637501</v>
      </c>
      <c r="I50" s="73">
        <f>I$29-I$36+I$49+I$43</f>
        <v>629668.18099755456</v>
      </c>
      <c r="J50" s="73"/>
      <c r="K50" s="74"/>
      <c r="L50" s="217"/>
    </row>
    <row r="51" spans="1:12">
      <c r="A51" s="131" t="s">
        <v>1</v>
      </c>
      <c r="B51" s="147"/>
      <c r="C51" s="24">
        <f>C59</f>
        <v>5.460000000000001E-2</v>
      </c>
      <c r="D51" s="32">
        <f>(1+$C$51)^(2019-D$10)</f>
        <v>1</v>
      </c>
      <c r="E51" s="32">
        <f t="shared" ref="E51:I51" si="18">(1+$C$51)^(2019-E$10)</f>
        <v>0.94822681585435242</v>
      </c>
      <c r="F51" s="32">
        <f t="shared" si="18"/>
        <v>0.8991340943052839</v>
      </c>
      <c r="G51" s="32">
        <f t="shared" si="18"/>
        <v>0.85258305926918632</v>
      </c>
      <c r="H51" s="32">
        <f t="shared" si="18"/>
        <v>0.80844211954218315</v>
      </c>
      <c r="I51" s="32">
        <f t="shared" si="18"/>
        <v>0.76658649681602797</v>
      </c>
      <c r="J51" s="109"/>
      <c r="K51" s="110"/>
      <c r="L51" s="217"/>
    </row>
    <row r="52" spans="1:12" ht="13.5" thickBot="1">
      <c r="A52" s="155" t="s">
        <v>2</v>
      </c>
      <c r="B52" s="173"/>
      <c r="C52" s="58"/>
      <c r="D52" s="59">
        <f>D51*D50</f>
        <v>-508300</v>
      </c>
      <c r="E52" s="59">
        <f t="shared" ref="E52:I52" si="19">E51*E50</f>
        <v>116501.10278778685</v>
      </c>
      <c r="F52" s="59">
        <f t="shared" si="19"/>
        <v>133270.63277173301</v>
      </c>
      <c r="G52" s="59">
        <f t="shared" si="19"/>
        <v>147027.33728383793</v>
      </c>
      <c r="H52" s="59">
        <f t="shared" si="19"/>
        <v>154530.95688226947</v>
      </c>
      <c r="I52" s="59">
        <f t="shared" si="19"/>
        <v>482695.12502743601</v>
      </c>
      <c r="J52" s="60"/>
      <c r="K52" s="61"/>
      <c r="L52" s="217"/>
    </row>
    <row r="53" spans="1:12" ht="13.5" thickBot="1">
      <c r="A53" s="157" t="s">
        <v>3</v>
      </c>
      <c r="B53" s="158"/>
      <c r="C53" s="163">
        <f>SUM(D52:I52)</f>
        <v>525725.15475306334</v>
      </c>
      <c r="D53" s="160"/>
      <c r="E53" s="89"/>
      <c r="F53" s="89"/>
      <c r="G53" s="89"/>
      <c r="H53" s="89"/>
      <c r="I53" s="89"/>
      <c r="J53" s="89"/>
      <c r="K53" s="89"/>
      <c r="L53" s="217"/>
    </row>
    <row r="54" spans="1:12">
      <c r="A54" s="3"/>
      <c r="B54" s="3"/>
      <c r="C54" s="3"/>
      <c r="D54" s="4"/>
      <c r="E54" s="89"/>
      <c r="F54" s="89"/>
      <c r="G54" s="89"/>
      <c r="H54" s="89"/>
      <c r="I54" s="89"/>
      <c r="J54" s="89"/>
      <c r="K54" s="89"/>
      <c r="L54" s="217"/>
    </row>
    <row r="55" spans="1:12">
      <c r="A55" s="169" t="s">
        <v>19</v>
      </c>
      <c r="B55" s="170"/>
      <c r="C55" s="170"/>
      <c r="D55" s="170"/>
      <c r="E55" s="170"/>
      <c r="F55" s="170"/>
      <c r="G55" s="170"/>
      <c r="H55" s="170"/>
      <c r="I55" s="170"/>
      <c r="J55" s="170"/>
      <c r="K55" s="171"/>
      <c r="L55" s="217"/>
    </row>
    <row r="56" spans="1:12">
      <c r="A56" s="151" t="s">
        <v>59</v>
      </c>
      <c r="B56" s="132"/>
      <c r="C56" s="2"/>
      <c r="D56" s="211"/>
      <c r="E56" s="117">
        <f>$D$31*(1-$C$24/2)*(1-$C$24)^(E10-2019)</f>
        <v>171068.4</v>
      </c>
      <c r="F56" s="117">
        <f t="shared" ref="F56:I56" si="20">$D$31*(1-$C$24/2)*(1-$C$24)^(F10-2019)</f>
        <v>153961.56</v>
      </c>
      <c r="G56" s="117">
        <f t="shared" si="20"/>
        <v>138565.40400000001</v>
      </c>
      <c r="H56" s="117">
        <f t="shared" si="20"/>
        <v>124708.86360000003</v>
      </c>
      <c r="I56" s="212">
        <f t="shared" si="20"/>
        <v>112237.97724000004</v>
      </c>
      <c r="J56" s="117"/>
      <c r="K56" s="112"/>
    </row>
    <row r="57" spans="1:12">
      <c r="A57" s="151" t="s">
        <v>60</v>
      </c>
      <c r="B57" s="132"/>
      <c r="C57" s="2"/>
      <c r="D57" s="211"/>
      <c r="E57" s="117">
        <f>$D$33*(1-$C$25/2)*(1-$C$25)^(E10-2019)</f>
        <v>127656</v>
      </c>
      <c r="F57" s="117">
        <f t="shared" ref="F57:I57" si="21">$D$33*(1-$C$25/2)*(1-$C$25)^(F10-2019)</f>
        <v>102124.80000000002</v>
      </c>
      <c r="G57" s="117">
        <f t="shared" si="21"/>
        <v>81699.840000000026</v>
      </c>
      <c r="H57" s="117">
        <f t="shared" si="21"/>
        <v>65359.872000000032</v>
      </c>
      <c r="I57" s="212">
        <f t="shared" si="21"/>
        <v>52287.897600000033</v>
      </c>
      <c r="J57" s="117"/>
      <c r="K57" s="112"/>
    </row>
    <row r="58" spans="1:12">
      <c r="A58" s="151"/>
      <c r="B58" s="132"/>
      <c r="C58" s="2"/>
      <c r="D58" s="211"/>
      <c r="E58" s="117"/>
      <c r="F58" s="117"/>
      <c r="G58" s="117"/>
      <c r="H58" s="117"/>
      <c r="I58" s="117"/>
      <c r="J58" s="117"/>
      <c r="K58" s="112"/>
    </row>
    <row r="59" spans="1:12">
      <c r="A59" s="151" t="s">
        <v>62</v>
      </c>
      <c r="B59" s="132"/>
      <c r="C59" s="213">
        <f>0.07*(1-C28)</f>
        <v>5.460000000000001E-2</v>
      </c>
      <c r="D59" s="211"/>
      <c r="E59" s="117"/>
      <c r="F59" s="117"/>
      <c r="G59" s="117"/>
      <c r="H59" s="117"/>
      <c r="I59" s="117"/>
      <c r="J59" s="117"/>
      <c r="K59" s="112"/>
    </row>
    <row r="60" spans="1:12">
      <c r="A60" s="151"/>
      <c r="B60" s="132"/>
      <c r="C60" s="2"/>
      <c r="D60" s="7"/>
      <c r="E60" s="111"/>
      <c r="F60" s="111"/>
      <c r="G60" s="111"/>
      <c r="H60" s="111"/>
      <c r="I60" s="111"/>
      <c r="J60" s="111"/>
      <c r="K60" s="112"/>
    </row>
    <row r="61" spans="1:12">
      <c r="A61" s="151"/>
      <c r="B61" s="132"/>
      <c r="C61" s="2"/>
      <c r="D61" s="7"/>
      <c r="E61" s="111"/>
      <c r="F61" s="11"/>
      <c r="G61" s="111"/>
      <c r="H61" s="111"/>
      <c r="I61" s="111"/>
      <c r="J61" s="111"/>
      <c r="K61" s="112"/>
    </row>
    <row r="62" spans="1:12">
      <c r="A62" s="151"/>
      <c r="B62" s="132"/>
      <c r="C62" s="2"/>
      <c r="D62" s="7"/>
      <c r="E62" s="111"/>
      <c r="F62" s="111"/>
      <c r="G62" s="111"/>
      <c r="H62" s="111"/>
      <c r="I62" s="111"/>
      <c r="J62" s="111"/>
      <c r="K62" s="112"/>
    </row>
    <row r="63" spans="1:12">
      <c r="A63" s="195"/>
      <c r="B63" s="196"/>
      <c r="C63" s="5"/>
      <c r="D63" s="6"/>
      <c r="E63" s="113"/>
      <c r="F63" s="113"/>
      <c r="G63" s="113"/>
      <c r="H63" s="113"/>
      <c r="I63" s="113"/>
      <c r="J63" s="113"/>
      <c r="K63" s="114"/>
    </row>
  </sheetData>
  <mergeCells count="62">
    <mergeCell ref="A61:B61"/>
    <mergeCell ref="A62:B62"/>
    <mergeCell ref="A63:B63"/>
    <mergeCell ref="C5:I7"/>
    <mergeCell ref="A55:K55"/>
    <mergeCell ref="A56:B56"/>
    <mergeCell ref="A57:B57"/>
    <mergeCell ref="A58:B58"/>
    <mergeCell ref="A59:B59"/>
    <mergeCell ref="A60:B60"/>
    <mergeCell ref="A43:C43"/>
    <mergeCell ref="A44:C44"/>
    <mergeCell ref="A45:B45"/>
    <mergeCell ref="A46:B46"/>
    <mergeCell ref="A49:C49"/>
    <mergeCell ref="C53:D53"/>
    <mergeCell ref="A13:B13"/>
    <mergeCell ref="A19:B19"/>
    <mergeCell ref="A20:B20"/>
    <mergeCell ref="A21:B21"/>
    <mergeCell ref="A22:C22"/>
    <mergeCell ref="A27:B27"/>
    <mergeCell ref="A47:B47"/>
    <mergeCell ref="A48:B48"/>
    <mergeCell ref="A50:B50"/>
    <mergeCell ref="A37:B37"/>
    <mergeCell ref="A38:B38"/>
    <mergeCell ref="A39:B39"/>
    <mergeCell ref="A34:B34"/>
    <mergeCell ref="A35:B35"/>
    <mergeCell ref="A36:C36"/>
    <mergeCell ref="A23:B23"/>
    <mergeCell ref="A24:B24"/>
    <mergeCell ref="A25:B25"/>
    <mergeCell ref="A26:B26"/>
    <mergeCell ref="A14:B14"/>
    <mergeCell ref="A15:B15"/>
    <mergeCell ref="A16:B16"/>
    <mergeCell ref="A17:B17"/>
    <mergeCell ref="A18:B18"/>
    <mergeCell ref="A1:B1"/>
    <mergeCell ref="A2:B2"/>
    <mergeCell ref="A3:B3"/>
    <mergeCell ref="A4:B4"/>
    <mergeCell ref="A5:B5"/>
    <mergeCell ref="A6:B6"/>
    <mergeCell ref="A7:B7"/>
    <mergeCell ref="A51:B51"/>
    <mergeCell ref="A52:B52"/>
    <mergeCell ref="A53:B53"/>
    <mergeCell ref="A42:B42"/>
    <mergeCell ref="A41:B41"/>
    <mergeCell ref="A40:B40"/>
    <mergeCell ref="A31:B31"/>
    <mergeCell ref="A32:B32"/>
    <mergeCell ref="A33:B33"/>
    <mergeCell ref="A29:C29"/>
    <mergeCell ref="A10:B10"/>
    <mergeCell ref="A11:B11"/>
    <mergeCell ref="A12:B12"/>
    <mergeCell ref="A8:B8"/>
    <mergeCell ref="A9:B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topLeftCell="A22" workbookViewId="0">
      <selection activeCell="C53" sqref="C53:D53"/>
    </sheetView>
  </sheetViews>
  <sheetFormatPr baseColWidth="10" defaultRowHeight="12.75"/>
  <sheetData>
    <row r="1" spans="1:12">
      <c r="A1" s="215"/>
      <c r="B1" s="215"/>
      <c r="C1" s="216"/>
      <c r="D1" s="216"/>
      <c r="E1" s="216"/>
      <c r="F1" s="216"/>
      <c r="G1" s="216"/>
      <c r="H1" s="216"/>
      <c r="I1" s="216"/>
      <c r="J1" s="216"/>
      <c r="K1" s="216"/>
      <c r="L1" s="217"/>
    </row>
    <row r="2" spans="1:12">
      <c r="A2" s="215"/>
      <c r="B2" s="215"/>
      <c r="C2" s="218"/>
      <c r="D2" s="219"/>
      <c r="E2" s="220"/>
      <c r="F2" s="220"/>
      <c r="G2" s="220"/>
      <c r="H2" s="220"/>
      <c r="I2" s="220"/>
      <c r="J2" s="220"/>
      <c r="K2" s="220"/>
      <c r="L2" s="217"/>
    </row>
    <row r="3" spans="1:12">
      <c r="A3" s="215"/>
      <c r="B3" s="215"/>
      <c r="C3" s="221"/>
      <c r="D3" s="221"/>
      <c r="E3" s="222"/>
      <c r="F3" s="222"/>
      <c r="G3" s="222"/>
      <c r="H3" s="222"/>
      <c r="I3" s="222"/>
      <c r="J3" s="222"/>
      <c r="K3" s="222"/>
      <c r="L3" s="217"/>
    </row>
    <row r="4" spans="1:12">
      <c r="A4" s="215"/>
      <c r="B4" s="215"/>
      <c r="C4" s="216"/>
      <c r="D4" s="73"/>
      <c r="E4" s="85"/>
      <c r="F4" s="85"/>
      <c r="G4" s="85"/>
      <c r="H4" s="85"/>
      <c r="I4" s="85"/>
      <c r="J4" s="85"/>
      <c r="K4" s="85"/>
      <c r="L4" s="217"/>
    </row>
    <row r="5" spans="1:12">
      <c r="A5" s="215"/>
      <c r="B5" s="215"/>
      <c r="C5" s="224">
        <v>0.1</v>
      </c>
      <c r="D5" s="225"/>
      <c r="E5" s="225"/>
      <c r="F5" s="225"/>
      <c r="G5" s="225"/>
      <c r="H5" s="225"/>
      <c r="I5" s="225"/>
      <c r="J5" s="126"/>
      <c r="K5" s="214"/>
      <c r="L5" s="217"/>
    </row>
    <row r="6" spans="1:12">
      <c r="A6" s="215"/>
      <c r="B6" s="215"/>
      <c r="C6" s="225"/>
      <c r="D6" s="225"/>
      <c r="E6" s="225"/>
      <c r="F6" s="225"/>
      <c r="G6" s="225"/>
      <c r="H6" s="225"/>
      <c r="I6" s="225"/>
      <c r="J6" s="50"/>
      <c r="K6" s="214"/>
      <c r="L6" s="217"/>
    </row>
    <row r="7" spans="1:12">
      <c r="A7" s="215"/>
      <c r="B7" s="215"/>
      <c r="C7" s="225"/>
      <c r="D7" s="225"/>
      <c r="E7" s="225"/>
      <c r="F7" s="225"/>
      <c r="G7" s="225"/>
      <c r="H7" s="225"/>
      <c r="I7" s="225"/>
      <c r="J7" s="126"/>
      <c r="K7" s="214"/>
      <c r="L7" s="217"/>
    </row>
    <row r="8" spans="1:12">
      <c r="A8" s="215"/>
      <c r="B8" s="215"/>
      <c r="C8" s="223"/>
      <c r="D8" s="124"/>
      <c r="E8" s="51"/>
      <c r="F8" s="51"/>
      <c r="G8" s="51"/>
      <c r="H8" s="51"/>
      <c r="I8" s="51"/>
      <c r="J8" s="126"/>
      <c r="K8" s="214"/>
      <c r="L8" s="217"/>
    </row>
    <row r="9" spans="1:12" ht="13.5" thickBot="1">
      <c r="A9" s="215"/>
      <c r="B9" s="215"/>
      <c r="C9" s="223"/>
      <c r="D9" s="124"/>
      <c r="E9" s="51"/>
      <c r="F9" s="51"/>
      <c r="G9" s="126"/>
      <c r="H9" s="126"/>
      <c r="I9" s="126"/>
      <c r="J9" s="126"/>
      <c r="K9" s="214"/>
      <c r="L9" s="217"/>
    </row>
    <row r="10" spans="1:12">
      <c r="A10" s="182" t="s">
        <v>4</v>
      </c>
      <c r="B10" s="183"/>
      <c r="C10" s="44" t="s">
        <v>10</v>
      </c>
      <c r="D10" s="45">
        <v>2019</v>
      </c>
      <c r="E10" s="45">
        <v>2020</v>
      </c>
      <c r="F10" s="45">
        <v>2021</v>
      </c>
      <c r="G10" s="45">
        <v>2022</v>
      </c>
      <c r="H10" s="45">
        <v>2023</v>
      </c>
      <c r="I10" s="45">
        <v>2024</v>
      </c>
      <c r="J10" s="45">
        <v>2025</v>
      </c>
      <c r="K10" s="45">
        <v>2026</v>
      </c>
      <c r="L10" s="217"/>
    </row>
    <row r="11" spans="1:12">
      <c r="A11" s="161" t="s">
        <v>11</v>
      </c>
      <c r="B11" s="172"/>
      <c r="C11" s="17"/>
      <c r="D11" s="46"/>
      <c r="E11" s="92">
        <v>245</v>
      </c>
      <c r="F11" s="92">
        <f t="shared" ref="F11:I11" si="0">(1.05)*E11</f>
        <v>257.25</v>
      </c>
      <c r="G11" s="92">
        <f t="shared" si="0"/>
        <v>270.11250000000001</v>
      </c>
      <c r="H11" s="92">
        <f t="shared" si="0"/>
        <v>283.61812500000002</v>
      </c>
      <c r="I11" s="92">
        <f t="shared" si="0"/>
        <v>297.79903125000004</v>
      </c>
      <c r="J11" s="92"/>
      <c r="K11" s="93"/>
      <c r="L11" s="217"/>
    </row>
    <row r="12" spans="1:12">
      <c r="A12" s="174" t="s">
        <v>29</v>
      </c>
      <c r="B12" s="175"/>
      <c r="C12" s="47"/>
      <c r="D12" s="48"/>
      <c r="E12" s="94">
        <v>2430</v>
      </c>
      <c r="F12" s="94">
        <v>2430</v>
      </c>
      <c r="G12" s="94">
        <v>2430</v>
      </c>
      <c r="H12" s="94">
        <v>2430</v>
      </c>
      <c r="I12" s="94">
        <v>2430</v>
      </c>
      <c r="J12" s="94"/>
      <c r="K12" s="95"/>
      <c r="L12" s="217"/>
    </row>
    <row r="13" spans="1:12">
      <c r="A13" s="148" t="s">
        <v>9</v>
      </c>
      <c r="B13" s="150"/>
      <c r="C13" s="16"/>
      <c r="D13" s="73"/>
      <c r="E13" s="85">
        <f>E12*E11</f>
        <v>595350</v>
      </c>
      <c r="F13" s="85">
        <f t="shared" ref="F13:I13" si="1">F12*F11</f>
        <v>625117.5</v>
      </c>
      <c r="G13" s="85">
        <f t="shared" si="1"/>
        <v>656373.375</v>
      </c>
      <c r="H13" s="85">
        <f t="shared" si="1"/>
        <v>689192.04375000007</v>
      </c>
      <c r="I13" s="85">
        <f t="shared" si="1"/>
        <v>723651.64593750006</v>
      </c>
      <c r="J13" s="85"/>
      <c r="K13" s="85"/>
      <c r="L13" s="217"/>
    </row>
    <row r="14" spans="1:12">
      <c r="A14" s="161" t="s">
        <v>7</v>
      </c>
      <c r="B14" s="172"/>
      <c r="C14" s="18"/>
      <c r="D14" s="121"/>
      <c r="E14" s="122"/>
      <c r="F14" s="122"/>
      <c r="G14" s="123"/>
      <c r="H14" s="123"/>
      <c r="I14" s="123"/>
      <c r="J14" s="123"/>
      <c r="K14" s="96"/>
      <c r="L14" s="217"/>
    </row>
    <row r="15" spans="1:12">
      <c r="A15" s="131" t="s">
        <v>43</v>
      </c>
      <c r="B15" s="132"/>
      <c r="C15" s="19">
        <v>330</v>
      </c>
      <c r="D15" s="124"/>
      <c r="E15" s="50">
        <f>$C$15*E11*(1+$C$5)</f>
        <v>88935</v>
      </c>
      <c r="F15" s="50">
        <f t="shared" ref="F15:I15" si="2">$C$15*F11*(1+$C$5)</f>
        <v>93381.750000000015</v>
      </c>
      <c r="G15" s="50">
        <f t="shared" si="2"/>
        <v>98050.837500000009</v>
      </c>
      <c r="H15" s="50">
        <f t="shared" si="2"/>
        <v>102953.37937500002</v>
      </c>
      <c r="I15" s="50">
        <f t="shared" si="2"/>
        <v>108101.04834375002</v>
      </c>
      <c r="J15" s="50"/>
      <c r="K15" s="97"/>
      <c r="L15" s="217"/>
    </row>
    <row r="16" spans="1:12">
      <c r="A16" s="131" t="s">
        <v>44</v>
      </c>
      <c r="B16" s="132"/>
      <c r="C16" s="19">
        <f>2.3*C15</f>
        <v>758.99999999999989</v>
      </c>
      <c r="D16" s="124"/>
      <c r="E16" s="51">
        <f t="shared" ref="E16:I16" si="3">2.3*E15</f>
        <v>204550.49999999997</v>
      </c>
      <c r="F16" s="51">
        <f t="shared" si="3"/>
        <v>214778.02500000002</v>
      </c>
      <c r="G16" s="51">
        <f t="shared" si="3"/>
        <v>225516.92624999999</v>
      </c>
      <c r="H16" s="51">
        <f t="shared" si="3"/>
        <v>236792.77256250003</v>
      </c>
      <c r="I16" s="51">
        <f t="shared" si="3"/>
        <v>248632.41119062502</v>
      </c>
      <c r="J16" s="126"/>
      <c r="K16" s="97"/>
      <c r="L16" s="217"/>
    </row>
    <row r="17" spans="1:12">
      <c r="A17" s="131" t="s">
        <v>45</v>
      </c>
      <c r="B17" s="132"/>
      <c r="C17" s="19">
        <f>0.23*C16</f>
        <v>174.57</v>
      </c>
      <c r="D17" s="124"/>
      <c r="E17" s="51">
        <f t="shared" ref="E17:I17" si="4">0.23*E16</f>
        <v>47046.614999999998</v>
      </c>
      <c r="F17" s="51">
        <f t="shared" si="4"/>
        <v>49398.945750000006</v>
      </c>
      <c r="G17" s="51">
        <f t="shared" si="4"/>
        <v>51868.893037499998</v>
      </c>
      <c r="H17" s="51">
        <f t="shared" si="4"/>
        <v>54462.33768937501</v>
      </c>
      <c r="I17" s="51">
        <f t="shared" si="4"/>
        <v>57185.454573843759</v>
      </c>
      <c r="J17" s="126"/>
      <c r="K17" s="97"/>
      <c r="L17" s="217"/>
    </row>
    <row r="18" spans="1:12">
      <c r="A18" s="131" t="s">
        <v>46</v>
      </c>
      <c r="B18" s="132"/>
      <c r="C18" s="19"/>
      <c r="D18" s="124"/>
      <c r="E18" s="51">
        <v>6100</v>
      </c>
      <c r="F18" s="51">
        <v>6100</v>
      </c>
      <c r="G18" s="126"/>
      <c r="H18" s="126"/>
      <c r="I18" s="126"/>
      <c r="J18" s="126"/>
      <c r="K18" s="97"/>
      <c r="L18" s="217"/>
    </row>
    <row r="19" spans="1:12">
      <c r="A19" s="131" t="s">
        <v>47</v>
      </c>
      <c r="B19" s="132"/>
      <c r="C19" s="19"/>
      <c r="D19" s="124"/>
      <c r="E19" s="130">
        <v>7700</v>
      </c>
      <c r="F19" s="125"/>
      <c r="G19" s="126"/>
      <c r="H19" s="126"/>
      <c r="I19" s="126"/>
      <c r="J19" s="126"/>
      <c r="K19" s="97"/>
      <c r="L19" s="217"/>
    </row>
    <row r="20" spans="1:12">
      <c r="A20" s="174" t="s">
        <v>48</v>
      </c>
      <c r="B20" s="175"/>
      <c r="C20" s="20">
        <v>208800</v>
      </c>
      <c r="D20" s="124"/>
      <c r="E20" s="129">
        <f>$C$20-20074-19858</f>
        <v>168868</v>
      </c>
      <c r="F20" s="129">
        <f t="shared" ref="F20:I20" si="5">$C$20-20074-19858</f>
        <v>168868</v>
      </c>
      <c r="G20" s="129">
        <f t="shared" si="5"/>
        <v>168868</v>
      </c>
      <c r="H20" s="129">
        <f t="shared" si="5"/>
        <v>168868</v>
      </c>
      <c r="I20" s="129">
        <f t="shared" si="5"/>
        <v>168868</v>
      </c>
      <c r="J20" s="129"/>
      <c r="K20" s="129"/>
      <c r="L20" s="217"/>
    </row>
    <row r="21" spans="1:12">
      <c r="A21" s="148" t="s">
        <v>8</v>
      </c>
      <c r="B21" s="150"/>
      <c r="C21" s="84"/>
      <c r="D21" s="127" t="str">
        <f>IF(SUM(D15:D20)&gt;0,SUM(D15:D20)," ")</f>
        <v xml:space="preserve"> </v>
      </c>
      <c r="E21" s="128">
        <f>IF(SUM(E15:E20)&gt;0,SUM(E15:E20)," ")</f>
        <v>523200.11499999999</v>
      </c>
      <c r="F21" s="128">
        <f t="shared" ref="F21:K21" si="6">IF(SUM(F15:F20)&gt;0,SUM(F15:F20)," ")</f>
        <v>532526.72075000009</v>
      </c>
      <c r="G21" s="128">
        <f t="shared" si="6"/>
        <v>544304.65678750002</v>
      </c>
      <c r="H21" s="128">
        <f t="shared" si="6"/>
        <v>563076.48962687503</v>
      </c>
      <c r="I21" s="128">
        <f t="shared" si="6"/>
        <v>582786.91410821886</v>
      </c>
      <c r="J21" s="128" t="str">
        <f t="shared" si="6"/>
        <v xml:space="preserve"> </v>
      </c>
      <c r="K21" s="76" t="str">
        <f t="shared" si="6"/>
        <v xml:space="preserve"> </v>
      </c>
      <c r="L21" s="217"/>
    </row>
    <row r="22" spans="1:12">
      <c r="A22" s="148" t="s">
        <v>5</v>
      </c>
      <c r="B22" s="149"/>
      <c r="C22" s="149"/>
      <c r="D22" s="77"/>
      <c r="E22" s="52">
        <f>E13-E21</f>
        <v>72149.885000000009</v>
      </c>
      <c r="F22" s="52">
        <f t="shared" ref="F22:I22" si="7">F13-F21</f>
        <v>92590.779249999905</v>
      </c>
      <c r="G22" s="52">
        <f t="shared" si="7"/>
        <v>112068.71821249998</v>
      </c>
      <c r="H22" s="52">
        <f t="shared" si="7"/>
        <v>126115.55412312504</v>
      </c>
      <c r="I22" s="52">
        <f t="shared" si="7"/>
        <v>140864.7318292812</v>
      </c>
      <c r="J22" s="52"/>
      <c r="K22" s="53"/>
      <c r="L22" s="217"/>
    </row>
    <row r="23" spans="1:12">
      <c r="A23" s="161" t="s">
        <v>14</v>
      </c>
      <c r="B23" s="172"/>
      <c r="C23" s="21"/>
      <c r="D23" s="33"/>
      <c r="E23" s="98"/>
      <c r="F23" s="98"/>
      <c r="G23" s="98"/>
      <c r="H23" s="98"/>
      <c r="I23" s="98"/>
      <c r="J23" s="98"/>
      <c r="K23" s="99"/>
      <c r="L23" s="217"/>
    </row>
    <row r="24" spans="1:12">
      <c r="A24" s="131" t="s">
        <v>49</v>
      </c>
      <c r="B24" s="147"/>
      <c r="C24" s="17">
        <v>0.1</v>
      </c>
      <c r="D24" s="41">
        <f>D31*C24/2</f>
        <v>10004</v>
      </c>
      <c r="E24" s="100">
        <f>$C$24*$D$31*(1-$C$24/2)*(1-$C$24)^(E10-2020)</f>
        <v>19007.599999999999</v>
      </c>
      <c r="F24" s="100">
        <f t="shared" ref="F24:I24" si="8">$C$24*$D$31*(1-$C$24/2)*(1-$C$24)^(F10-2020)</f>
        <v>17106.84</v>
      </c>
      <c r="G24" s="100">
        <f t="shared" si="8"/>
        <v>15396.155999999999</v>
      </c>
      <c r="H24" s="100">
        <f t="shared" si="8"/>
        <v>13856.5404</v>
      </c>
      <c r="I24" s="100">
        <f t="shared" si="8"/>
        <v>12470.886360000002</v>
      </c>
      <c r="J24" s="100"/>
      <c r="K24" s="101"/>
      <c r="L24" s="217"/>
    </row>
    <row r="25" spans="1:12">
      <c r="A25" s="131" t="s">
        <v>50</v>
      </c>
      <c r="B25" s="147"/>
      <c r="C25" s="17">
        <v>0.2</v>
      </c>
      <c r="D25" s="34">
        <f>$D$33*$C$25/2</f>
        <v>17730</v>
      </c>
      <c r="E25" s="100">
        <f>$C$25*$D$33*(1-$C$25/2)*(1-$C$25)^(E10-2020)</f>
        <v>31914</v>
      </c>
      <c r="F25" s="100">
        <f t="shared" ref="F25:I25" si="9">$C$25*$D$33*(1-$C$25/2)*(1-$C$25)^(F10-2020)</f>
        <v>25531.200000000001</v>
      </c>
      <c r="G25" s="100">
        <f t="shared" si="9"/>
        <v>20424.960000000003</v>
      </c>
      <c r="H25" s="100">
        <f t="shared" si="9"/>
        <v>16339.968000000004</v>
      </c>
      <c r="I25" s="100">
        <f t="shared" si="9"/>
        <v>13071.974400000006</v>
      </c>
      <c r="J25" s="35"/>
      <c r="K25" s="62"/>
      <c r="L25" s="217"/>
    </row>
    <row r="26" spans="1:12">
      <c r="A26" s="131"/>
      <c r="B26" s="147"/>
      <c r="C26" s="17"/>
      <c r="D26" s="34"/>
      <c r="E26" s="35"/>
      <c r="F26" s="35"/>
      <c r="G26" s="35"/>
      <c r="H26" s="35"/>
      <c r="I26" s="35"/>
      <c r="J26" s="35"/>
      <c r="K26" s="62"/>
      <c r="L26" s="217"/>
    </row>
    <row r="27" spans="1:12">
      <c r="A27" s="131" t="s">
        <v>55</v>
      </c>
      <c r="B27" s="147"/>
      <c r="C27" s="17"/>
      <c r="D27" s="34"/>
      <c r="E27" s="35">
        <f>E25+E24</f>
        <v>50921.599999999999</v>
      </c>
      <c r="F27" s="35">
        <f t="shared" ref="F27:I27" si="10">F25+F24</f>
        <v>42638.04</v>
      </c>
      <c r="G27" s="35">
        <f t="shared" si="10"/>
        <v>35821.116000000002</v>
      </c>
      <c r="H27" s="35">
        <f t="shared" si="10"/>
        <v>30196.508400000006</v>
      </c>
      <c r="I27" s="35">
        <f t="shared" si="10"/>
        <v>25542.86076000001</v>
      </c>
      <c r="J27" s="35"/>
      <c r="K27" s="62"/>
      <c r="L27" s="217"/>
    </row>
    <row r="28" spans="1:12">
      <c r="A28" s="82" t="s">
        <v>22</v>
      </c>
      <c r="B28" s="83"/>
      <c r="C28" s="208">
        <v>0.22</v>
      </c>
      <c r="D28" s="40"/>
      <c r="E28" s="209">
        <f>E27*$C$28</f>
        <v>11202.752</v>
      </c>
      <c r="F28" s="209">
        <f t="shared" ref="F28:I28" si="11">F27*$C$28</f>
        <v>9380.3688000000002</v>
      </c>
      <c r="G28" s="209">
        <f t="shared" si="11"/>
        <v>7880.64552</v>
      </c>
      <c r="H28" s="209">
        <f t="shared" si="11"/>
        <v>6643.2318480000013</v>
      </c>
      <c r="I28" s="209">
        <f t="shared" si="11"/>
        <v>5619.4293672000022</v>
      </c>
      <c r="J28" s="36"/>
      <c r="K28" s="63"/>
      <c r="L28" s="217"/>
    </row>
    <row r="29" spans="1:12">
      <c r="A29" s="148" t="s">
        <v>6</v>
      </c>
      <c r="B29" s="149"/>
      <c r="C29" s="150"/>
      <c r="D29" s="42"/>
      <c r="E29" s="14">
        <f>E22-E28</f>
        <v>60947.133000000009</v>
      </c>
      <c r="F29" s="14">
        <f t="shared" ref="F29:I29" si="12">F22-F28</f>
        <v>83210.410449999908</v>
      </c>
      <c r="G29" s="14">
        <f t="shared" si="12"/>
        <v>104188.07269249998</v>
      </c>
      <c r="H29" s="14">
        <f t="shared" si="12"/>
        <v>119472.32227512504</v>
      </c>
      <c r="I29" s="14">
        <f t="shared" si="12"/>
        <v>135245.30246208119</v>
      </c>
      <c r="J29" s="14"/>
      <c r="K29" s="64"/>
      <c r="L29" s="217"/>
    </row>
    <row r="30" spans="1:12">
      <c r="A30" s="80" t="s">
        <v>30</v>
      </c>
      <c r="B30" s="81"/>
      <c r="C30" s="18">
        <v>328000</v>
      </c>
      <c r="D30" s="49"/>
      <c r="E30" s="102"/>
      <c r="F30" s="102"/>
      <c r="G30" s="102"/>
      <c r="H30" s="102"/>
      <c r="I30" s="102"/>
      <c r="J30" s="102"/>
      <c r="K30" s="103"/>
      <c r="L30" s="217"/>
    </row>
    <row r="31" spans="1:12">
      <c r="A31" s="131" t="s">
        <v>51</v>
      </c>
      <c r="B31" s="147"/>
      <c r="C31" s="19"/>
      <c r="D31" s="50">
        <f>0.61*C30</f>
        <v>200080</v>
      </c>
      <c r="E31" s="104"/>
      <c r="F31" s="104"/>
      <c r="G31" s="104"/>
      <c r="H31" s="104"/>
      <c r="I31" s="104"/>
      <c r="J31" s="104"/>
      <c r="K31" s="105"/>
      <c r="L31" s="217"/>
    </row>
    <row r="32" spans="1:12">
      <c r="A32" s="131" t="s">
        <v>52</v>
      </c>
      <c r="B32" s="147"/>
      <c r="C32" s="22"/>
      <c r="D32" s="10">
        <f>C30-D31</f>
        <v>127920</v>
      </c>
      <c r="E32" s="104"/>
      <c r="F32" s="104"/>
      <c r="G32" s="104"/>
      <c r="H32" s="104"/>
      <c r="I32" s="104"/>
      <c r="J32" s="104"/>
      <c r="K32" s="105"/>
      <c r="L32" s="217"/>
    </row>
    <row r="33" spans="1:12">
      <c r="A33" s="131" t="s">
        <v>53</v>
      </c>
      <c r="B33" s="147"/>
      <c r="C33" s="22"/>
      <c r="D33" s="10">
        <v>177300</v>
      </c>
      <c r="E33" s="104"/>
      <c r="F33" s="104"/>
      <c r="G33" s="104"/>
      <c r="H33" s="104"/>
      <c r="I33" s="104"/>
      <c r="J33" s="104"/>
      <c r="K33" s="105"/>
      <c r="L33" s="217"/>
    </row>
    <row r="34" spans="1:12">
      <c r="A34" s="131" t="s">
        <v>54</v>
      </c>
      <c r="B34" s="147"/>
      <c r="C34" s="22"/>
      <c r="D34" s="10">
        <v>3000</v>
      </c>
      <c r="E34" s="104"/>
      <c r="F34" s="104"/>
      <c r="G34" s="104"/>
      <c r="H34" s="104"/>
      <c r="I34" s="104"/>
      <c r="J34" s="104"/>
      <c r="K34" s="105"/>
      <c r="L34" s="217"/>
    </row>
    <row r="35" spans="1:12">
      <c r="A35" s="131"/>
      <c r="B35" s="147"/>
      <c r="C35" s="22"/>
      <c r="D35" s="10"/>
      <c r="E35" s="104"/>
      <c r="F35" s="104"/>
      <c r="G35" s="104"/>
      <c r="H35" s="104"/>
      <c r="I35" s="104"/>
      <c r="J35" s="104"/>
      <c r="K35" s="105"/>
      <c r="L35" s="217"/>
    </row>
    <row r="36" spans="1:12">
      <c r="A36" s="148" t="s">
        <v>39</v>
      </c>
      <c r="B36" s="149"/>
      <c r="C36" s="150"/>
      <c r="D36" s="75">
        <f>IF(SUM(D30:D35)&gt;0,SUM(D30:D35)," ")</f>
        <v>508300</v>
      </c>
      <c r="E36" s="72">
        <f>IF(SUM(E30:E35)&gt;0,SUM(E30:E35),0)</f>
        <v>0</v>
      </c>
      <c r="F36" s="72">
        <f t="shared" ref="F36:I36" si="13">IF(SUM(F30:F35)&gt;0,SUM(F30:F35),0)</f>
        <v>0</v>
      </c>
      <c r="G36" s="72">
        <f t="shared" si="13"/>
        <v>0</v>
      </c>
      <c r="H36" s="72">
        <f t="shared" si="13"/>
        <v>0</v>
      </c>
      <c r="I36" s="72">
        <f t="shared" si="13"/>
        <v>0</v>
      </c>
      <c r="J36" s="72" t="str">
        <f t="shared" ref="J36:K36" si="14">IF(SUM(J30:J35)&gt;0,SUM(J30:J35)," ")</f>
        <v xml:space="preserve"> </v>
      </c>
      <c r="K36" s="76" t="str">
        <f t="shared" si="14"/>
        <v xml:space="preserve"> </v>
      </c>
      <c r="L36" s="217"/>
    </row>
    <row r="37" spans="1:12">
      <c r="A37" s="161" t="s">
        <v>28</v>
      </c>
      <c r="B37" s="172"/>
      <c r="C37" s="54"/>
      <c r="D37" s="49"/>
      <c r="E37" s="102"/>
      <c r="F37" s="102"/>
      <c r="G37" s="102"/>
      <c r="H37" s="102"/>
      <c r="I37" s="102"/>
      <c r="J37" s="102"/>
      <c r="K37" s="103"/>
      <c r="L37" s="217"/>
    </row>
    <row r="38" spans="1:12">
      <c r="A38" s="131" t="s">
        <v>51</v>
      </c>
      <c r="B38" s="147"/>
      <c r="C38" s="55"/>
      <c r="D38" s="50"/>
      <c r="E38" s="104"/>
      <c r="F38" s="104"/>
      <c r="G38" s="104"/>
      <c r="H38" s="104"/>
      <c r="I38" s="51">
        <f>0.6*D31</f>
        <v>120048</v>
      </c>
      <c r="J38" s="104"/>
      <c r="K38" s="105"/>
      <c r="L38" s="217"/>
    </row>
    <row r="39" spans="1:12">
      <c r="A39" s="131" t="s">
        <v>52</v>
      </c>
      <c r="B39" s="147"/>
      <c r="C39" s="55"/>
      <c r="D39" s="50"/>
      <c r="E39" s="104"/>
      <c r="F39" s="104"/>
      <c r="G39" s="104"/>
      <c r="H39" s="104"/>
      <c r="I39" s="51">
        <f>1.45*D32</f>
        <v>185484</v>
      </c>
      <c r="J39" s="104"/>
      <c r="K39" s="105"/>
      <c r="L39" s="217"/>
    </row>
    <row r="40" spans="1:12">
      <c r="A40" s="131" t="s">
        <v>53</v>
      </c>
      <c r="B40" s="147"/>
      <c r="C40" s="55"/>
      <c r="D40" s="50"/>
      <c r="E40" s="104"/>
      <c r="F40" s="104"/>
      <c r="G40" s="104"/>
      <c r="H40" s="104"/>
      <c r="I40" s="210">
        <v>97896.905413172397</v>
      </c>
      <c r="J40" s="104"/>
      <c r="K40" s="105"/>
      <c r="L40" s="217"/>
    </row>
    <row r="41" spans="1:12">
      <c r="A41" s="131" t="s">
        <v>54</v>
      </c>
      <c r="B41" s="147"/>
      <c r="C41" s="55"/>
      <c r="D41" s="50"/>
      <c r="E41" s="104"/>
      <c r="F41" s="104"/>
      <c r="G41" s="104"/>
      <c r="H41" s="104"/>
      <c r="I41" s="51">
        <f>1.08*D34</f>
        <v>3240</v>
      </c>
      <c r="J41" s="104"/>
      <c r="K41" s="106"/>
      <c r="L41" s="217"/>
    </row>
    <row r="42" spans="1:12">
      <c r="A42" s="131"/>
      <c r="B42" s="147"/>
      <c r="C42" s="55"/>
      <c r="D42" s="50"/>
      <c r="E42" s="104"/>
      <c r="F42" s="104"/>
      <c r="G42" s="104"/>
      <c r="H42" s="104"/>
      <c r="I42" s="104"/>
      <c r="J42" s="104"/>
      <c r="K42" s="106"/>
      <c r="L42" s="217"/>
    </row>
    <row r="43" spans="1:12">
      <c r="A43" s="148" t="s">
        <v>40</v>
      </c>
      <c r="B43" s="149"/>
      <c r="C43" s="150"/>
      <c r="D43" s="72" t="str">
        <f>IF(SUM(D37:D42)&gt;0,SUM(D37:D42)," ")</f>
        <v xml:space="preserve"> </v>
      </c>
      <c r="E43" s="72" t="str">
        <f t="shared" ref="E43:K43" si="15">IF(SUM(E37:E42)&gt;0,SUM(E37:E42)," ")</f>
        <v xml:space="preserve"> </v>
      </c>
      <c r="F43" s="72" t="str">
        <f t="shared" si="15"/>
        <v xml:space="preserve"> </v>
      </c>
      <c r="G43" s="72" t="str">
        <f t="shared" si="15"/>
        <v xml:space="preserve"> </v>
      </c>
      <c r="H43" s="72" t="str">
        <f t="shared" si="15"/>
        <v xml:space="preserve"> </v>
      </c>
      <c r="I43" s="72">
        <f t="shared" si="15"/>
        <v>406668.90541317238</v>
      </c>
      <c r="J43" s="72" t="str">
        <f t="shared" si="15"/>
        <v xml:space="preserve"> </v>
      </c>
      <c r="K43" s="76" t="str">
        <f t="shared" si="15"/>
        <v xml:space="preserve"> </v>
      </c>
      <c r="L43" s="217"/>
    </row>
    <row r="44" spans="1:12">
      <c r="A44" s="131" t="s">
        <v>27</v>
      </c>
      <c r="B44" s="132"/>
      <c r="C44" s="147"/>
      <c r="D44" s="69"/>
      <c r="E44" s="107"/>
      <c r="F44" s="107"/>
      <c r="G44" s="107"/>
      <c r="H44" s="107"/>
      <c r="I44" s="107"/>
      <c r="J44" s="107"/>
      <c r="K44" s="108"/>
      <c r="L44" s="217"/>
    </row>
    <row r="45" spans="1:12">
      <c r="A45" s="131" t="s">
        <v>58</v>
      </c>
      <c r="B45" s="147"/>
      <c r="C45" s="65"/>
      <c r="D45" s="68"/>
      <c r="E45" s="107"/>
      <c r="F45" s="107"/>
      <c r="G45" s="107"/>
      <c r="H45" s="107"/>
      <c r="I45" s="107">
        <f>(I56-I38)*C28</f>
        <v>-1718.205007199992</v>
      </c>
      <c r="J45" s="107"/>
      <c r="K45" s="108"/>
      <c r="L45" s="217"/>
    </row>
    <row r="46" spans="1:12">
      <c r="A46" s="131" t="s">
        <v>61</v>
      </c>
      <c r="B46" s="147"/>
      <c r="C46" s="66"/>
      <c r="D46" s="68"/>
      <c r="E46" s="107"/>
      <c r="F46" s="107"/>
      <c r="G46" s="107"/>
      <c r="H46" s="107"/>
      <c r="I46" s="107">
        <f>-(I57-I40)*(C28*C25)/(C25+C59)</f>
        <v>7882.1537461884682</v>
      </c>
      <c r="J46" s="107"/>
      <c r="K46" s="108"/>
      <c r="L46" s="217"/>
    </row>
    <row r="47" spans="1:12">
      <c r="A47" s="131" t="s">
        <v>52</v>
      </c>
      <c r="B47" s="147"/>
      <c r="C47" s="67"/>
      <c r="D47" s="69"/>
      <c r="E47" s="107"/>
      <c r="F47" s="107"/>
      <c r="G47" s="107"/>
      <c r="H47" s="107"/>
      <c r="I47" s="107">
        <f>(I39-D32)*C28/2</f>
        <v>6332.04</v>
      </c>
      <c r="J47" s="107"/>
      <c r="K47" s="108"/>
      <c r="L47" s="217"/>
    </row>
    <row r="48" spans="1:12">
      <c r="A48" s="131"/>
      <c r="B48" s="147"/>
      <c r="C48" s="67"/>
      <c r="D48" s="69"/>
      <c r="E48" s="107"/>
      <c r="F48" s="107"/>
      <c r="G48" s="107"/>
      <c r="H48" s="107"/>
      <c r="I48" s="107"/>
      <c r="J48" s="107"/>
      <c r="K48" s="108"/>
      <c r="L48" s="217"/>
    </row>
    <row r="49" spans="1:12">
      <c r="A49" s="148" t="s">
        <v>41</v>
      </c>
      <c r="B49" s="149"/>
      <c r="C49" s="149"/>
      <c r="D49" s="75" t="str">
        <f>IF(SUM(D44:D48)&gt;0,SUM(D44:D48)," ")</f>
        <v xml:space="preserve"> </v>
      </c>
      <c r="E49" s="72" t="str">
        <f t="shared" ref="E49:K49" si="16">IF(SUM(E44:E48)&gt;0,SUM(E44:E48)," ")</f>
        <v xml:space="preserve"> </v>
      </c>
      <c r="F49" s="72" t="str">
        <f t="shared" si="16"/>
        <v xml:space="preserve"> </v>
      </c>
      <c r="G49" s="72" t="str">
        <f t="shared" si="16"/>
        <v xml:space="preserve"> </v>
      </c>
      <c r="H49" s="72" t="str">
        <f t="shared" si="16"/>
        <v xml:space="preserve"> </v>
      </c>
      <c r="I49" s="72">
        <f>SUM(I44:I48)</f>
        <v>12495.988738988475</v>
      </c>
      <c r="J49" s="72" t="str">
        <f t="shared" si="16"/>
        <v xml:space="preserve"> </v>
      </c>
      <c r="K49" s="76" t="str">
        <f t="shared" si="16"/>
        <v xml:space="preserve"> </v>
      </c>
      <c r="L49" s="217"/>
    </row>
    <row r="50" spans="1:12">
      <c r="A50" s="161" t="s">
        <v>0</v>
      </c>
      <c r="B50" s="172"/>
      <c r="C50" s="23"/>
      <c r="D50" s="73">
        <f>D$29-D$36</f>
        <v>-508300</v>
      </c>
      <c r="E50" s="73">
        <f t="shared" ref="E50:H50" si="17">E$29-E$36</f>
        <v>60947.133000000009</v>
      </c>
      <c r="F50" s="73">
        <f t="shared" si="17"/>
        <v>83210.410449999908</v>
      </c>
      <c r="G50" s="73">
        <f t="shared" si="17"/>
        <v>104188.07269249998</v>
      </c>
      <c r="H50" s="73">
        <f t="shared" si="17"/>
        <v>119472.32227512504</v>
      </c>
      <c r="I50" s="73">
        <f>I$29-I$36+I$49+I$43</f>
        <v>554410.19661424204</v>
      </c>
      <c r="J50" s="73"/>
      <c r="K50" s="74"/>
      <c r="L50" s="217"/>
    </row>
    <row r="51" spans="1:12">
      <c r="A51" s="131" t="s">
        <v>1</v>
      </c>
      <c r="B51" s="147"/>
      <c r="C51" s="24">
        <f>C59</f>
        <v>5.460000000000001E-2</v>
      </c>
      <c r="D51" s="32">
        <f>(1+$C$51)^(2019-D$10)</f>
        <v>1</v>
      </c>
      <c r="E51" s="32">
        <f t="shared" ref="E51:I51" si="18">(1+$C$51)^(2019-E$10)</f>
        <v>0.94822681585435242</v>
      </c>
      <c r="F51" s="32">
        <f t="shared" si="18"/>
        <v>0.8991340943052839</v>
      </c>
      <c r="G51" s="32">
        <f t="shared" si="18"/>
        <v>0.85258305926918632</v>
      </c>
      <c r="H51" s="32">
        <f t="shared" si="18"/>
        <v>0.80844211954218315</v>
      </c>
      <c r="I51" s="32">
        <f t="shared" si="18"/>
        <v>0.76658649681602797</v>
      </c>
      <c r="J51" s="109"/>
      <c r="K51" s="110"/>
      <c r="L51" s="217"/>
    </row>
    <row r="52" spans="1:12" ht="13.5" thickBot="1">
      <c r="A52" s="155" t="s">
        <v>2</v>
      </c>
      <c r="B52" s="173"/>
      <c r="C52" s="58"/>
      <c r="D52" s="59">
        <f>D51*D50</f>
        <v>-508300</v>
      </c>
      <c r="E52" s="59">
        <f t="shared" ref="E52:I52" si="19">E51*E50</f>
        <v>57791.705860041737</v>
      </c>
      <c r="F52" s="59">
        <f t="shared" si="19"/>
        <v>74817.317036731605</v>
      </c>
      <c r="G52" s="59">
        <f t="shared" si="19"/>
        <v>88828.985755532005</v>
      </c>
      <c r="H52" s="59">
        <f t="shared" si="19"/>
        <v>96586.457446728877</v>
      </c>
      <c r="I52" s="59">
        <f t="shared" si="19"/>
        <v>425003.37042159709</v>
      </c>
      <c r="J52" s="60"/>
      <c r="K52" s="61"/>
      <c r="L52" s="217"/>
    </row>
    <row r="53" spans="1:12" ht="13.5" thickBot="1">
      <c r="A53" s="157" t="s">
        <v>3</v>
      </c>
      <c r="B53" s="158"/>
      <c r="C53" s="163">
        <f>SUM(D52:I52)</f>
        <v>234727.83652063127</v>
      </c>
      <c r="D53" s="160"/>
      <c r="E53" s="89"/>
      <c r="F53" s="89"/>
      <c r="G53" s="89"/>
      <c r="H53" s="89"/>
      <c r="I53" s="89"/>
      <c r="J53" s="89"/>
      <c r="K53" s="89"/>
      <c r="L53" s="217"/>
    </row>
    <row r="54" spans="1:12">
      <c r="A54" s="3"/>
      <c r="B54" s="3"/>
      <c r="C54" s="3"/>
      <c r="D54" s="4"/>
      <c r="E54" s="89"/>
      <c r="F54" s="89"/>
      <c r="G54" s="89"/>
      <c r="H54" s="89"/>
      <c r="I54" s="89"/>
      <c r="J54" s="89"/>
      <c r="K54" s="89"/>
      <c r="L54" s="217"/>
    </row>
    <row r="55" spans="1:12">
      <c r="A55" s="169" t="s">
        <v>19</v>
      </c>
      <c r="B55" s="170"/>
      <c r="C55" s="170"/>
      <c r="D55" s="170"/>
      <c r="E55" s="170"/>
      <c r="F55" s="170"/>
      <c r="G55" s="170"/>
      <c r="H55" s="170"/>
      <c r="I55" s="170"/>
      <c r="J55" s="170"/>
      <c r="K55" s="171"/>
      <c r="L55" s="217"/>
    </row>
    <row r="56" spans="1:12">
      <c r="A56" s="151" t="s">
        <v>59</v>
      </c>
      <c r="B56" s="132"/>
      <c r="C56" s="2"/>
      <c r="D56" s="211"/>
      <c r="E56" s="117">
        <f>$D$31*(1-$C$24/2)*(1-$C$24)^(E10-2019)</f>
        <v>171068.4</v>
      </c>
      <c r="F56" s="117">
        <f t="shared" ref="F56:I56" si="20">$D$31*(1-$C$24/2)*(1-$C$24)^(F10-2019)</f>
        <v>153961.56</v>
      </c>
      <c r="G56" s="117">
        <f t="shared" si="20"/>
        <v>138565.40400000001</v>
      </c>
      <c r="H56" s="117">
        <f t="shared" si="20"/>
        <v>124708.86360000003</v>
      </c>
      <c r="I56" s="212">
        <f t="shared" si="20"/>
        <v>112237.97724000004</v>
      </c>
      <c r="J56" s="117"/>
      <c r="K56" s="112"/>
    </row>
    <row r="57" spans="1:12">
      <c r="A57" s="151" t="s">
        <v>60</v>
      </c>
      <c r="B57" s="132"/>
      <c r="C57" s="2"/>
      <c r="D57" s="211"/>
      <c r="E57" s="117">
        <f>$D$33*(1-$C$25/2)*(1-$C$25)^(E10-2019)</f>
        <v>127656</v>
      </c>
      <c r="F57" s="117">
        <f t="shared" ref="F57:I57" si="21">$D$33*(1-$C$25/2)*(1-$C$25)^(F10-2019)</f>
        <v>102124.80000000002</v>
      </c>
      <c r="G57" s="117">
        <f t="shared" si="21"/>
        <v>81699.840000000026</v>
      </c>
      <c r="H57" s="117">
        <f t="shared" si="21"/>
        <v>65359.872000000032</v>
      </c>
      <c r="I57" s="212">
        <f t="shared" si="21"/>
        <v>52287.897600000033</v>
      </c>
      <c r="J57" s="117"/>
      <c r="K57" s="112"/>
    </row>
    <row r="58" spans="1:12">
      <c r="A58" s="151"/>
      <c r="B58" s="132"/>
      <c r="C58" s="2"/>
      <c r="D58" s="211"/>
      <c r="E58" s="117"/>
      <c r="F58" s="117"/>
      <c r="G58" s="117"/>
      <c r="H58" s="117"/>
      <c r="I58" s="117"/>
      <c r="J58" s="117"/>
      <c r="K58" s="112"/>
    </row>
    <row r="59" spans="1:12">
      <c r="A59" s="151" t="s">
        <v>62</v>
      </c>
      <c r="B59" s="132"/>
      <c r="C59" s="213">
        <f>0.07*(1-C28)</f>
        <v>5.460000000000001E-2</v>
      </c>
      <c r="D59" s="211"/>
      <c r="E59" s="117"/>
      <c r="F59" s="117"/>
      <c r="G59" s="117"/>
      <c r="H59" s="117"/>
      <c r="I59" s="117"/>
      <c r="J59" s="117"/>
      <c r="K59" s="112"/>
    </row>
    <row r="60" spans="1:12">
      <c r="A60" s="151"/>
      <c r="B60" s="132"/>
      <c r="C60" s="2"/>
      <c r="D60" s="7"/>
      <c r="E60" s="111"/>
      <c r="F60" s="111"/>
      <c r="G60" s="111"/>
      <c r="H60" s="111"/>
      <c r="I60" s="111"/>
      <c r="J60" s="111"/>
      <c r="K60" s="112"/>
    </row>
    <row r="61" spans="1:12">
      <c r="A61" s="151"/>
      <c r="B61" s="132"/>
      <c r="C61" s="2"/>
      <c r="D61" s="7"/>
      <c r="E61" s="111"/>
      <c r="F61" s="11"/>
      <c r="G61" s="111"/>
      <c r="H61" s="111"/>
      <c r="I61" s="111"/>
      <c r="J61" s="111"/>
      <c r="K61" s="112"/>
    </row>
    <row r="62" spans="1:12">
      <c r="A62" s="151"/>
      <c r="B62" s="132"/>
      <c r="C62" s="2"/>
      <c r="D62" s="7"/>
      <c r="E62" s="111"/>
      <c r="F62" s="111"/>
      <c r="G62" s="111"/>
      <c r="H62" s="111"/>
      <c r="I62" s="111"/>
      <c r="J62" s="111"/>
      <c r="K62" s="112"/>
    </row>
    <row r="63" spans="1:12">
      <c r="A63" s="195"/>
      <c r="B63" s="196"/>
      <c r="C63" s="5"/>
      <c r="D63" s="6"/>
      <c r="E63" s="113"/>
      <c r="F63" s="113"/>
      <c r="G63" s="113"/>
      <c r="H63" s="113"/>
      <c r="I63" s="113"/>
      <c r="J63" s="113"/>
      <c r="K63" s="114"/>
    </row>
  </sheetData>
  <mergeCells count="62">
    <mergeCell ref="A58:B58"/>
    <mergeCell ref="A59:B59"/>
    <mergeCell ref="A60:B60"/>
    <mergeCell ref="A61:B61"/>
    <mergeCell ref="A62:B62"/>
    <mergeCell ref="A63:B63"/>
    <mergeCell ref="A52:B52"/>
    <mergeCell ref="A53:B53"/>
    <mergeCell ref="C53:D53"/>
    <mergeCell ref="A55:K55"/>
    <mergeCell ref="A56:B56"/>
    <mergeCell ref="A57:B57"/>
    <mergeCell ref="A46:B46"/>
    <mergeCell ref="A47:B47"/>
    <mergeCell ref="A48:B48"/>
    <mergeCell ref="A49:C49"/>
    <mergeCell ref="A50:B50"/>
    <mergeCell ref="A51:B51"/>
    <mergeCell ref="A40:B40"/>
    <mergeCell ref="A41:B41"/>
    <mergeCell ref="A42:B42"/>
    <mergeCell ref="A43:C43"/>
    <mergeCell ref="A44:C44"/>
    <mergeCell ref="A45:B45"/>
    <mergeCell ref="A34:B34"/>
    <mergeCell ref="A35:B35"/>
    <mergeCell ref="A36:C36"/>
    <mergeCell ref="A37:B37"/>
    <mergeCell ref="A38:B38"/>
    <mergeCell ref="A39:B39"/>
    <mergeCell ref="A26:B26"/>
    <mergeCell ref="A27:B27"/>
    <mergeCell ref="A29:C29"/>
    <mergeCell ref="A31:B31"/>
    <mergeCell ref="A32:B32"/>
    <mergeCell ref="A33:B33"/>
    <mergeCell ref="A20:B20"/>
    <mergeCell ref="A21:B21"/>
    <mergeCell ref="A22:C22"/>
    <mergeCell ref="A23:B23"/>
    <mergeCell ref="A24:B24"/>
    <mergeCell ref="A25:B25"/>
    <mergeCell ref="A14:B14"/>
    <mergeCell ref="A15:B15"/>
    <mergeCell ref="A16:B16"/>
    <mergeCell ref="A17:B17"/>
    <mergeCell ref="A18:B18"/>
    <mergeCell ref="A19:B19"/>
    <mergeCell ref="A8:B8"/>
    <mergeCell ref="A9:B9"/>
    <mergeCell ref="A10:B10"/>
    <mergeCell ref="A11:B11"/>
    <mergeCell ref="A12:B12"/>
    <mergeCell ref="A13:B13"/>
    <mergeCell ref="A1:B1"/>
    <mergeCell ref="A2:B2"/>
    <mergeCell ref="A3:B3"/>
    <mergeCell ref="A4:B4"/>
    <mergeCell ref="A5:B5"/>
    <mergeCell ref="C5:I7"/>
    <mergeCell ref="A6:B6"/>
    <mergeCell ref="A7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Modèle</vt:lpstr>
      <vt:lpstr>Calcul perso</vt:lpstr>
      <vt:lpstr>Question 3 -10%</vt:lpstr>
      <vt:lpstr>Question 3 +10%</vt:lpstr>
    </vt:vector>
  </TitlesOfParts>
  <Company>Aucune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Lab 5</dc:title>
  <dc:creator>olblai</dc:creator>
  <cp:lastModifiedBy>Robin Larroque</cp:lastModifiedBy>
  <cp:lastPrinted>2019-11-22T16:19:00Z</cp:lastPrinted>
  <dcterms:created xsi:type="dcterms:W3CDTF">2006-11-14T14:22:35Z</dcterms:created>
  <dcterms:modified xsi:type="dcterms:W3CDTF">2019-11-22T16:21:17Z</dcterms:modified>
</cp:coreProperties>
</file>