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lim\Desktop\SSH3201\"/>
    </mc:Choice>
  </mc:AlternateContent>
  <xr:revisionPtr revIDLastSave="0" documentId="13_ncr:1_{53264895-A09A-4C7B-B2BB-B96A20118577}" xr6:coauthVersionLast="45" xr6:coauthVersionMax="45" xr10:uidLastSave="{00000000-0000-0000-0000-000000000000}"/>
  <bookViews>
    <workbookView xWindow="-110" yWindow="-110" windowWidth="19420" windowHeight="11020" tabRatio="954" xr2:uid="{00000000-000D-0000-FFFF-FFFF00000000}"/>
  </bookViews>
  <sheets>
    <sheet name="Modèle" sheetId="97" r:id="rId1"/>
    <sheet name="Calcul perso" sheetId="98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4" i="97" l="1"/>
  <c r="E114" i="97"/>
  <c r="D114" i="97"/>
  <c r="F114" i="97"/>
  <c r="G114" i="97"/>
  <c r="C114" i="97"/>
  <c r="D113" i="97"/>
  <c r="E113" i="97"/>
  <c r="H113" i="97" s="1"/>
  <c r="F113" i="97"/>
  <c r="G113" i="97"/>
  <c r="C113" i="97"/>
  <c r="H110" i="97"/>
  <c r="H109" i="97"/>
  <c r="C117" i="97" s="1"/>
  <c r="H108" i="97"/>
  <c r="D88" i="97"/>
  <c r="E88" i="97"/>
  <c r="F88" i="97"/>
  <c r="G88" i="97"/>
  <c r="C88" i="97"/>
  <c r="G87" i="97"/>
  <c r="F87" i="97"/>
  <c r="E87" i="97"/>
  <c r="D87" i="97"/>
  <c r="C87" i="97"/>
  <c r="G91" i="97"/>
  <c r="F91" i="97"/>
  <c r="E91" i="97"/>
  <c r="D91" i="97"/>
  <c r="C90" i="97" s="1"/>
  <c r="B98" i="97" s="1"/>
  <c r="C91" i="97"/>
  <c r="C89" i="97" s="1"/>
  <c r="I50" i="97"/>
  <c r="H50" i="97"/>
  <c r="G50" i="97"/>
  <c r="F50" i="97"/>
  <c r="E50" i="97"/>
  <c r="D50" i="97"/>
  <c r="I44" i="97"/>
  <c r="H44" i="97"/>
  <c r="G44" i="97"/>
  <c r="F44" i="97"/>
  <c r="E44" i="97"/>
  <c r="I36" i="97"/>
  <c r="H36" i="97"/>
  <c r="G36" i="97"/>
  <c r="F36" i="97"/>
  <c r="E36" i="97"/>
  <c r="D36" i="97"/>
  <c r="D44" i="97"/>
  <c r="I33" i="97"/>
  <c r="I30" i="97"/>
  <c r="D24" i="97"/>
  <c r="D25" i="97" s="1"/>
  <c r="C15" i="98"/>
  <c r="D23" i="98" s="1"/>
  <c r="F23" i="98" s="1"/>
  <c r="E16" i="97"/>
  <c r="E17" i="97" s="1"/>
  <c r="E15" i="97"/>
  <c r="C16" i="97"/>
  <c r="C17" i="97" s="1"/>
  <c r="E13" i="97"/>
  <c r="G12" i="97"/>
  <c r="H12" i="97"/>
  <c r="I12" i="97"/>
  <c r="F12" i="97"/>
  <c r="F11" i="97"/>
  <c r="G11" i="97" s="1"/>
  <c r="D115" i="97"/>
  <c r="C115" i="97"/>
  <c r="G115" i="97"/>
  <c r="F115" i="97"/>
  <c r="E115" i="97"/>
  <c r="G15" i="97" l="1"/>
  <c r="G16" i="97" s="1"/>
  <c r="G17" i="97" s="1"/>
  <c r="H11" i="97"/>
  <c r="G13" i="97"/>
  <c r="G23" i="98"/>
  <c r="F24" i="98"/>
  <c r="E21" i="97" s="1"/>
  <c r="E35" i="97" s="1"/>
  <c r="I31" i="97"/>
  <c r="D35" i="97"/>
  <c r="D43" i="97" s="1"/>
  <c r="D49" i="97" s="1"/>
  <c r="F13" i="97"/>
  <c r="H115" i="97"/>
  <c r="F15" i="97"/>
  <c r="F16" i="97" s="1"/>
  <c r="F17" i="97" s="1"/>
  <c r="D45" i="97"/>
  <c r="D51" i="97" s="1"/>
  <c r="E43" i="97" l="1"/>
  <c r="E45" i="97" s="1"/>
  <c r="E49" i="97"/>
  <c r="E51" i="97" s="1"/>
  <c r="E37" i="97"/>
  <c r="H23" i="98"/>
  <c r="G24" i="98"/>
  <c r="F21" i="97" s="1"/>
  <c r="F35" i="97" s="1"/>
  <c r="I11" i="97"/>
  <c r="H15" i="97"/>
  <c r="H16" i="97" s="1"/>
  <c r="H17" i="97" s="1"/>
  <c r="H13" i="97"/>
  <c r="D37" i="97"/>
  <c r="F43" i="97" l="1"/>
  <c r="F37" i="97"/>
  <c r="H24" i="98"/>
  <c r="G21" i="97" s="1"/>
  <c r="G35" i="97" s="1"/>
  <c r="I23" i="98"/>
  <c r="I15" i="97"/>
  <c r="I16" i="97" s="1"/>
  <c r="I17" i="97" s="1"/>
  <c r="I13" i="97"/>
  <c r="F69" i="97"/>
  <c r="E69" i="97"/>
  <c r="J23" i="98" l="1"/>
  <c r="I24" i="98"/>
  <c r="H21" i="97" s="1"/>
  <c r="H35" i="97" s="1"/>
  <c r="G43" i="97"/>
  <c r="G37" i="97"/>
  <c r="F49" i="97"/>
  <c r="F51" i="97" s="1"/>
  <c r="F45" i="97"/>
  <c r="G75" i="97"/>
  <c r="D75" i="97"/>
  <c r="B75" i="97"/>
  <c r="G49" i="97" l="1"/>
  <c r="G51" i="97" s="1"/>
  <c r="G45" i="97"/>
  <c r="H43" i="97"/>
  <c r="H37" i="97"/>
  <c r="J24" i="98"/>
  <c r="I21" i="97" s="1"/>
  <c r="I35" i="97" s="1"/>
  <c r="K23" i="98"/>
  <c r="I32" i="97"/>
  <c r="I43" i="97" l="1"/>
  <c r="I37" i="97"/>
  <c r="C38" i="97" s="1"/>
  <c r="H49" i="97"/>
  <c r="H51" i="97" s="1"/>
  <c r="H45" i="97"/>
  <c r="I49" i="97" l="1"/>
  <c r="I45" i="97"/>
  <c r="I51" i="97" s="1"/>
  <c r="C52" i="97" s="1"/>
  <c r="C46" i="97" l="1"/>
  <c r="H63" i="97" s="1"/>
</calcChain>
</file>

<file path=xl/sharedStrings.xml><?xml version="1.0" encoding="utf-8"?>
<sst xmlns="http://schemas.openxmlformats.org/spreadsheetml/2006/main" count="110" uniqueCount="71">
  <si>
    <t>Flux monétaires</t>
  </si>
  <si>
    <t>Facteur d'actualisation</t>
  </si>
  <si>
    <t>Flux monétaires actualisés</t>
  </si>
  <si>
    <t>Valeur actuelle nette</t>
  </si>
  <si>
    <t xml:space="preserve">Année </t>
  </si>
  <si>
    <t>Flux monétaires nets d'exploitation</t>
  </si>
  <si>
    <t>Coûts</t>
  </si>
  <si>
    <t>Coût totaux</t>
  </si>
  <si>
    <t>Produits des ventes</t>
  </si>
  <si>
    <t>DATA</t>
  </si>
  <si>
    <t>Ventes en unité</t>
  </si>
  <si>
    <t>Matricule</t>
  </si>
  <si>
    <t>Gr.</t>
  </si>
  <si>
    <t>NOM :</t>
  </si>
  <si>
    <t>Prén. :</t>
  </si>
  <si>
    <t>TRI par interpolation</t>
  </si>
  <si>
    <t>TRI (%)</t>
  </si>
  <si>
    <t>Prix de vente unitaire ($/u)</t>
  </si>
  <si>
    <t>Méthodes d'analyse des projets AVANT impôt</t>
  </si>
  <si>
    <t>Valeurs de récupération</t>
  </si>
  <si>
    <t>Q1.1)</t>
  </si>
  <si>
    <t>Q1.2)</t>
  </si>
  <si>
    <t>Q2)</t>
  </si>
  <si>
    <t>TRIM</t>
  </si>
  <si>
    <t>Taux de réinvestissement</t>
  </si>
  <si>
    <t>Taux d'emprunt</t>
  </si>
  <si>
    <t>Année</t>
  </si>
  <si>
    <t>TRIM (%)</t>
  </si>
  <si>
    <t>Q3)</t>
  </si>
  <si>
    <t>TRI</t>
  </si>
  <si>
    <t>TRAM</t>
  </si>
  <si>
    <t>TRI(%)</t>
  </si>
  <si>
    <t>Recommandation</t>
  </si>
  <si>
    <t>Moulay Vincent HUARD</t>
  </si>
  <si>
    <t>Comparaison de projets à l'aide du TRI</t>
  </si>
  <si>
    <t>VAN avant impôt</t>
  </si>
  <si>
    <t>Investissements</t>
  </si>
  <si>
    <t>Calcul, questionnement et notes</t>
  </si>
  <si>
    <t>Lab 5</t>
  </si>
  <si>
    <t>DIALLO</t>
  </si>
  <si>
    <t>BOCAR</t>
  </si>
  <si>
    <t>BANCE</t>
  </si>
  <si>
    <t>BEATRICE HALIMA DEDE</t>
  </si>
  <si>
    <t>Recettes</t>
  </si>
  <si>
    <t>Debours</t>
  </si>
  <si>
    <t>MP</t>
  </si>
  <si>
    <t>MF</t>
  </si>
  <si>
    <t>matières premières</t>
  </si>
  <si>
    <t>main d'œuvre directe</t>
  </si>
  <si>
    <t>frais généraux</t>
  </si>
  <si>
    <t>Publicité</t>
  </si>
  <si>
    <t>analyse de marché</t>
  </si>
  <si>
    <t>plan d'affaire</t>
  </si>
  <si>
    <t>amortissement immeuble</t>
  </si>
  <si>
    <t>amortissement équipement</t>
  </si>
  <si>
    <t>[autre frais&amp;amortissement]-amortissement</t>
  </si>
  <si>
    <t>Projet 1</t>
  </si>
  <si>
    <t>Projet 2</t>
  </si>
  <si>
    <t>Projet 3</t>
  </si>
  <si>
    <t>Comparaison</t>
  </si>
  <si>
    <t>Projet(1-2)</t>
  </si>
  <si>
    <t>Facteur de capitalisation</t>
  </si>
  <si>
    <t>Immeuble</t>
  </si>
  <si>
    <t>Terrain</t>
  </si>
  <si>
    <t>équipement de production</t>
  </si>
  <si>
    <t>inventaire</t>
  </si>
  <si>
    <t>taux</t>
  </si>
  <si>
    <t>FMN</t>
  </si>
  <si>
    <t>On recommande le projet 2</t>
  </si>
  <si>
    <t>Projet(2-1)</t>
  </si>
  <si>
    <t>Projet(2-3)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</si>
</sst>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* #,##0.00_)\ &quot;$&quot;_ ;_ * \(#,##0.00\)\ &quot;$&quot;_ ;_ * &quot;-&quot;??_)\ &quot;$&quot;_ ;_ @_ "/>
    <numFmt numFmtId="165" formatCode="#,##0\ &quot;$&quot;_-;[Red]#,##0\ &quot;$&quot;\-"/>
    <numFmt numFmtId="166" formatCode="_-* #,##0.00\ &quot;$&quot;_-;_-* #,##0.00\ &quot;$&quot;\-;_-* &quot;-&quot;??\ &quot;$&quot;_-;_-@_-"/>
    <numFmt numFmtId="167" formatCode="#,##0\ &quot;$&quot;_-"/>
    <numFmt numFmtId="168" formatCode="0.0000"/>
    <numFmt numFmtId="169" formatCode="_ * #,##0_)\ &quot;$&quot;_ ;_ * \(#,##0\)\ &quot;$&quot;_ ;_ * &quot;-&quot;??_)\ &quot;$&quot;_ ;_ @_ "/>
    <numFmt numFmtId="170" formatCode="#,##0&quot; $/u&quot;"/>
    <numFmt numFmtId="171" formatCode="h&quot; h &quot;mm;@"/>
    <numFmt numFmtId="172" formatCode="[$-F800]dddd\,\ mmmm\ dd\,\ yyyy"/>
    <numFmt numFmtId="173" formatCode="#,##0&quot; u&quot;"/>
    <numFmt numFmtId="174" formatCode="_-* #,##0\ &quot;$&quot;_-;_-* #,##0\ &quot;$&quot;\-;_-* &quot;-&quot;??\ &quot;$&quot;_-;_-@_-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1">
    <xf numFmtId="0" fontId="0" fillId="0" borderId="0" xfId="0"/>
    <xf numFmtId="0" fontId="3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9" fontId="0" fillId="0" borderId="0" xfId="0" applyNumberFormat="1" applyFont="1" applyBorder="1"/>
    <xf numFmtId="0" fontId="0" fillId="0" borderId="5" xfId="0" applyFont="1" applyBorder="1"/>
    <xf numFmtId="0" fontId="6" fillId="0" borderId="0" xfId="0" applyFont="1" applyBorder="1"/>
    <xf numFmtId="9" fontId="0" fillId="0" borderId="0" xfId="0" applyNumberFormat="1" applyFont="1" applyBorder="1"/>
    <xf numFmtId="10" fontId="0" fillId="0" borderId="0" xfId="0" applyNumberFormat="1" applyFont="1" applyBorder="1"/>
    <xf numFmtId="0" fontId="0" fillId="0" borderId="0" xfId="0" applyNumberFormat="1" applyFont="1" applyAlignment="1">
      <alignment horizontal="center"/>
    </xf>
    <xf numFmtId="0" fontId="3" fillId="0" borderId="9" xfId="0" applyFont="1" applyBorder="1"/>
    <xf numFmtId="0" fontId="0" fillId="3" borderId="10" xfId="0" applyFont="1" applyFill="1" applyBorder="1" applyAlignment="1">
      <alignment horizontal="center"/>
    </xf>
    <xf numFmtId="165" fontId="0" fillId="3" borderId="12" xfId="0" applyNumberFormat="1" applyFont="1" applyFill="1" applyBorder="1" applyAlignment="1">
      <alignment horizontal="center"/>
    </xf>
    <xf numFmtId="165" fontId="0" fillId="3" borderId="11" xfId="0" applyNumberFormat="1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167" fontId="0" fillId="3" borderId="10" xfId="0" applyNumberFormat="1" applyFont="1" applyFill="1" applyBorder="1" applyAlignment="1">
      <alignment horizontal="center"/>
    </xf>
    <xf numFmtId="10" fontId="0" fillId="3" borderId="1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49" fontId="7" fillId="0" borderId="6" xfId="0" applyNumberFormat="1" applyFont="1" applyBorder="1" applyAlignment="1"/>
    <xf numFmtId="49" fontId="8" fillId="0" borderId="6" xfId="0" applyNumberFormat="1" applyFont="1" applyBorder="1"/>
    <xf numFmtId="49" fontId="10" fillId="0" borderId="9" xfId="0" applyNumberFormat="1" applyFont="1" applyBorder="1"/>
    <xf numFmtId="0" fontId="9" fillId="0" borderId="9" xfId="0" applyFont="1" applyBorder="1"/>
    <xf numFmtId="0" fontId="7" fillId="0" borderId="9" xfId="0" applyFont="1" applyBorder="1" applyAlignment="1">
      <alignment horizontal="right"/>
    </xf>
    <xf numFmtId="49" fontId="10" fillId="0" borderId="0" xfId="0" applyNumberFormat="1" applyFont="1" applyBorder="1" applyAlignment="1"/>
    <xf numFmtId="0" fontId="9" fillId="0" borderId="0" xfId="0" applyFont="1" applyBorder="1"/>
    <xf numFmtId="49" fontId="9" fillId="0" borderId="0" xfId="0" applyNumberFormat="1" applyFont="1" applyBorder="1"/>
    <xf numFmtId="49" fontId="9" fillId="0" borderId="0" xfId="0" applyNumberFormat="1" applyFont="1" applyBorder="1" applyAlignme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0" borderId="9" xfId="0" applyNumberFormat="1" applyFont="1" applyBorder="1" applyAlignment="1">
      <alignment horizontal="left"/>
    </xf>
    <xf numFmtId="0" fontId="7" fillId="0" borderId="0" xfId="0" applyFont="1"/>
    <xf numFmtId="0" fontId="10" fillId="0" borderId="19" xfId="0" applyFont="1" applyBorder="1"/>
    <xf numFmtId="0" fontId="9" fillId="0" borderId="0" xfId="0" applyFont="1" applyBorder="1" applyAlignment="1">
      <alignment horizontal="center"/>
    </xf>
    <xf numFmtId="0" fontId="9" fillId="0" borderId="18" xfId="0" applyFont="1" applyBorder="1"/>
    <xf numFmtId="0" fontId="9" fillId="0" borderId="19" xfId="0" applyFont="1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0" xfId="0" applyFont="1" applyBorder="1"/>
    <xf numFmtId="0" fontId="9" fillId="0" borderId="16" xfId="0" applyFont="1" applyBorder="1"/>
    <xf numFmtId="0" fontId="10" fillId="0" borderId="23" xfId="0" applyFont="1" applyFill="1" applyBorder="1" applyAlignment="1">
      <alignment horizontal="center"/>
    </xf>
    <xf numFmtId="0" fontId="7" fillId="0" borderId="19" xfId="0" applyFont="1" applyBorder="1"/>
    <xf numFmtId="9" fontId="7" fillId="0" borderId="0" xfId="2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49" fontId="12" fillId="0" borderId="0" xfId="0" applyNumberFormat="1" applyFont="1" applyBorder="1" applyAlignment="1">
      <alignment horizontal="right"/>
    </xf>
    <xf numFmtId="169" fontId="0" fillId="0" borderId="18" xfId="1" applyNumberFormat="1" applyFont="1" applyFill="1" applyBorder="1" applyAlignment="1">
      <alignment horizontal="right"/>
    </xf>
    <xf numFmtId="9" fontId="0" fillId="3" borderId="32" xfId="0" applyNumberFormat="1" applyFont="1" applyFill="1" applyBorder="1" applyAlignment="1">
      <alignment horizontal="center"/>
    </xf>
    <xf numFmtId="169" fontId="3" fillId="0" borderId="20" xfId="0" applyNumberFormat="1" applyFont="1" applyFill="1" applyBorder="1" applyAlignment="1">
      <alignment horizontal="center"/>
    </xf>
    <xf numFmtId="169" fontId="3" fillId="0" borderId="20" xfId="0" applyNumberFormat="1" applyFont="1" applyFill="1" applyBorder="1"/>
    <xf numFmtId="169" fontId="3" fillId="0" borderId="16" xfId="0" applyNumberFormat="1" applyFont="1" applyFill="1" applyBorder="1"/>
    <xf numFmtId="0" fontId="3" fillId="3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8" fillId="0" borderId="6" xfId="0" applyNumberFormat="1" applyFont="1" applyBorder="1"/>
    <xf numFmtId="9" fontId="0" fillId="3" borderId="10" xfId="2" applyFont="1" applyFill="1" applyBorder="1" applyAlignment="1">
      <alignment horizontal="center"/>
    </xf>
    <xf numFmtId="9" fontId="0" fillId="3" borderId="12" xfId="2" applyFont="1" applyFill="1" applyBorder="1" applyAlignment="1">
      <alignment horizontal="center"/>
    </xf>
    <xf numFmtId="9" fontId="0" fillId="3" borderId="11" xfId="2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0" fontId="9" fillId="0" borderId="24" xfId="2" applyNumberFormat="1" applyFont="1" applyBorder="1"/>
    <xf numFmtId="10" fontId="9" fillId="0" borderId="25" xfId="2" applyNumberFormat="1" applyFont="1" applyBorder="1"/>
    <xf numFmtId="168" fontId="0" fillId="3" borderId="0" xfId="0" applyNumberFormat="1" applyFont="1" applyFill="1" applyBorder="1" applyAlignment="1">
      <alignment horizontal="center"/>
    </xf>
    <xf numFmtId="168" fontId="0" fillId="3" borderId="18" xfId="0" applyNumberFormat="1" applyFont="1" applyFill="1" applyBorder="1" applyAlignment="1">
      <alignment horizontal="center"/>
    </xf>
    <xf numFmtId="170" fontId="0" fillId="3" borderId="4" xfId="1" applyNumberFormat="1" applyFont="1" applyFill="1" applyBorder="1" applyAlignment="1">
      <alignment horizontal="center"/>
    </xf>
    <xf numFmtId="170" fontId="0" fillId="3" borderId="31" xfId="1" applyNumberFormat="1" applyFont="1" applyFill="1" applyBorder="1" applyAlignment="1">
      <alignment horizontal="center"/>
    </xf>
    <xf numFmtId="169" fontId="9" fillId="0" borderId="0" xfId="1" applyNumberFormat="1" applyFont="1" applyBorder="1" applyAlignment="1">
      <alignment horizontal="center"/>
    </xf>
    <xf numFmtId="169" fontId="9" fillId="0" borderId="0" xfId="1" applyNumberFormat="1" applyFont="1" applyBorder="1"/>
    <xf numFmtId="169" fontId="9" fillId="0" borderId="20" xfId="1" applyNumberFormat="1" applyFont="1" applyBorder="1"/>
    <xf numFmtId="170" fontId="0" fillId="3" borderId="11" xfId="1" applyNumberFormat="1" applyFont="1" applyFill="1" applyBorder="1" applyAlignment="1">
      <alignment horizontal="center"/>
    </xf>
    <xf numFmtId="0" fontId="13" fillId="0" borderId="0" xfId="0" applyFont="1"/>
    <xf numFmtId="171" fontId="14" fillId="0" borderId="0" xfId="0" applyNumberFormat="1" applyFont="1" applyAlignment="1"/>
    <xf numFmtId="172" fontId="14" fillId="0" borderId="0" xfId="0" applyNumberFormat="1" applyFont="1" applyAlignment="1">
      <alignment horizontal="left"/>
    </xf>
    <xf numFmtId="172" fontId="14" fillId="0" borderId="0" xfId="0" applyNumberFormat="1" applyFont="1" applyAlignment="1"/>
    <xf numFmtId="0" fontId="3" fillId="0" borderId="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7" fillId="0" borderId="6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15" xfId="0" applyFont="1" applyBorder="1"/>
    <xf numFmtId="0" fontId="0" fillId="0" borderId="20" xfId="0" applyFont="1" applyBorder="1"/>
    <xf numFmtId="169" fontId="3" fillId="0" borderId="4" xfId="1" applyNumberFormat="1" applyFont="1" applyFill="1" applyBorder="1" applyAlignment="1">
      <alignment horizontal="center"/>
    </xf>
    <xf numFmtId="169" fontId="3" fillId="0" borderId="4" xfId="1" applyNumberFormat="1" applyFont="1" applyFill="1" applyBorder="1"/>
    <xf numFmtId="169" fontId="3" fillId="0" borderId="31" xfId="1" applyNumberFormat="1" applyFont="1" applyFill="1" applyBorder="1"/>
    <xf numFmtId="169" fontId="0" fillId="0" borderId="1" xfId="1" applyNumberFormat="1" applyFont="1" applyFill="1" applyBorder="1" applyAlignment="1">
      <alignment horizontal="center"/>
    </xf>
    <xf numFmtId="169" fontId="0" fillId="0" borderId="1" xfId="1" applyNumberFormat="1" applyFont="1" applyFill="1" applyBorder="1"/>
    <xf numFmtId="169" fontId="0" fillId="0" borderId="29" xfId="1" applyNumberFormat="1" applyFont="1" applyFill="1" applyBorder="1"/>
    <xf numFmtId="169" fontId="0" fillId="0" borderId="0" xfId="1" applyNumberFormat="1" applyFont="1" applyFill="1" applyBorder="1" applyAlignment="1">
      <alignment horizontal="center"/>
    </xf>
    <xf numFmtId="169" fontId="0" fillId="0" borderId="0" xfId="1" applyNumberFormat="1" applyFont="1" applyFill="1" applyBorder="1"/>
    <xf numFmtId="169" fontId="0" fillId="0" borderId="18" xfId="1" applyNumberFormat="1" applyFont="1" applyFill="1" applyBorder="1"/>
    <xf numFmtId="169" fontId="0" fillId="0" borderId="4" xfId="1" applyNumberFormat="1" applyFont="1" applyFill="1" applyBorder="1" applyAlignment="1">
      <alignment horizontal="center"/>
    </xf>
    <xf numFmtId="169" fontId="0" fillId="0" borderId="4" xfId="1" applyNumberFormat="1" applyFont="1" applyFill="1" applyBorder="1"/>
    <xf numFmtId="169" fontId="0" fillId="0" borderId="31" xfId="1" applyNumberFormat="1" applyFont="1" applyFill="1" applyBorder="1"/>
    <xf numFmtId="169" fontId="3" fillId="0" borderId="7" xfId="1" applyNumberFormat="1" applyFont="1" applyFill="1" applyBorder="1" applyAlignment="1">
      <alignment horizontal="center"/>
    </xf>
    <xf numFmtId="169" fontId="3" fillId="0" borderId="7" xfId="1" applyNumberFormat="1" applyFont="1" applyFill="1" applyBorder="1"/>
    <xf numFmtId="169" fontId="3" fillId="0" borderId="27" xfId="1" applyNumberFormat="1" applyFont="1" applyFill="1" applyBorder="1"/>
    <xf numFmtId="169" fontId="6" fillId="0" borderId="0" xfId="1" applyNumberFormat="1" applyFont="1" applyFill="1" applyBorder="1"/>
    <xf numFmtId="169" fontId="6" fillId="0" borderId="18" xfId="1" applyNumberFormat="1" applyFont="1" applyFill="1" applyBorder="1"/>
    <xf numFmtId="169" fontId="0" fillId="0" borderId="0" xfId="1" applyNumberFormat="1" applyFont="1" applyFill="1" applyBorder="1" applyAlignment="1">
      <alignment horizontal="right"/>
    </xf>
    <xf numFmtId="169" fontId="0" fillId="0" borderId="4" xfId="1" applyNumberFormat="1" applyFont="1" applyFill="1" applyBorder="1" applyAlignment="1">
      <alignment horizontal="right"/>
    </xf>
    <xf numFmtId="169" fontId="0" fillId="0" borderId="31" xfId="1" applyNumberFormat="1" applyFont="1" applyFill="1" applyBorder="1" applyAlignment="1">
      <alignment horizontal="right"/>
    </xf>
    <xf numFmtId="169" fontId="3" fillId="0" borderId="1" xfId="1" applyNumberFormat="1" applyFont="1" applyFill="1" applyBorder="1" applyAlignment="1">
      <alignment horizontal="center"/>
    </xf>
    <xf numFmtId="169" fontId="3" fillId="0" borderId="29" xfId="1" applyNumberFormat="1" applyFont="1" applyFill="1" applyBorder="1" applyAlignment="1">
      <alignment horizontal="center"/>
    </xf>
    <xf numFmtId="173" fontId="0" fillId="3" borderId="0" xfId="0" applyNumberFormat="1" applyFont="1" applyFill="1" applyBorder="1" applyAlignment="1">
      <alignment horizontal="center"/>
    </xf>
    <xf numFmtId="173" fontId="0" fillId="3" borderId="18" xfId="0" applyNumberFormat="1" applyFont="1" applyFill="1" applyBorder="1" applyAlignment="1">
      <alignment horizontal="center"/>
    </xf>
    <xf numFmtId="9" fontId="10" fillId="0" borderId="0" xfId="0" applyNumberFormat="1" applyFont="1" applyBorder="1" applyAlignment="1">
      <alignment horizontal="center" vertic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 applyAlignment="1">
      <alignment horizontal="center"/>
    </xf>
    <xf numFmtId="0" fontId="0" fillId="0" borderId="7" xfId="0" applyFont="1" applyBorder="1"/>
    <xf numFmtId="169" fontId="9" fillId="0" borderId="0" xfId="1" applyNumberFormat="1" applyFont="1" applyFill="1" applyBorder="1"/>
    <xf numFmtId="169" fontId="9" fillId="0" borderId="0" xfId="0" applyNumberFormat="1" applyFont="1" applyBorder="1"/>
    <xf numFmtId="169" fontId="0" fillId="0" borderId="0" xfId="0" applyNumberFormat="1" applyFont="1"/>
    <xf numFmtId="9" fontId="1" fillId="3" borderId="12" xfId="0" applyNumberFormat="1" applyFont="1" applyFill="1" applyBorder="1" applyAlignment="1">
      <alignment horizontal="center"/>
    </xf>
    <xf numFmtId="0" fontId="0" fillId="3" borderId="10" xfId="0" applyFont="1" applyFill="1" applyBorder="1"/>
    <xf numFmtId="0" fontId="0" fillId="0" borderId="1" xfId="0" applyFont="1" applyBorder="1" applyAlignment="1">
      <alignment horizontal="center"/>
    </xf>
    <xf numFmtId="0" fontId="0" fillId="6" borderId="39" xfId="0" applyFont="1" applyFill="1" applyBorder="1"/>
    <xf numFmtId="0" fontId="0" fillId="0" borderId="12" xfId="0" applyFont="1" applyBorder="1"/>
    <xf numFmtId="174" fontId="0" fillId="0" borderId="4" xfId="1" applyNumberFormat="1" applyFont="1" applyBorder="1"/>
    <xf numFmtId="0" fontId="0" fillId="0" borderId="40" xfId="0" applyFont="1" applyBorder="1"/>
    <xf numFmtId="0" fontId="0" fillId="0" borderId="11" xfId="0" applyFont="1" applyBorder="1"/>
    <xf numFmtId="0" fontId="1" fillId="0" borderId="0" xfId="0" applyFont="1"/>
    <xf numFmtId="2" fontId="0" fillId="3" borderId="0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169" fontId="3" fillId="2" borderId="35" xfId="0" applyNumberFormat="1" applyFont="1" applyFill="1" applyBorder="1" applyAlignment="1">
      <alignment horizontal="center" vertical="center"/>
    </xf>
    <xf numFmtId="169" fontId="3" fillId="2" borderId="36" xfId="0" applyNumberFormat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10" fontId="10" fillId="2" borderId="37" xfId="2" applyNumberFormat="1" applyFont="1" applyFill="1" applyBorder="1" applyAlignment="1">
      <alignment horizontal="center" vertical="center"/>
    </xf>
    <xf numFmtId="10" fontId="10" fillId="2" borderId="14" xfId="2" applyNumberFormat="1" applyFont="1" applyFill="1" applyBorder="1" applyAlignment="1">
      <alignment horizontal="center" vertical="center"/>
    </xf>
    <xf numFmtId="10" fontId="10" fillId="2" borderId="38" xfId="2" applyNumberFormat="1" applyFont="1" applyFill="1" applyBorder="1" applyAlignment="1">
      <alignment horizontal="center" vertical="center"/>
    </xf>
    <xf numFmtId="10" fontId="10" fillId="2" borderId="16" xfId="2" applyNumberFormat="1" applyFont="1" applyFill="1" applyBorder="1" applyAlignment="1">
      <alignment horizontal="center" vertical="center"/>
    </xf>
    <xf numFmtId="10" fontId="10" fillId="2" borderId="19" xfId="2" applyNumberFormat="1" applyFont="1" applyFill="1" applyBorder="1" applyAlignment="1">
      <alignment horizontal="center" vertical="center"/>
    </xf>
    <xf numFmtId="10" fontId="10" fillId="2" borderId="18" xfId="2" applyNumberFormat="1" applyFont="1" applyFill="1" applyBorder="1" applyAlignment="1">
      <alignment horizontal="center" vertical="center"/>
    </xf>
    <xf numFmtId="10" fontId="10" fillId="2" borderId="15" xfId="2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5" borderId="1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/>
    </xf>
    <xf numFmtId="0" fontId="9" fillId="0" borderId="8" xfId="0" applyNumberFormat="1" applyFont="1" applyBorder="1" applyAlignment="1">
      <alignment horizontal="left"/>
    </xf>
    <xf numFmtId="0" fontId="10" fillId="5" borderId="13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10" fontId="9" fillId="2" borderId="13" xfId="2" applyNumberFormat="1" applyFont="1" applyFill="1" applyBorder="1" applyAlignment="1">
      <alignment horizontal="center" vertical="center"/>
    </xf>
    <xf numFmtId="10" fontId="9" fillId="2" borderId="17" xfId="2" applyNumberFormat="1" applyFont="1" applyFill="1" applyBorder="1" applyAlignment="1">
      <alignment horizontal="center" vertical="center"/>
    </xf>
    <xf numFmtId="10" fontId="9" fillId="2" borderId="14" xfId="2" applyNumberFormat="1" applyFont="1" applyFill="1" applyBorder="1" applyAlignment="1">
      <alignment horizontal="center" vertical="center"/>
    </xf>
    <xf numFmtId="10" fontId="9" fillId="2" borderId="15" xfId="2" applyNumberFormat="1" applyFont="1" applyFill="1" applyBorder="1" applyAlignment="1">
      <alignment horizontal="center" vertical="center"/>
    </xf>
    <xf numFmtId="10" fontId="9" fillId="2" borderId="20" xfId="2" applyNumberFormat="1" applyFont="1" applyFill="1" applyBorder="1" applyAlignment="1">
      <alignment horizontal="center" vertical="center"/>
    </xf>
    <xf numFmtId="10" fontId="9" fillId="2" borderId="16" xfId="2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3" fillId="0" borderId="30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49" fontId="9" fillId="0" borderId="6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172" fontId="14" fillId="0" borderId="0" xfId="0" applyNumberFormat="1" applyFont="1" applyAlignment="1">
      <alignment horizontal="left"/>
    </xf>
  </cellXfs>
  <cellStyles count="283"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Monétaire" xfId="1" builtinId="4"/>
    <cellStyle name="Normal" xfId="0" builtinId="0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"/>
  <sheetViews>
    <sheetView tabSelected="1" showWhiteSpace="0" view="pageLayout" zoomScale="83" zoomScaleNormal="85" zoomScalePageLayoutView="83" workbookViewId="0">
      <selection activeCell="C69" sqref="C69"/>
    </sheetView>
  </sheetViews>
  <sheetFormatPr baseColWidth="10" defaultColWidth="11.453125" defaultRowHeight="12.5" x14ac:dyDescent="0.25"/>
  <cols>
    <col min="1" max="1" width="8" style="3" customWidth="1"/>
    <col min="2" max="2" width="16.453125" style="3" customWidth="1"/>
    <col min="3" max="3" width="12.453125" style="3" customWidth="1"/>
    <col min="4" max="4" width="12.453125" style="4" customWidth="1"/>
    <col min="5" max="5" width="11.81640625" style="3" customWidth="1"/>
    <col min="6" max="7" width="12" style="3" customWidth="1"/>
    <col min="8" max="8" width="12.1796875" style="3" customWidth="1"/>
    <col min="9" max="10" width="11.453125" style="3" customWidth="1"/>
    <col min="11" max="11" width="11.7265625" style="3" customWidth="1"/>
    <col min="12" max="12" width="13.453125" style="3" customWidth="1"/>
    <col min="13" max="16384" width="11.453125" style="3"/>
  </cols>
  <sheetData>
    <row r="1" spans="1:12" ht="14" x14ac:dyDescent="0.3">
      <c r="A1" s="23" t="s">
        <v>13</v>
      </c>
      <c r="B1" s="24" t="s">
        <v>39</v>
      </c>
      <c r="C1" s="14" t="s">
        <v>14</v>
      </c>
      <c r="D1" s="198" t="s">
        <v>40</v>
      </c>
      <c r="E1" s="199"/>
      <c r="F1" s="25" t="s">
        <v>11</v>
      </c>
      <c r="G1" s="26">
        <v>1859433</v>
      </c>
      <c r="H1" s="27" t="s">
        <v>12</v>
      </c>
      <c r="I1" s="27">
        <v>9</v>
      </c>
      <c r="J1" s="82"/>
      <c r="K1" s="29"/>
    </row>
    <row r="2" spans="1:12" ht="13" customHeight="1" x14ac:dyDescent="0.3">
      <c r="A2" s="23" t="s">
        <v>13</v>
      </c>
      <c r="B2" s="24" t="s">
        <v>41</v>
      </c>
      <c r="C2" s="14" t="s">
        <v>14</v>
      </c>
      <c r="D2" s="198" t="s">
        <v>42</v>
      </c>
      <c r="E2" s="199"/>
      <c r="F2" s="25" t="s">
        <v>11</v>
      </c>
      <c r="G2" s="26">
        <v>1926066</v>
      </c>
      <c r="H2" s="27" t="s">
        <v>12</v>
      </c>
      <c r="I2" s="27">
        <v>9</v>
      </c>
      <c r="J2" s="82"/>
      <c r="K2" s="29"/>
    </row>
    <row r="3" spans="1:12" ht="13" customHeight="1" x14ac:dyDescent="0.3">
      <c r="A3" s="23" t="s">
        <v>13</v>
      </c>
      <c r="B3" s="24"/>
      <c r="C3" s="14" t="s">
        <v>14</v>
      </c>
      <c r="D3" s="198"/>
      <c r="E3" s="199"/>
      <c r="F3" s="25" t="s">
        <v>11</v>
      </c>
      <c r="G3" s="26"/>
      <c r="H3" s="27" t="s">
        <v>12</v>
      </c>
      <c r="I3" s="27"/>
      <c r="J3" s="82"/>
      <c r="K3" s="29"/>
    </row>
    <row r="4" spans="1:12" ht="13" customHeight="1" x14ac:dyDescent="0.3">
      <c r="A4" s="28"/>
      <c r="B4" s="28"/>
      <c r="C4" s="29"/>
      <c r="D4" s="30"/>
      <c r="E4" s="31"/>
      <c r="F4" s="32"/>
      <c r="G4" s="32"/>
      <c r="H4" s="32"/>
      <c r="I4" s="32"/>
      <c r="J4" s="32"/>
      <c r="K4" s="32"/>
      <c r="L4" s="32"/>
    </row>
    <row r="5" spans="1:12" ht="14" x14ac:dyDescent="0.3">
      <c r="A5" s="33" t="s">
        <v>38</v>
      </c>
      <c r="B5" s="33"/>
      <c r="C5" s="193" t="s">
        <v>18</v>
      </c>
      <c r="D5" s="193"/>
      <c r="E5" s="193"/>
      <c r="F5" s="193"/>
      <c r="G5" s="193"/>
      <c r="H5" s="193"/>
      <c r="I5" s="193"/>
      <c r="J5" s="193"/>
      <c r="K5" s="193"/>
      <c r="L5" s="32"/>
    </row>
    <row r="6" spans="1:12" ht="14" x14ac:dyDescent="0.3">
      <c r="A6" s="33"/>
      <c r="B6" s="33"/>
      <c r="C6" s="33"/>
      <c r="D6" s="32"/>
      <c r="E6" s="34"/>
      <c r="F6" s="32"/>
      <c r="G6" s="32"/>
      <c r="H6" s="32"/>
      <c r="I6" s="32"/>
      <c r="J6" s="32"/>
      <c r="K6" s="32"/>
      <c r="L6" s="32"/>
    </row>
    <row r="7" spans="1:12" ht="14.5" thickBot="1" x14ac:dyDescent="0.35">
      <c r="A7" s="1" t="s">
        <v>20</v>
      </c>
      <c r="B7" s="33"/>
      <c r="C7" s="33"/>
      <c r="D7" s="32">
        <v>0</v>
      </c>
      <c r="E7" s="34">
        <v>1</v>
      </c>
      <c r="F7" s="32">
        <v>2</v>
      </c>
      <c r="G7" s="32">
        <v>3</v>
      </c>
      <c r="H7" s="32">
        <v>4</v>
      </c>
      <c r="I7" s="32">
        <v>5</v>
      </c>
      <c r="J7" s="32"/>
      <c r="K7" s="32"/>
      <c r="L7" s="32"/>
    </row>
    <row r="8" spans="1:12" ht="14" x14ac:dyDescent="0.3">
      <c r="A8" s="175" t="s">
        <v>35</v>
      </c>
      <c r="B8" s="176"/>
      <c r="C8" s="176"/>
      <c r="D8" s="176"/>
      <c r="E8" s="176"/>
      <c r="F8" s="176"/>
      <c r="G8" s="176"/>
      <c r="H8" s="176"/>
      <c r="I8" s="176"/>
      <c r="J8" s="176"/>
      <c r="K8" s="177"/>
      <c r="L8" s="32"/>
    </row>
    <row r="9" spans="1:12" ht="13" thickBot="1" x14ac:dyDescent="0.3">
      <c r="A9" s="178"/>
      <c r="B9" s="179"/>
      <c r="C9" s="179"/>
      <c r="D9" s="179"/>
      <c r="E9" s="179"/>
      <c r="F9" s="179"/>
      <c r="G9" s="179"/>
      <c r="H9" s="179"/>
      <c r="I9" s="179"/>
      <c r="J9" s="179"/>
      <c r="K9" s="180"/>
    </row>
    <row r="10" spans="1:12" ht="13" x14ac:dyDescent="0.3">
      <c r="A10" s="194" t="s">
        <v>4</v>
      </c>
      <c r="B10" s="192"/>
      <c r="C10" s="57" t="s">
        <v>9</v>
      </c>
      <c r="D10" s="58">
        <v>2019</v>
      </c>
      <c r="E10" s="58">
        <v>2020</v>
      </c>
      <c r="F10" s="58">
        <v>2021</v>
      </c>
      <c r="G10" s="58">
        <v>2022</v>
      </c>
      <c r="H10" s="58">
        <v>2023</v>
      </c>
      <c r="I10" s="58">
        <v>2024</v>
      </c>
      <c r="J10" s="58"/>
      <c r="K10" s="59"/>
    </row>
    <row r="11" spans="1:12" ht="13" x14ac:dyDescent="0.3">
      <c r="A11" s="166" t="s">
        <v>10</v>
      </c>
      <c r="B11" s="159"/>
      <c r="C11" s="122"/>
      <c r="D11" s="111"/>
      <c r="E11" s="111">
        <v>205</v>
      </c>
      <c r="F11" s="111">
        <f>(E11*0.04)+E11</f>
        <v>213.2</v>
      </c>
      <c r="G11" s="111">
        <f t="shared" ref="G11:I11" si="0">(F11*0.04)+F11</f>
        <v>221.72799999999998</v>
      </c>
      <c r="H11" s="111">
        <f t="shared" si="0"/>
        <v>230.59711999999999</v>
      </c>
      <c r="I11" s="111">
        <f t="shared" si="0"/>
        <v>239.8210048</v>
      </c>
      <c r="J11" s="111"/>
      <c r="K11" s="112"/>
    </row>
    <row r="12" spans="1:12" ht="13" x14ac:dyDescent="0.3">
      <c r="A12" s="166" t="s">
        <v>17</v>
      </c>
      <c r="B12" s="159"/>
      <c r="C12" s="74"/>
      <c r="D12" s="69"/>
      <c r="E12" s="69">
        <v>1890</v>
      </c>
      <c r="F12" s="69">
        <f>$E12</f>
        <v>1890</v>
      </c>
      <c r="G12" s="69">
        <f t="shared" ref="G12:I12" si="1">$E12</f>
        <v>1890</v>
      </c>
      <c r="H12" s="69">
        <f t="shared" si="1"/>
        <v>1890</v>
      </c>
      <c r="I12" s="69">
        <f t="shared" si="1"/>
        <v>1890</v>
      </c>
      <c r="J12" s="69"/>
      <c r="K12" s="70"/>
    </row>
    <row r="13" spans="1:12" ht="13" x14ac:dyDescent="0.3">
      <c r="A13" s="195" t="s">
        <v>8</v>
      </c>
      <c r="B13" s="196"/>
      <c r="C13" s="64"/>
      <c r="D13" s="89"/>
      <c r="E13" s="90">
        <f>$E12*E11</f>
        <v>387450</v>
      </c>
      <c r="F13" s="90">
        <f>$E12*F11</f>
        <v>402948</v>
      </c>
      <c r="G13" s="90">
        <f>$E12*G11</f>
        <v>419065.92</v>
      </c>
      <c r="H13" s="90">
        <f>$E12*H11</f>
        <v>435828.55679999996</v>
      </c>
      <c r="I13" s="90">
        <f>$E12*I11</f>
        <v>453261.69907199999</v>
      </c>
      <c r="J13" s="90"/>
      <c r="K13" s="91"/>
    </row>
    <row r="14" spans="1:12" ht="13" x14ac:dyDescent="0.3">
      <c r="A14" s="164" t="s">
        <v>6</v>
      </c>
      <c r="B14" s="165"/>
      <c r="C14" s="15"/>
      <c r="D14" s="92"/>
      <c r="E14" s="93"/>
      <c r="F14" s="93"/>
      <c r="G14" s="93"/>
      <c r="H14" s="93"/>
      <c r="I14" s="93"/>
      <c r="J14" s="93"/>
      <c r="K14" s="94"/>
    </row>
    <row r="15" spans="1:12" ht="13" x14ac:dyDescent="0.3">
      <c r="A15" s="80" t="s">
        <v>47</v>
      </c>
      <c r="B15" s="79"/>
      <c r="C15" s="16">
        <v>206</v>
      </c>
      <c r="D15" s="95"/>
      <c r="E15" s="95">
        <f>$C15*E11</f>
        <v>42230</v>
      </c>
      <c r="F15" s="95">
        <f>$C15*F11</f>
        <v>43919.199999999997</v>
      </c>
      <c r="G15" s="95">
        <f>$C15*G11</f>
        <v>45675.967999999993</v>
      </c>
      <c r="H15" s="95">
        <f>$C15*H11</f>
        <v>47503.006719999998</v>
      </c>
      <c r="I15" s="95">
        <f>$C15*I11</f>
        <v>49403.126988800002</v>
      </c>
      <c r="J15" s="95"/>
      <c r="K15" s="97"/>
    </row>
    <row r="16" spans="1:12" ht="13" x14ac:dyDescent="0.3">
      <c r="A16" s="80" t="s">
        <v>48</v>
      </c>
      <c r="B16" s="79"/>
      <c r="C16" s="16">
        <f>1.8*C15</f>
        <v>370.8</v>
      </c>
      <c r="D16" s="95"/>
      <c r="E16" s="96">
        <f>1.8*E15</f>
        <v>76014</v>
      </c>
      <c r="F16" s="96">
        <f>1.8*F15</f>
        <v>79054.559999999998</v>
      </c>
      <c r="G16" s="96">
        <f>1.8*G15</f>
        <v>82216.742399999988</v>
      </c>
      <c r="H16" s="96">
        <f>1.8*H15</f>
        <v>85505.412096</v>
      </c>
      <c r="I16" s="96">
        <f>1.8*I15</f>
        <v>88925.628579840006</v>
      </c>
      <c r="J16" s="96"/>
      <c r="K16" s="97"/>
    </row>
    <row r="17" spans="1:11" ht="13" x14ac:dyDescent="0.3">
      <c r="A17" s="80" t="s">
        <v>49</v>
      </c>
      <c r="B17" s="79"/>
      <c r="C17" s="16">
        <f>0.18*C16</f>
        <v>66.744</v>
      </c>
      <c r="D17" s="95"/>
      <c r="E17" s="96">
        <f>0.18*E16</f>
        <v>13682.519999999999</v>
      </c>
      <c r="F17" s="96">
        <f>0.18*F16</f>
        <v>14229.8208</v>
      </c>
      <c r="G17" s="96">
        <f>0.18*G16</f>
        <v>14799.013631999997</v>
      </c>
      <c r="H17" s="96">
        <f>0.18*H16</f>
        <v>15390.974177279999</v>
      </c>
      <c r="I17" s="96">
        <f>0.18*I16</f>
        <v>16006.6131443712</v>
      </c>
      <c r="J17" s="96"/>
      <c r="K17" s="97"/>
    </row>
    <row r="18" spans="1:11" ht="13" x14ac:dyDescent="0.3">
      <c r="A18" s="80" t="s">
        <v>50</v>
      </c>
      <c r="B18" s="79"/>
      <c r="C18" s="16"/>
      <c r="D18" s="95"/>
      <c r="E18" s="96"/>
      <c r="F18" s="96">
        <v>4800</v>
      </c>
      <c r="G18" s="96">
        <v>4800</v>
      </c>
      <c r="H18" s="96"/>
      <c r="I18" s="96"/>
      <c r="J18" s="96"/>
      <c r="K18" s="97"/>
    </row>
    <row r="19" spans="1:11" ht="13" x14ac:dyDescent="0.3">
      <c r="A19" s="80" t="s">
        <v>51</v>
      </c>
      <c r="B19" s="79"/>
      <c r="C19" s="16"/>
      <c r="D19" s="95"/>
      <c r="E19" s="96">
        <v>2000</v>
      </c>
      <c r="F19" s="96"/>
      <c r="G19" s="96"/>
      <c r="H19" s="96"/>
      <c r="I19" s="96"/>
      <c r="J19" s="96"/>
      <c r="K19" s="97"/>
    </row>
    <row r="20" spans="1:11" ht="13" x14ac:dyDescent="0.3">
      <c r="A20" s="80" t="s">
        <v>52</v>
      </c>
      <c r="B20" s="79"/>
      <c r="C20" s="17"/>
      <c r="D20" s="98"/>
      <c r="E20" s="99">
        <v>6000</v>
      </c>
      <c r="F20" s="99"/>
      <c r="G20" s="99"/>
      <c r="H20" s="99"/>
      <c r="I20" s="99"/>
      <c r="J20" s="99"/>
      <c r="K20" s="100"/>
    </row>
    <row r="21" spans="1:11" ht="13" x14ac:dyDescent="0.3">
      <c r="A21" s="195" t="s">
        <v>7</v>
      </c>
      <c r="B21" s="196"/>
      <c r="C21" s="64"/>
      <c r="D21" s="101"/>
      <c r="E21" s="102">
        <f>SUM(E15:E20)+'Calcul perso'!F24</f>
        <v>277820.00199273112</v>
      </c>
      <c r="F21" s="102">
        <f>SUM(F15:F20)+'Calcul perso'!G24</f>
        <v>281006.41912120202</v>
      </c>
      <c r="G21" s="102">
        <f>SUM(G15:G20)+'Calcul perso'!H24</f>
        <v>287504.41836459405</v>
      </c>
      <c r="H21" s="102">
        <f>SUM(H15:H20)+'Calcul perso'!I24</f>
        <v>289331.36739628244</v>
      </c>
      <c r="I21" s="102">
        <f>SUM(I15:I20)+'Calcul perso'!J24</f>
        <v>296104.17117696174</v>
      </c>
      <c r="J21" s="102"/>
      <c r="K21" s="103"/>
    </row>
    <row r="22" spans="1:11" ht="13" x14ac:dyDescent="0.3">
      <c r="A22" s="166" t="s">
        <v>5</v>
      </c>
      <c r="B22" s="159"/>
      <c r="C22" s="159"/>
      <c r="D22" s="96"/>
      <c r="E22" s="104"/>
      <c r="F22" s="104"/>
      <c r="G22" s="104"/>
      <c r="H22" s="104"/>
      <c r="I22" s="104"/>
      <c r="J22" s="104"/>
      <c r="K22" s="105"/>
    </row>
    <row r="23" spans="1:11" ht="13" x14ac:dyDescent="0.3">
      <c r="A23" s="164" t="s">
        <v>36</v>
      </c>
      <c r="B23" s="165"/>
      <c r="C23" s="15">
        <v>255000</v>
      </c>
      <c r="D23" s="92"/>
      <c r="E23" s="93"/>
      <c r="F23" s="93"/>
      <c r="G23" s="93"/>
      <c r="H23" s="93"/>
      <c r="I23" s="93"/>
      <c r="J23" s="93"/>
      <c r="K23" s="94"/>
    </row>
    <row r="24" spans="1:11" ht="13" x14ac:dyDescent="0.3">
      <c r="A24" s="166" t="s">
        <v>62</v>
      </c>
      <c r="B24" s="197"/>
      <c r="C24" s="18"/>
      <c r="D24" s="106">
        <f>0.48*C23</f>
        <v>122400</v>
      </c>
      <c r="E24" s="96"/>
      <c r="F24" s="96"/>
      <c r="G24" s="96"/>
      <c r="H24" s="96"/>
      <c r="I24" s="96"/>
      <c r="J24" s="96"/>
      <c r="K24" s="97"/>
    </row>
    <row r="25" spans="1:11" ht="13" x14ac:dyDescent="0.3">
      <c r="A25" s="166" t="s">
        <v>63</v>
      </c>
      <c r="B25" s="197"/>
      <c r="C25" s="18"/>
      <c r="D25" s="106">
        <f>C23-D24</f>
        <v>132600</v>
      </c>
      <c r="E25" s="96"/>
      <c r="F25" s="96"/>
      <c r="G25" s="96"/>
      <c r="H25" s="96"/>
      <c r="I25" s="96"/>
      <c r="J25" s="96"/>
      <c r="K25" s="97"/>
    </row>
    <row r="26" spans="1:11" ht="13" x14ac:dyDescent="0.3">
      <c r="A26" s="166" t="s">
        <v>64</v>
      </c>
      <c r="B26" s="197"/>
      <c r="C26" s="18"/>
      <c r="D26" s="106">
        <v>137900</v>
      </c>
      <c r="E26" s="96"/>
      <c r="F26" s="96"/>
      <c r="G26" s="96"/>
      <c r="H26" s="96"/>
      <c r="I26" s="96"/>
      <c r="J26" s="96"/>
      <c r="K26" s="97"/>
    </row>
    <row r="27" spans="1:11" ht="13" x14ac:dyDescent="0.3">
      <c r="A27" s="166" t="s">
        <v>65</v>
      </c>
      <c r="B27" s="197"/>
      <c r="C27" s="18"/>
      <c r="D27" s="106">
        <v>3000</v>
      </c>
      <c r="E27" s="96"/>
      <c r="F27" s="96"/>
      <c r="G27" s="96"/>
      <c r="H27" s="96"/>
      <c r="I27" s="96"/>
      <c r="J27" s="96"/>
      <c r="K27" s="97"/>
    </row>
    <row r="28" spans="1:11" ht="13" x14ac:dyDescent="0.3">
      <c r="A28" s="166"/>
      <c r="B28" s="197"/>
      <c r="C28" s="19"/>
      <c r="D28" s="107"/>
      <c r="E28" s="99"/>
      <c r="F28" s="99"/>
      <c r="G28" s="99"/>
      <c r="H28" s="99"/>
      <c r="I28" s="99"/>
      <c r="J28" s="99"/>
      <c r="K28" s="100"/>
    </row>
    <row r="29" spans="1:11" ht="13" x14ac:dyDescent="0.3">
      <c r="A29" s="164" t="s">
        <v>19</v>
      </c>
      <c r="B29" s="165"/>
      <c r="C29" s="61"/>
      <c r="D29" s="92"/>
      <c r="E29" s="93"/>
      <c r="F29" s="93"/>
      <c r="G29" s="93"/>
      <c r="H29" s="93"/>
      <c r="I29" s="93"/>
      <c r="J29" s="93"/>
      <c r="K29" s="94"/>
    </row>
    <row r="30" spans="1:11" ht="13" x14ac:dyDescent="0.3">
      <c r="A30" s="166" t="s">
        <v>62</v>
      </c>
      <c r="B30" s="197"/>
      <c r="C30" s="62"/>
      <c r="D30" s="95"/>
      <c r="E30" s="96"/>
      <c r="F30" s="96"/>
      <c r="G30" s="96"/>
      <c r="H30" s="96"/>
      <c r="I30" s="96">
        <f>0.7*D24</f>
        <v>85680</v>
      </c>
      <c r="J30" s="96"/>
      <c r="K30" s="97"/>
    </row>
    <row r="31" spans="1:11" ht="13" x14ac:dyDescent="0.3">
      <c r="A31" s="166" t="s">
        <v>63</v>
      </c>
      <c r="B31" s="197"/>
      <c r="C31" s="62"/>
      <c r="D31" s="95"/>
      <c r="E31" s="96"/>
      <c r="F31" s="96"/>
      <c r="G31" s="96"/>
      <c r="H31" s="96"/>
      <c r="I31" s="96">
        <f>1.55*D25</f>
        <v>205530</v>
      </c>
      <c r="J31" s="96"/>
      <c r="K31" s="97"/>
    </row>
    <row r="32" spans="1:11" ht="13" x14ac:dyDescent="0.3">
      <c r="A32" s="166" t="s">
        <v>64</v>
      </c>
      <c r="B32" s="197"/>
      <c r="C32" s="62"/>
      <c r="D32" s="95"/>
      <c r="E32" s="96"/>
      <c r="F32" s="96"/>
      <c r="G32" s="96"/>
      <c r="H32" s="96"/>
      <c r="I32" s="96">
        <f>137900-('Calcul perso'!F23+'Calcul perso'!G23+'Calcul perso'!H23+'Calcul perso'!I23+'Calcul perso'!J23)</f>
        <v>86199.791513480232</v>
      </c>
      <c r="J32" s="96"/>
      <c r="K32" s="97"/>
    </row>
    <row r="33" spans="1:11" ht="13" x14ac:dyDescent="0.3">
      <c r="A33" s="166" t="s">
        <v>65</v>
      </c>
      <c r="B33" s="197"/>
      <c r="C33" s="62"/>
      <c r="D33" s="95"/>
      <c r="E33" s="96"/>
      <c r="F33" s="96"/>
      <c r="G33" s="96"/>
      <c r="H33" s="96"/>
      <c r="I33" s="96">
        <f>0.84*D27</f>
        <v>2520</v>
      </c>
      <c r="J33" s="96"/>
      <c r="K33" s="52"/>
    </row>
    <row r="34" spans="1:11" ht="13" x14ac:dyDescent="0.3">
      <c r="A34" s="194"/>
      <c r="B34" s="192"/>
      <c r="C34" s="63"/>
      <c r="D34" s="98"/>
      <c r="E34" s="99"/>
      <c r="F34" s="99"/>
      <c r="G34" s="99"/>
      <c r="H34" s="99"/>
      <c r="I34" s="99"/>
      <c r="J34" s="99"/>
      <c r="K34" s="108"/>
    </row>
    <row r="35" spans="1:11" ht="13" x14ac:dyDescent="0.3">
      <c r="A35" s="164" t="s">
        <v>0</v>
      </c>
      <c r="B35" s="165"/>
      <c r="C35" s="20"/>
      <c r="D35" s="109">
        <f t="shared" ref="D35:I35" si="2">D13-D21-SUM(D23:D28)+SUM(D30:D34)</f>
        <v>-395900</v>
      </c>
      <c r="E35" s="109">
        <f t="shared" si="2"/>
        <v>109629.99800726888</v>
      </c>
      <c r="F35" s="109">
        <f t="shared" si="2"/>
        <v>121941.58087879798</v>
      </c>
      <c r="G35" s="109">
        <f t="shared" si="2"/>
        <v>131561.50163540593</v>
      </c>
      <c r="H35" s="109">
        <f t="shared" si="2"/>
        <v>146497.18940371752</v>
      </c>
      <c r="I35" s="109">
        <f t="shared" si="2"/>
        <v>537087.3194085185</v>
      </c>
      <c r="J35" s="109"/>
      <c r="K35" s="110"/>
    </row>
    <row r="36" spans="1:11" ht="13" x14ac:dyDescent="0.3">
      <c r="A36" s="166" t="s">
        <v>1</v>
      </c>
      <c r="B36" s="159"/>
      <c r="C36" s="21">
        <v>0.08</v>
      </c>
      <c r="D36" s="131">
        <f t="shared" ref="D36:I36" si="3">(1+$C36)^(-D$7)</f>
        <v>1</v>
      </c>
      <c r="E36" s="131">
        <f t="shared" si="3"/>
        <v>0.92592592592592582</v>
      </c>
      <c r="F36" s="131">
        <f t="shared" si="3"/>
        <v>0.85733882030178321</v>
      </c>
      <c r="G36" s="131">
        <f t="shared" si="3"/>
        <v>0.79383224102016958</v>
      </c>
      <c r="H36" s="131">
        <f t="shared" si="3"/>
        <v>0.73502985279645328</v>
      </c>
      <c r="I36" s="131">
        <f t="shared" si="3"/>
        <v>0.68058319703375303</v>
      </c>
      <c r="J36" s="67"/>
      <c r="K36" s="68"/>
    </row>
    <row r="37" spans="1:11" ht="12" customHeight="1" thickBot="1" x14ac:dyDescent="0.35">
      <c r="A37" s="160" t="s">
        <v>2</v>
      </c>
      <c r="B37" s="161"/>
      <c r="C37" s="53"/>
      <c r="D37" s="54">
        <f t="shared" ref="D37:I37" si="4">D36*D35</f>
        <v>-395900</v>
      </c>
      <c r="E37" s="54">
        <f t="shared" si="4"/>
        <v>101509.25741413784</v>
      </c>
      <c r="F37" s="54">
        <f t="shared" si="4"/>
        <v>104545.25109636314</v>
      </c>
      <c r="G37" s="54">
        <f t="shared" si="4"/>
        <v>104437.761675213</v>
      </c>
      <c r="H37" s="54">
        <f t="shared" si="4"/>
        <v>107679.80756250862</v>
      </c>
      <c r="I37" s="54">
        <f t="shared" si="4"/>
        <v>365532.60492933798</v>
      </c>
      <c r="J37" s="55"/>
      <c r="K37" s="56"/>
    </row>
    <row r="38" spans="1:11" ht="13.5" thickBot="1" x14ac:dyDescent="0.35">
      <c r="A38" s="162" t="s">
        <v>3</v>
      </c>
      <c r="B38" s="163"/>
      <c r="C38" s="135">
        <f>SUM(D37:I37)</f>
        <v>387804.68267756054</v>
      </c>
      <c r="D38" s="136"/>
      <c r="E38" s="2"/>
      <c r="F38" s="2"/>
      <c r="G38" s="2"/>
      <c r="H38" s="2"/>
      <c r="I38" s="2"/>
      <c r="J38" s="2"/>
      <c r="K38" s="2"/>
    </row>
    <row r="39" spans="1:11" ht="13" x14ac:dyDescent="0.3">
      <c r="A39" s="132"/>
      <c r="B39" s="132"/>
      <c r="C39" s="22"/>
      <c r="D39" s="22"/>
      <c r="E39" s="2"/>
      <c r="F39" s="2"/>
      <c r="G39" s="2"/>
      <c r="H39" s="2"/>
      <c r="I39" s="2"/>
      <c r="J39" s="2"/>
      <c r="K39" s="2"/>
    </row>
    <row r="40" spans="1:11" ht="13.5" thickBot="1" x14ac:dyDescent="0.35">
      <c r="A40" s="159" t="s">
        <v>21</v>
      </c>
      <c r="B40" s="159"/>
      <c r="C40" s="13"/>
      <c r="D40" s="13"/>
      <c r="E40" s="2"/>
      <c r="F40" s="2"/>
      <c r="G40" s="2"/>
      <c r="H40" s="2"/>
      <c r="I40" s="2"/>
      <c r="J40" s="2"/>
      <c r="K40" s="2"/>
    </row>
    <row r="41" spans="1:11" x14ac:dyDescent="0.25">
      <c r="A41" s="167" t="s">
        <v>15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9"/>
    </row>
    <row r="42" spans="1:11" ht="13" thickBot="1" x14ac:dyDescent="0.3">
      <c r="A42" s="170"/>
      <c r="B42" s="171"/>
      <c r="C42" s="171"/>
      <c r="D42" s="171"/>
      <c r="E42" s="171"/>
      <c r="F42" s="171"/>
      <c r="G42" s="171"/>
      <c r="H42" s="171"/>
      <c r="I42" s="171"/>
      <c r="J42" s="171"/>
      <c r="K42" s="172"/>
    </row>
    <row r="43" spans="1:11" ht="13" x14ac:dyDescent="0.3">
      <c r="A43" s="164" t="s">
        <v>0</v>
      </c>
      <c r="B43" s="165"/>
      <c r="C43" s="20"/>
      <c r="D43" s="109">
        <f t="shared" ref="D43:I43" si="5">D35</f>
        <v>-395900</v>
      </c>
      <c r="E43" s="109">
        <f t="shared" si="5"/>
        <v>109629.99800726888</v>
      </c>
      <c r="F43" s="109">
        <f t="shared" si="5"/>
        <v>121941.58087879798</v>
      </c>
      <c r="G43" s="109">
        <f t="shared" si="5"/>
        <v>131561.50163540593</v>
      </c>
      <c r="H43" s="109">
        <f t="shared" si="5"/>
        <v>146497.18940371752</v>
      </c>
      <c r="I43" s="109">
        <f t="shared" si="5"/>
        <v>537087.3194085185</v>
      </c>
      <c r="J43" s="109"/>
      <c r="K43" s="110"/>
    </row>
    <row r="44" spans="1:11" ht="13" x14ac:dyDescent="0.3">
      <c r="A44" s="166" t="s">
        <v>1</v>
      </c>
      <c r="B44" s="159"/>
      <c r="C44" s="21">
        <v>0.32</v>
      </c>
      <c r="D44" s="131">
        <f>(1+$C44)^(D$7)</f>
        <v>1</v>
      </c>
      <c r="E44" s="131">
        <f>(1+$C44)^(-E$7)</f>
        <v>0.75757575757575757</v>
      </c>
      <c r="F44" s="131">
        <f>(1+$C44)^(-F$7)</f>
        <v>0.57392102846648296</v>
      </c>
      <c r="G44" s="131">
        <f>(1+$C44)^(-G$7)</f>
        <v>0.43478865792915378</v>
      </c>
      <c r="H44" s="131">
        <f>(1+$C44)^(-H$7)</f>
        <v>0.32938534691602556</v>
      </c>
      <c r="I44" s="131">
        <f>(1+$C44)^(-I$7)</f>
        <v>0.24953435372426175</v>
      </c>
      <c r="J44" s="67"/>
      <c r="K44" s="68"/>
    </row>
    <row r="45" spans="1:11" ht="13.5" thickBot="1" x14ac:dyDescent="0.35">
      <c r="A45" s="160" t="s">
        <v>2</v>
      </c>
      <c r="B45" s="161"/>
      <c r="C45" s="53"/>
      <c r="D45" s="54">
        <f t="shared" ref="D45:I45" si="6">D44*D43</f>
        <v>-395900</v>
      </c>
      <c r="E45" s="54">
        <f t="shared" si="6"/>
        <v>83053.028793385514</v>
      </c>
      <c r="F45" s="54">
        <f t="shared" si="6"/>
        <v>69984.837510788551</v>
      </c>
      <c r="G45" s="54">
        <f t="shared" si="6"/>
        <v>57201.448731202312</v>
      </c>
      <c r="H45" s="54">
        <f t="shared" si="6"/>
        <v>48254.027553966196</v>
      </c>
      <c r="I45" s="54">
        <f t="shared" si="6"/>
        <v>134021.73714210081</v>
      </c>
      <c r="J45" s="55"/>
      <c r="K45" s="56"/>
    </row>
    <row r="46" spans="1:11" ht="13.5" thickBot="1" x14ac:dyDescent="0.35">
      <c r="A46" s="162" t="s">
        <v>3</v>
      </c>
      <c r="B46" s="163"/>
      <c r="C46" s="135">
        <f>SUM(D45:I45)</f>
        <v>-3384.920268556627</v>
      </c>
      <c r="D46" s="136"/>
      <c r="E46" s="2"/>
      <c r="F46" s="2"/>
      <c r="G46" s="2"/>
      <c r="H46" s="2"/>
      <c r="I46" s="2"/>
      <c r="J46" s="2"/>
      <c r="K46" s="2"/>
    </row>
    <row r="47" spans="1:11" ht="13" x14ac:dyDescent="0.3">
      <c r="A47" s="158"/>
      <c r="B47" s="159"/>
      <c r="C47" s="2"/>
      <c r="D47" s="7"/>
      <c r="E47" s="2"/>
      <c r="F47" s="2"/>
      <c r="G47" s="2"/>
      <c r="H47" s="2"/>
      <c r="I47" s="2"/>
      <c r="J47" s="2"/>
      <c r="K47" s="9"/>
    </row>
    <row r="48" spans="1:11" ht="13" x14ac:dyDescent="0.3">
      <c r="A48" s="158"/>
      <c r="B48" s="159"/>
      <c r="C48" s="2"/>
      <c r="D48" s="7"/>
      <c r="E48" s="2"/>
      <c r="F48" s="2"/>
      <c r="G48" s="2"/>
      <c r="H48" s="2"/>
      <c r="I48" s="2"/>
      <c r="J48" s="2"/>
      <c r="K48" s="9"/>
    </row>
    <row r="49" spans="1:11" ht="13" x14ac:dyDescent="0.3">
      <c r="A49" s="164" t="s">
        <v>0</v>
      </c>
      <c r="B49" s="165"/>
      <c r="C49" s="20"/>
      <c r="D49" s="109">
        <f>D43</f>
        <v>-395900</v>
      </c>
      <c r="E49" s="109">
        <f>E35</f>
        <v>109629.99800726888</v>
      </c>
      <c r="F49" s="109">
        <f>F43</f>
        <v>121941.58087879798</v>
      </c>
      <c r="G49" s="109">
        <f>G43</f>
        <v>131561.50163540593</v>
      </c>
      <c r="H49" s="109">
        <f>H43</f>
        <v>146497.18940371752</v>
      </c>
      <c r="I49" s="109">
        <f>I43</f>
        <v>537087.3194085185</v>
      </c>
      <c r="J49" s="109"/>
      <c r="K49" s="110"/>
    </row>
    <row r="50" spans="1:11" ht="13" x14ac:dyDescent="0.3">
      <c r="A50" s="166" t="s">
        <v>1</v>
      </c>
      <c r="B50" s="159"/>
      <c r="C50" s="21">
        <v>0.31</v>
      </c>
      <c r="D50" s="131">
        <f t="shared" ref="D50:I50" si="7">(1+$C50)^(-D$7)</f>
        <v>1</v>
      </c>
      <c r="E50" s="131">
        <f t="shared" si="7"/>
        <v>0.76335877862595414</v>
      </c>
      <c r="F50" s="131">
        <f t="shared" si="7"/>
        <v>0.58271662490530851</v>
      </c>
      <c r="G50" s="131">
        <f t="shared" si="7"/>
        <v>0.44482185107275451</v>
      </c>
      <c r="H50" s="131">
        <f t="shared" si="7"/>
        <v>0.33955866494103398</v>
      </c>
      <c r="I50" s="131">
        <f t="shared" si="7"/>
        <v>0.25920508774124729</v>
      </c>
      <c r="J50" s="67"/>
      <c r="K50" s="68"/>
    </row>
    <row r="51" spans="1:11" ht="13.5" thickBot="1" x14ac:dyDescent="0.35">
      <c r="A51" s="160" t="s">
        <v>2</v>
      </c>
      <c r="B51" s="161"/>
      <c r="C51" s="53"/>
      <c r="D51" s="54">
        <f t="shared" ref="D51:I51" si="8">D50*D49</f>
        <v>-395900</v>
      </c>
      <c r="E51" s="54">
        <f t="shared" si="8"/>
        <v>83687.02137959456</v>
      </c>
      <c r="F51" s="54">
        <f t="shared" si="8"/>
        <v>71057.386445310854</v>
      </c>
      <c r="G51" s="54">
        <f t="shared" si="8"/>
        <v>58521.430687372485</v>
      </c>
      <c r="H51" s="54">
        <f t="shared" si="8"/>
        <v>49744.390051540111</v>
      </c>
      <c r="I51" s="54">
        <f t="shared" si="8"/>
        <v>139215.76575199634</v>
      </c>
      <c r="J51" s="55"/>
      <c r="K51" s="56"/>
    </row>
    <row r="52" spans="1:11" ht="13.5" thickBot="1" x14ac:dyDescent="0.35">
      <c r="A52" s="162" t="s">
        <v>3</v>
      </c>
      <c r="B52" s="163"/>
      <c r="C52" s="135">
        <f>SUM(D51:I51)</f>
        <v>6325.9943158143433</v>
      </c>
      <c r="D52" s="136"/>
      <c r="E52" s="2"/>
      <c r="F52" s="2"/>
      <c r="G52" s="2"/>
      <c r="H52" s="2"/>
      <c r="I52" s="2"/>
      <c r="J52" s="2"/>
      <c r="K52" s="2"/>
    </row>
    <row r="53" spans="1:11" ht="13" x14ac:dyDescent="0.3">
      <c r="A53" s="158"/>
      <c r="B53" s="159"/>
      <c r="C53" s="2"/>
      <c r="D53" s="7"/>
      <c r="E53" s="2"/>
      <c r="F53" s="2"/>
      <c r="G53" s="2"/>
      <c r="H53" s="2"/>
      <c r="I53" s="2"/>
      <c r="J53" s="2"/>
      <c r="K53" s="9"/>
    </row>
    <row r="54" spans="1:11" ht="13" x14ac:dyDescent="0.3">
      <c r="A54" s="158"/>
      <c r="B54" s="159"/>
      <c r="C54" s="2"/>
      <c r="D54" s="7"/>
      <c r="E54" s="2"/>
      <c r="F54" s="10"/>
      <c r="G54" s="2"/>
      <c r="H54" s="2"/>
      <c r="I54" s="2"/>
      <c r="J54" s="2"/>
      <c r="K54" s="9"/>
    </row>
    <row r="55" spans="1:11" ht="13" x14ac:dyDescent="0.3">
      <c r="A55" s="158"/>
      <c r="B55" s="159"/>
      <c r="C55" s="2"/>
      <c r="D55" s="7"/>
      <c r="E55" s="2"/>
      <c r="F55" s="11"/>
      <c r="G55" s="2"/>
      <c r="H55" s="2"/>
      <c r="I55" s="2"/>
      <c r="J55" s="2"/>
      <c r="K55" s="9"/>
    </row>
    <row r="56" spans="1:11" ht="13" x14ac:dyDescent="0.3">
      <c r="A56" s="158"/>
      <c r="B56" s="159"/>
      <c r="C56" s="2"/>
      <c r="D56" s="7"/>
      <c r="E56" s="2"/>
      <c r="F56" s="11"/>
      <c r="G56" s="2"/>
      <c r="H56" s="2"/>
      <c r="I56" s="2"/>
      <c r="J56" s="2"/>
      <c r="K56" s="9"/>
    </row>
    <row r="57" spans="1:11" ht="13" x14ac:dyDescent="0.3">
      <c r="A57" s="158"/>
      <c r="B57" s="159"/>
      <c r="C57" s="2"/>
      <c r="D57" s="7"/>
      <c r="E57" s="2"/>
      <c r="F57" s="12"/>
      <c r="G57" s="2"/>
      <c r="H57" s="2"/>
      <c r="I57" s="2"/>
      <c r="J57" s="2"/>
      <c r="K57" s="9"/>
    </row>
    <row r="58" spans="1:11" ht="13" x14ac:dyDescent="0.3">
      <c r="A58" s="158"/>
      <c r="B58" s="159"/>
      <c r="C58" s="2"/>
      <c r="D58" s="7"/>
      <c r="E58" s="2"/>
      <c r="F58" s="8"/>
      <c r="G58" s="2"/>
      <c r="H58" s="2"/>
      <c r="I58" s="2"/>
      <c r="J58" s="2"/>
      <c r="K58" s="9"/>
    </row>
    <row r="59" spans="1:11" ht="13" x14ac:dyDescent="0.3">
      <c r="A59" s="158"/>
      <c r="B59" s="159"/>
      <c r="C59" s="2"/>
      <c r="D59" s="7"/>
      <c r="E59" s="2"/>
      <c r="F59" s="8"/>
      <c r="G59" s="2"/>
      <c r="H59" s="2"/>
      <c r="I59" s="2"/>
      <c r="J59" s="2"/>
      <c r="K59" s="9"/>
    </row>
    <row r="60" spans="1:11" ht="13" x14ac:dyDescent="0.3">
      <c r="A60" s="158"/>
      <c r="B60" s="159"/>
      <c r="C60" s="2"/>
      <c r="D60" s="7"/>
      <c r="E60" s="2"/>
      <c r="F60" s="8"/>
      <c r="G60" s="2"/>
      <c r="H60" s="2"/>
      <c r="I60" s="2"/>
      <c r="J60" s="2"/>
      <c r="K60" s="9"/>
    </row>
    <row r="61" spans="1:11" ht="13" x14ac:dyDescent="0.3">
      <c r="A61" s="158"/>
      <c r="B61" s="159"/>
      <c r="C61" s="2"/>
      <c r="D61" s="7"/>
      <c r="E61" s="2"/>
      <c r="F61" s="8"/>
      <c r="G61" s="2"/>
      <c r="H61" s="2"/>
      <c r="I61" s="2"/>
      <c r="J61" s="2"/>
      <c r="K61" s="9"/>
    </row>
    <row r="62" spans="1:11" ht="13.5" thickBot="1" x14ac:dyDescent="0.35">
      <c r="A62" s="158"/>
      <c r="B62" s="159"/>
      <c r="C62" s="2"/>
      <c r="D62" s="7"/>
      <c r="E62" s="2"/>
      <c r="F62" s="8"/>
      <c r="G62" s="2"/>
      <c r="H62" s="2"/>
      <c r="I62" s="2"/>
      <c r="J62" s="2"/>
      <c r="K62" s="9"/>
    </row>
    <row r="63" spans="1:11" ht="13" x14ac:dyDescent="0.3">
      <c r="A63" s="158"/>
      <c r="B63" s="159"/>
      <c r="C63" s="2"/>
      <c r="D63" s="7"/>
      <c r="E63" s="2"/>
      <c r="F63" s="181" t="s">
        <v>16</v>
      </c>
      <c r="G63" s="182"/>
      <c r="H63" s="185">
        <f>C44+(C46/(C46-C52))*(C50-C44)</f>
        <v>0.31651431362190702</v>
      </c>
      <c r="I63" s="186"/>
      <c r="J63" s="186"/>
      <c r="K63" s="187"/>
    </row>
    <row r="64" spans="1:11" ht="13.5" thickBot="1" x14ac:dyDescent="0.35">
      <c r="A64" s="191"/>
      <c r="B64" s="192"/>
      <c r="C64" s="5"/>
      <c r="D64" s="6"/>
      <c r="E64" s="5"/>
      <c r="F64" s="183"/>
      <c r="G64" s="184"/>
      <c r="H64" s="188"/>
      <c r="I64" s="189"/>
      <c r="J64" s="189"/>
      <c r="K64" s="190"/>
    </row>
    <row r="65" spans="1:20" ht="13" x14ac:dyDescent="0.3">
      <c r="A65" s="159"/>
      <c r="B65" s="159"/>
      <c r="C65" s="2"/>
      <c r="D65" s="7"/>
      <c r="E65" s="2"/>
      <c r="F65" s="2"/>
      <c r="G65" s="2"/>
      <c r="H65" s="2"/>
      <c r="I65" s="2"/>
      <c r="J65" s="2"/>
      <c r="K65" s="2"/>
    </row>
    <row r="69" spans="1:20" ht="14" x14ac:dyDescent="0.3">
      <c r="E69" s="76">
        <f ca="1">NOW()</f>
        <v>43798.547121412033</v>
      </c>
      <c r="F69" s="200">
        <f ca="1">NOW()</f>
        <v>43798.547121412033</v>
      </c>
      <c r="G69" s="200"/>
      <c r="H69" s="200"/>
      <c r="I69" s="77"/>
      <c r="J69" s="77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2" spans="1:20" x14ac:dyDescent="0.25">
      <c r="I72" s="2"/>
    </row>
    <row r="73" spans="1:20" ht="14" x14ac:dyDescent="0.3">
      <c r="A73" s="23" t="s">
        <v>13</v>
      </c>
      <c r="B73" s="60" t="s">
        <v>39</v>
      </c>
      <c r="C73" s="14" t="s">
        <v>14</v>
      </c>
      <c r="D73" s="173" t="s">
        <v>40</v>
      </c>
      <c r="E73" s="174"/>
      <c r="F73" s="25" t="s">
        <v>11</v>
      </c>
      <c r="G73" s="35">
        <v>1859433</v>
      </c>
      <c r="H73" s="81" t="s">
        <v>12</v>
      </c>
      <c r="I73" s="27">
        <v>9</v>
      </c>
      <c r="J73" s="82"/>
      <c r="K73" s="38"/>
    </row>
    <row r="74" spans="1:20" ht="14" x14ac:dyDescent="0.3">
      <c r="A74" s="23" t="s">
        <v>13</v>
      </c>
      <c r="B74" s="60" t="s">
        <v>41</v>
      </c>
      <c r="C74" s="14" t="s">
        <v>14</v>
      </c>
      <c r="D74" s="173" t="s">
        <v>42</v>
      </c>
      <c r="E74" s="174"/>
      <c r="F74" s="25" t="s">
        <v>11</v>
      </c>
      <c r="G74" s="35">
        <v>1926066</v>
      </c>
      <c r="H74" s="81" t="s">
        <v>12</v>
      </c>
      <c r="I74" s="27">
        <v>9</v>
      </c>
      <c r="J74" s="82"/>
      <c r="K74" s="38"/>
    </row>
    <row r="75" spans="1:20" ht="14" x14ac:dyDescent="0.3">
      <c r="A75" s="23" t="s">
        <v>13</v>
      </c>
      <c r="B75" s="60" t="str">
        <f t="shared" ref="B75" si="9">IF(B3&lt;=1," ",B3)</f>
        <v xml:space="preserve"> </v>
      </c>
      <c r="C75" s="14" t="s">
        <v>14</v>
      </c>
      <c r="D75" s="173" t="str">
        <f t="shared" ref="D75" si="10">IF(D3&lt;=1," ",D3)</f>
        <v xml:space="preserve"> </v>
      </c>
      <c r="E75" s="174"/>
      <c r="F75" s="25" t="s">
        <v>11</v>
      </c>
      <c r="G75" s="35" t="str">
        <f t="shared" ref="G75" si="11">IF(G3&lt;=1," ",G3)</f>
        <v xml:space="preserve"> </v>
      </c>
      <c r="H75" s="81" t="s">
        <v>12</v>
      </c>
      <c r="I75" s="27"/>
      <c r="J75" s="82"/>
      <c r="K75" s="38"/>
    </row>
    <row r="78" spans="1:20" ht="14.5" thickBot="1" x14ac:dyDescent="0.35">
      <c r="A78" s="36" t="s">
        <v>22</v>
      </c>
      <c r="B78" s="32"/>
      <c r="C78" s="32"/>
      <c r="D78" s="32"/>
      <c r="E78" s="32"/>
      <c r="F78" s="32"/>
      <c r="G78" s="32"/>
      <c r="H78" s="32"/>
      <c r="I78" s="32"/>
      <c r="J78" s="32"/>
    </row>
    <row r="79" spans="1:20" ht="14.15" customHeight="1" x14ac:dyDescent="0.25">
      <c r="A79" s="175" t="s">
        <v>23</v>
      </c>
      <c r="B79" s="176"/>
      <c r="C79" s="176"/>
      <c r="D79" s="176"/>
      <c r="E79" s="176"/>
      <c r="F79" s="176"/>
      <c r="G79" s="176"/>
      <c r="H79" s="177"/>
      <c r="I79" s="83"/>
      <c r="J79" s="83"/>
    </row>
    <row r="80" spans="1:20" ht="14.5" thickBot="1" x14ac:dyDescent="0.3">
      <c r="A80" s="178"/>
      <c r="B80" s="179"/>
      <c r="C80" s="179"/>
      <c r="D80" s="179"/>
      <c r="E80" s="179"/>
      <c r="F80" s="179"/>
      <c r="G80" s="179"/>
      <c r="H80" s="180"/>
      <c r="I80" s="83"/>
      <c r="J80" s="84"/>
    </row>
    <row r="81" spans="1:10" ht="14" x14ac:dyDescent="0.3">
      <c r="A81" s="37" t="s">
        <v>24</v>
      </c>
      <c r="B81" s="38"/>
      <c r="C81" s="113">
        <v>0.06</v>
      </c>
      <c r="D81" s="29"/>
      <c r="E81" s="29"/>
      <c r="F81" s="29"/>
      <c r="G81" s="29"/>
      <c r="H81" s="39"/>
      <c r="I81" s="85"/>
      <c r="J81" s="85"/>
    </row>
    <row r="82" spans="1:10" ht="14" x14ac:dyDescent="0.3">
      <c r="A82" s="37" t="s">
        <v>25</v>
      </c>
      <c r="B82" s="38"/>
      <c r="C82" s="113">
        <v>0.12</v>
      </c>
      <c r="D82" s="29"/>
      <c r="E82" s="29"/>
      <c r="F82" s="29"/>
      <c r="G82" s="29"/>
      <c r="H82" s="39"/>
      <c r="I82" s="85"/>
      <c r="J82" s="85"/>
    </row>
    <row r="83" spans="1:10" ht="14" x14ac:dyDescent="0.3">
      <c r="A83" s="40"/>
      <c r="B83" s="38"/>
      <c r="C83" s="29"/>
      <c r="D83" s="29"/>
      <c r="E83" s="29"/>
      <c r="F83" s="29"/>
      <c r="G83" s="29"/>
      <c r="H83" s="39"/>
      <c r="I83" s="85"/>
      <c r="J83" s="85"/>
    </row>
    <row r="84" spans="1:10" ht="14" x14ac:dyDescent="0.3">
      <c r="A84" s="37" t="s">
        <v>26</v>
      </c>
      <c r="B84" s="41"/>
      <c r="C84" s="42">
        <v>0</v>
      </c>
      <c r="D84" s="42">
        <v>1</v>
      </c>
      <c r="E84" s="42">
        <v>2</v>
      </c>
      <c r="F84" s="42">
        <v>3</v>
      </c>
      <c r="G84" s="42">
        <v>4</v>
      </c>
      <c r="H84" s="43"/>
      <c r="I84" s="86"/>
      <c r="J84" s="86"/>
    </row>
    <row r="85" spans="1:10" ht="14" x14ac:dyDescent="0.3">
      <c r="A85" s="40" t="s">
        <v>43</v>
      </c>
      <c r="B85" s="38"/>
      <c r="C85" s="29">
        <v>0</v>
      </c>
      <c r="D85" s="29">
        <v>284</v>
      </c>
      <c r="E85" s="29">
        <v>338</v>
      </c>
      <c r="F85" s="29">
        <v>462</v>
      </c>
      <c r="G85" s="29">
        <v>675</v>
      </c>
      <c r="H85" s="43"/>
      <c r="I85" s="86"/>
      <c r="J85" s="86"/>
    </row>
    <row r="86" spans="1:10" ht="14" x14ac:dyDescent="0.3">
      <c r="A86" s="40" t="s">
        <v>44</v>
      </c>
      <c r="B86" s="29"/>
      <c r="C86" s="29">
        <v>270</v>
      </c>
      <c r="D86" s="29">
        <v>108</v>
      </c>
      <c r="E86" s="29">
        <v>405</v>
      </c>
      <c r="F86" s="29">
        <v>473</v>
      </c>
      <c r="G86" s="29">
        <v>608</v>
      </c>
      <c r="H86" s="39"/>
      <c r="I86" s="85"/>
      <c r="J86" s="85"/>
    </row>
    <row r="87" spans="1:10" ht="14" x14ac:dyDescent="0.3">
      <c r="A87" s="40" t="s">
        <v>1</v>
      </c>
      <c r="B87" s="29"/>
      <c r="C87" s="29">
        <f>(1+$C82)^(-C84)</f>
        <v>1</v>
      </c>
      <c r="D87" s="29">
        <f>(1+$C82)^(-D84)</f>
        <v>0.89285714285714279</v>
      </c>
      <c r="E87" s="29">
        <f>(1+$C82)^(-E84)</f>
        <v>0.79719387755102034</v>
      </c>
      <c r="F87" s="29">
        <f>(1+$C82)^(-F84)</f>
        <v>0.71178024781341087</v>
      </c>
      <c r="G87" s="29">
        <f>(1+$C82)^(-G84)</f>
        <v>0.63551807840483121</v>
      </c>
      <c r="H87" s="39"/>
      <c r="I87" s="85"/>
      <c r="J87" s="85"/>
    </row>
    <row r="88" spans="1:10" ht="14" x14ac:dyDescent="0.3">
      <c r="A88" s="40" t="s">
        <v>61</v>
      </c>
      <c r="B88" s="29"/>
      <c r="C88" s="29">
        <f>(1+$C81)^(C84)</f>
        <v>1</v>
      </c>
      <c r="D88" s="29">
        <f t="shared" ref="D88:G88" si="12">(1+$C81)^(D84)</f>
        <v>1.06</v>
      </c>
      <c r="E88" s="29">
        <f t="shared" si="12"/>
        <v>1.1236000000000002</v>
      </c>
      <c r="F88" s="29">
        <f t="shared" si="12"/>
        <v>1.1910160000000003</v>
      </c>
      <c r="G88" s="29">
        <f t="shared" si="12"/>
        <v>1.2624769600000003</v>
      </c>
      <c r="H88" s="39"/>
      <c r="I88" s="85"/>
      <c r="J88" s="85"/>
    </row>
    <row r="89" spans="1:10" ht="14" x14ac:dyDescent="0.3">
      <c r="A89" s="40" t="s">
        <v>45</v>
      </c>
      <c r="B89" s="29"/>
      <c r="C89" s="29">
        <f>C91+E91+F91</f>
        <v>-348</v>
      </c>
      <c r="D89" s="29"/>
      <c r="E89" s="29"/>
      <c r="F89" s="29"/>
      <c r="G89" s="29"/>
      <c r="H89" s="39"/>
      <c r="I89" s="85"/>
      <c r="J89" s="85"/>
    </row>
    <row r="90" spans="1:10" ht="14" x14ac:dyDescent="0.3">
      <c r="A90" s="40" t="s">
        <v>46</v>
      </c>
      <c r="B90" s="29"/>
      <c r="C90" s="29">
        <f>D91+G91</f>
        <v>243</v>
      </c>
      <c r="D90" s="29"/>
      <c r="E90" s="29"/>
      <c r="F90" s="29"/>
      <c r="G90" s="29"/>
      <c r="H90" s="39"/>
      <c r="I90" s="29"/>
      <c r="J90" s="29"/>
    </row>
    <row r="91" spans="1:10" ht="14" x14ac:dyDescent="0.3">
      <c r="A91" s="40" t="s">
        <v>67</v>
      </c>
      <c r="B91" s="29"/>
      <c r="C91" s="29">
        <f>C85-C86</f>
        <v>-270</v>
      </c>
      <c r="D91" s="29">
        <f>D85-D86</f>
        <v>176</v>
      </c>
      <c r="E91" s="29">
        <f>E85-E86</f>
        <v>-67</v>
      </c>
      <c r="F91" s="29">
        <f>F85-F86</f>
        <v>-11</v>
      </c>
      <c r="G91" s="29">
        <f>G85-G86</f>
        <v>67</v>
      </c>
      <c r="H91" s="39"/>
      <c r="I91" s="29"/>
      <c r="J91" s="29"/>
    </row>
    <row r="92" spans="1:10" ht="14" x14ac:dyDescent="0.3">
      <c r="A92" s="40"/>
      <c r="B92" s="29"/>
      <c r="C92" s="29"/>
      <c r="D92" s="29"/>
      <c r="E92" s="29"/>
      <c r="F92" s="29"/>
      <c r="G92" s="29"/>
      <c r="H92" s="39"/>
      <c r="I92" s="29"/>
      <c r="J92" s="29"/>
    </row>
    <row r="93" spans="1:10" ht="14" x14ac:dyDescent="0.3">
      <c r="A93" s="40"/>
      <c r="B93" s="29"/>
      <c r="C93" s="29"/>
      <c r="D93" s="29"/>
      <c r="E93" s="29"/>
      <c r="F93" s="29"/>
      <c r="G93" s="29"/>
      <c r="H93" s="39"/>
      <c r="I93" s="29"/>
      <c r="J93" s="29"/>
    </row>
    <row r="94" spans="1:10" ht="14" x14ac:dyDescent="0.3">
      <c r="A94" s="40"/>
      <c r="B94" s="29"/>
      <c r="C94" s="29"/>
      <c r="D94" s="29"/>
      <c r="E94" s="29"/>
      <c r="F94" s="29"/>
      <c r="G94" s="29"/>
      <c r="H94" s="39"/>
      <c r="I94" s="29"/>
      <c r="J94" s="29"/>
    </row>
    <row r="95" spans="1:10" ht="14" x14ac:dyDescent="0.3">
      <c r="A95" s="40"/>
      <c r="B95" s="29"/>
      <c r="C95" s="29"/>
      <c r="D95" s="29"/>
      <c r="E95" s="29"/>
      <c r="F95" s="29"/>
      <c r="G95" s="29"/>
      <c r="H95" s="39"/>
      <c r="I95" s="29"/>
      <c r="J95" s="29"/>
    </row>
    <row r="96" spans="1:10" ht="14" x14ac:dyDescent="0.3">
      <c r="A96" s="40"/>
      <c r="B96" s="29"/>
      <c r="C96" s="29"/>
      <c r="D96" s="29"/>
      <c r="E96" s="29"/>
      <c r="F96" s="29"/>
      <c r="G96" s="29"/>
      <c r="H96" s="39"/>
      <c r="I96" s="29"/>
      <c r="J96" s="29"/>
    </row>
    <row r="97" spans="1:10" ht="14.5" thickBot="1" x14ac:dyDescent="0.35">
      <c r="A97" s="40"/>
      <c r="B97" s="29"/>
      <c r="C97" s="29"/>
      <c r="D97" s="44"/>
      <c r="E97" s="44"/>
      <c r="F97" s="44"/>
      <c r="G97" s="44"/>
      <c r="H97" s="45"/>
      <c r="I97" s="29"/>
      <c r="J97" s="29"/>
    </row>
    <row r="98" spans="1:10" ht="14" x14ac:dyDescent="0.3">
      <c r="A98" s="143" t="s">
        <v>27</v>
      </c>
      <c r="B98" s="145">
        <f>((ABS(C90/C89))^(1/5))-1</f>
        <v>-6.9309232029429846E-2</v>
      </c>
      <c r="C98" s="146"/>
      <c r="D98" s="32"/>
      <c r="E98" s="32"/>
      <c r="F98" s="32"/>
      <c r="G98" s="32"/>
      <c r="H98" s="32"/>
      <c r="I98" s="32"/>
      <c r="J98" s="32"/>
    </row>
    <row r="99" spans="1:10" ht="14.5" thickBot="1" x14ac:dyDescent="0.35">
      <c r="A99" s="144"/>
      <c r="B99" s="147"/>
      <c r="C99" s="148"/>
      <c r="D99" s="32"/>
      <c r="E99" s="32"/>
      <c r="F99" s="32"/>
      <c r="G99" s="32"/>
      <c r="H99" s="32"/>
      <c r="I99" s="32"/>
      <c r="J99" s="32"/>
    </row>
    <row r="100" spans="1:10" ht="14" x14ac:dyDescent="0.3">
      <c r="A100" s="32"/>
      <c r="B100" s="32"/>
      <c r="C100" s="32"/>
      <c r="D100" s="32"/>
      <c r="E100" s="32"/>
      <c r="F100" s="32"/>
      <c r="G100" s="32"/>
      <c r="H100" s="32"/>
      <c r="I100" s="32"/>
      <c r="J100" s="32"/>
    </row>
    <row r="101" spans="1:10" ht="14" x14ac:dyDescent="0.3">
      <c r="A101" s="32"/>
      <c r="B101" s="32"/>
      <c r="C101" s="32"/>
      <c r="D101" s="32"/>
      <c r="E101" s="32"/>
      <c r="F101" s="32"/>
      <c r="G101" s="32"/>
      <c r="H101" s="32"/>
      <c r="I101" s="32"/>
      <c r="J101" s="32"/>
    </row>
    <row r="102" spans="1:10" ht="14" x14ac:dyDescent="0.3">
      <c r="A102" s="32"/>
      <c r="B102" s="32"/>
      <c r="C102" s="32"/>
      <c r="D102" s="32"/>
      <c r="E102" s="32"/>
      <c r="F102" s="32"/>
      <c r="G102" s="32"/>
      <c r="H102" s="32"/>
      <c r="I102" s="32"/>
      <c r="J102" s="32"/>
    </row>
    <row r="103" spans="1:10" ht="14.5" thickBot="1" x14ac:dyDescent="0.35">
      <c r="A103" s="36" t="s">
        <v>28</v>
      </c>
      <c r="B103" s="32"/>
      <c r="C103" s="32"/>
      <c r="D103" s="32"/>
      <c r="E103" s="32"/>
      <c r="F103" s="32"/>
      <c r="G103" s="32"/>
      <c r="H103" s="32"/>
      <c r="I103" s="32"/>
      <c r="J103" s="32"/>
    </row>
    <row r="104" spans="1:10" ht="14" x14ac:dyDescent="0.3">
      <c r="A104" s="152" t="s">
        <v>34</v>
      </c>
      <c r="B104" s="153"/>
      <c r="C104" s="153"/>
      <c r="D104" s="153"/>
      <c r="E104" s="153"/>
      <c r="F104" s="153"/>
      <c r="G104" s="153"/>
      <c r="H104" s="154"/>
      <c r="J104" s="32"/>
    </row>
    <row r="105" spans="1:10" ht="14.5" thickBot="1" x14ac:dyDescent="0.35">
      <c r="A105" s="155"/>
      <c r="B105" s="156"/>
      <c r="C105" s="156"/>
      <c r="D105" s="156"/>
      <c r="E105" s="156"/>
      <c r="F105" s="156"/>
      <c r="G105" s="156"/>
      <c r="H105" s="157"/>
      <c r="J105" s="32"/>
    </row>
    <row r="106" spans="1:10" ht="14" x14ac:dyDescent="0.3">
      <c r="A106" s="37" t="s">
        <v>26</v>
      </c>
      <c r="B106" s="41"/>
      <c r="C106" s="42">
        <v>0</v>
      </c>
      <c r="D106" s="42">
        <v>1</v>
      </c>
      <c r="E106" s="42">
        <v>2</v>
      </c>
      <c r="F106" s="42">
        <v>3</v>
      </c>
      <c r="G106" s="42">
        <v>4</v>
      </c>
      <c r="H106" s="46" t="s">
        <v>29</v>
      </c>
      <c r="J106" s="32"/>
    </row>
    <row r="107" spans="1:10" ht="14" x14ac:dyDescent="0.3">
      <c r="A107" s="47" t="s">
        <v>30</v>
      </c>
      <c r="B107" s="48">
        <v>7.0000000000000007E-2</v>
      </c>
      <c r="C107" s="71"/>
      <c r="D107" s="71"/>
      <c r="E107" s="71"/>
      <c r="F107" s="2"/>
      <c r="G107" s="29"/>
      <c r="H107" s="65"/>
      <c r="J107" s="32"/>
    </row>
    <row r="108" spans="1:10" ht="14" x14ac:dyDescent="0.3">
      <c r="A108" s="40"/>
      <c r="B108" s="29" t="s">
        <v>56</v>
      </c>
      <c r="C108" s="72">
        <v>-9150</v>
      </c>
      <c r="D108" s="72">
        <v>2880</v>
      </c>
      <c r="E108" s="72">
        <v>3600</v>
      </c>
      <c r="F108" s="119">
        <v>2880</v>
      </c>
      <c r="G108" s="120">
        <v>3600</v>
      </c>
      <c r="H108" s="65">
        <f>IRR(C108:G108)</f>
        <v>0.15149889751444756</v>
      </c>
      <c r="J108" s="32"/>
    </row>
    <row r="109" spans="1:10" ht="14" x14ac:dyDescent="0.3">
      <c r="A109" s="40"/>
      <c r="B109" s="29" t="s">
        <v>57</v>
      </c>
      <c r="C109" s="72">
        <v>-9150</v>
      </c>
      <c r="D109" s="72">
        <v>3600</v>
      </c>
      <c r="E109" s="72">
        <v>2880</v>
      </c>
      <c r="F109" s="119">
        <v>3600</v>
      </c>
      <c r="G109" s="120">
        <v>2880</v>
      </c>
      <c r="H109" s="65">
        <f>IRR(C109:G109)</f>
        <v>0.15947973037327712</v>
      </c>
      <c r="J109" s="32"/>
    </row>
    <row r="110" spans="1:10" ht="14" x14ac:dyDescent="0.3">
      <c r="A110" s="40"/>
      <c r="B110" s="29" t="s">
        <v>58</v>
      </c>
      <c r="C110" s="72">
        <v>-11800</v>
      </c>
      <c r="D110" s="72">
        <v>3780</v>
      </c>
      <c r="E110" s="72">
        <v>4320</v>
      </c>
      <c r="F110" s="119">
        <v>3780</v>
      </c>
      <c r="G110" s="120">
        <v>4320</v>
      </c>
      <c r="H110" s="65">
        <f>IRR(C110:G110)</f>
        <v>0.137922520948075</v>
      </c>
      <c r="J110" s="32"/>
    </row>
    <row r="111" spans="1:10" ht="14" x14ac:dyDescent="0.3">
      <c r="A111" s="40"/>
      <c r="B111" s="29"/>
      <c r="C111" s="72"/>
      <c r="D111" s="72"/>
      <c r="E111" s="72"/>
      <c r="F111" s="2"/>
      <c r="G111" s="29"/>
      <c r="H111" s="65"/>
      <c r="J111" s="32"/>
    </row>
    <row r="112" spans="1:10" ht="14" x14ac:dyDescent="0.3">
      <c r="A112" s="40" t="s">
        <v>59</v>
      </c>
      <c r="B112" s="29"/>
      <c r="C112" s="72"/>
      <c r="D112" s="72"/>
      <c r="E112" s="72"/>
      <c r="F112" s="2"/>
      <c r="G112" s="29"/>
      <c r="H112" s="65"/>
      <c r="J112" s="32"/>
    </row>
    <row r="113" spans="1:10" ht="14" x14ac:dyDescent="0.3">
      <c r="A113" s="40"/>
      <c r="B113" s="29" t="s">
        <v>69</v>
      </c>
      <c r="C113" s="72">
        <f>C109-C108</f>
        <v>0</v>
      </c>
      <c r="D113" s="72">
        <f t="shared" ref="D113:G113" si="13">D109-D108</f>
        <v>720</v>
      </c>
      <c r="E113" s="72">
        <f t="shared" si="13"/>
        <v>-720</v>
      </c>
      <c r="F113" s="72">
        <f t="shared" si="13"/>
        <v>720</v>
      </c>
      <c r="G113" s="72">
        <f t="shared" si="13"/>
        <v>-720</v>
      </c>
      <c r="H113" s="65">
        <f>IRR(C113:G113)</f>
        <v>4.6407322429331543E-14</v>
      </c>
      <c r="J113" s="32"/>
    </row>
    <row r="114" spans="1:10" ht="14" x14ac:dyDescent="0.3">
      <c r="A114" s="40"/>
      <c r="B114" s="85" t="s">
        <v>70</v>
      </c>
      <c r="C114" s="121">
        <f>C109-C110</f>
        <v>2650</v>
      </c>
      <c r="D114" s="121">
        <f t="shared" ref="D114:G114" si="14">D109-D110</f>
        <v>-180</v>
      </c>
      <c r="E114" s="121">
        <f>E109-E110</f>
        <v>-1440</v>
      </c>
      <c r="F114" s="121">
        <f t="shared" si="14"/>
        <v>-180</v>
      </c>
      <c r="G114" s="121">
        <f t="shared" si="14"/>
        <v>-1440</v>
      </c>
      <c r="H114" s="65">
        <f>IRR(C114:G114)</f>
        <v>7.3075129139761774E-2</v>
      </c>
      <c r="J114" s="32"/>
    </row>
    <row r="115" spans="1:10" ht="14" x14ac:dyDescent="0.3">
      <c r="A115" s="40"/>
      <c r="B115" s="29" t="s">
        <v>60</v>
      </c>
      <c r="C115" s="72">
        <f>C109-C108</f>
        <v>0</v>
      </c>
      <c r="D115" s="72">
        <f>D109-D108</f>
        <v>720</v>
      </c>
      <c r="E115" s="72">
        <f>E109-E108</f>
        <v>-720</v>
      </c>
      <c r="F115" s="72">
        <f>F109-F108</f>
        <v>720</v>
      </c>
      <c r="G115" s="72">
        <f>G109-G108</f>
        <v>-720</v>
      </c>
      <c r="H115" s="65">
        <f>IRR(C115:G115)</f>
        <v>4.6407322429331543E-14</v>
      </c>
      <c r="J115" s="32"/>
    </row>
    <row r="116" spans="1:10" ht="14.5" thickBot="1" x14ac:dyDescent="0.35">
      <c r="A116" s="87"/>
      <c r="B116" s="44"/>
      <c r="C116" s="73"/>
      <c r="D116" s="73"/>
      <c r="E116" s="73"/>
      <c r="F116" s="88"/>
      <c r="G116" s="44"/>
      <c r="H116" s="66"/>
      <c r="J116" s="32"/>
    </row>
    <row r="117" spans="1:10" ht="14" x14ac:dyDescent="0.3">
      <c r="A117" s="137" t="s">
        <v>31</v>
      </c>
      <c r="B117" s="138"/>
      <c r="C117" s="149">
        <f>H109</f>
        <v>0.15947973037327712</v>
      </c>
      <c r="D117" s="150"/>
      <c r="E117" s="32"/>
      <c r="F117" s="32"/>
      <c r="G117" s="32"/>
      <c r="H117" s="32"/>
      <c r="I117" s="32"/>
      <c r="J117" s="32"/>
    </row>
    <row r="118" spans="1:10" ht="14.5" thickBot="1" x14ac:dyDescent="0.35">
      <c r="A118" s="139"/>
      <c r="B118" s="140"/>
      <c r="C118" s="151"/>
      <c r="D118" s="148"/>
      <c r="E118" s="32"/>
      <c r="F118" s="32"/>
      <c r="G118" s="32"/>
      <c r="H118" s="32"/>
      <c r="I118" s="32"/>
      <c r="J118" s="32"/>
    </row>
    <row r="119" spans="1:10" ht="14.5" thickBot="1" x14ac:dyDescent="0.35">
      <c r="A119" s="141" t="s">
        <v>32</v>
      </c>
      <c r="B119" s="142"/>
      <c r="C119" s="133" t="s">
        <v>68</v>
      </c>
      <c r="D119" s="134"/>
      <c r="E119" s="32"/>
      <c r="F119" s="32"/>
      <c r="G119" s="32"/>
      <c r="H119" s="32"/>
      <c r="I119" s="32"/>
      <c r="J119" s="32"/>
    </row>
    <row r="120" spans="1:10" ht="14.5" thickBot="1" x14ac:dyDescent="0.35">
      <c r="A120" s="139"/>
      <c r="B120" s="140"/>
      <c r="C120" s="133"/>
      <c r="D120" s="134"/>
      <c r="E120" s="32"/>
      <c r="F120" s="32"/>
      <c r="G120" s="32"/>
      <c r="H120" s="32"/>
      <c r="I120" s="32"/>
      <c r="J120" s="32"/>
    </row>
    <row r="121" spans="1:10" ht="14" x14ac:dyDescent="0.3">
      <c r="B121" s="50"/>
      <c r="C121" s="32"/>
      <c r="D121" s="32"/>
      <c r="E121" s="32"/>
      <c r="F121" s="32"/>
      <c r="G121" s="32"/>
      <c r="H121" s="51"/>
      <c r="I121" s="51"/>
      <c r="J121" s="51"/>
    </row>
    <row r="123" spans="1:10" x14ac:dyDescent="0.25">
      <c r="D123" s="3"/>
    </row>
    <row r="124" spans="1:10" x14ac:dyDescent="0.25">
      <c r="D124" s="3"/>
    </row>
    <row r="125" spans="1:10" x14ac:dyDescent="0.25">
      <c r="D125" s="3"/>
    </row>
    <row r="126" spans="1:10" x14ac:dyDescent="0.25">
      <c r="D126" s="3"/>
    </row>
    <row r="130" spans="1:1" ht="14" x14ac:dyDescent="0.3">
      <c r="A130" s="49" t="s">
        <v>33</v>
      </c>
    </row>
  </sheetData>
  <mergeCells count="72">
    <mergeCell ref="A61:B61"/>
    <mergeCell ref="A62:B62"/>
    <mergeCell ref="A60:B60"/>
    <mergeCell ref="A56:B56"/>
    <mergeCell ref="A57:B57"/>
    <mergeCell ref="A58:B58"/>
    <mergeCell ref="A59:B59"/>
    <mergeCell ref="D1:E1"/>
    <mergeCell ref="D2:E2"/>
    <mergeCell ref="D3:E3"/>
    <mergeCell ref="A22:C22"/>
    <mergeCell ref="A34:B34"/>
    <mergeCell ref="A21:B21"/>
    <mergeCell ref="A33:B33"/>
    <mergeCell ref="A23:B23"/>
    <mergeCell ref="A24:B24"/>
    <mergeCell ref="A25:B25"/>
    <mergeCell ref="A26:B26"/>
    <mergeCell ref="A27:B27"/>
    <mergeCell ref="A28:B28"/>
    <mergeCell ref="C5:K5"/>
    <mergeCell ref="C38:D38"/>
    <mergeCell ref="A10:B10"/>
    <mergeCell ref="A11:B11"/>
    <mergeCell ref="A12:B12"/>
    <mergeCell ref="A13:B13"/>
    <mergeCell ref="A14:B14"/>
    <mergeCell ref="A35:B35"/>
    <mergeCell ref="A32:B32"/>
    <mergeCell ref="A36:B36"/>
    <mergeCell ref="A37:B37"/>
    <mergeCell ref="A38:B38"/>
    <mergeCell ref="A29:B29"/>
    <mergeCell ref="A30:B30"/>
    <mergeCell ref="A31:B31"/>
    <mergeCell ref="A8:K9"/>
    <mergeCell ref="D73:E73"/>
    <mergeCell ref="D74:E74"/>
    <mergeCell ref="D75:E75"/>
    <mergeCell ref="A79:H80"/>
    <mergeCell ref="F63:G64"/>
    <mergeCell ref="H63:K64"/>
    <mergeCell ref="A64:B64"/>
    <mergeCell ref="F69:H69"/>
    <mergeCell ref="A65:B65"/>
    <mergeCell ref="A40:B40"/>
    <mergeCell ref="A49:B49"/>
    <mergeCell ref="A55:B55"/>
    <mergeCell ref="A50:B50"/>
    <mergeCell ref="A47:B47"/>
    <mergeCell ref="A48:B48"/>
    <mergeCell ref="A44:B44"/>
    <mergeCell ref="A41:K42"/>
    <mergeCell ref="A43:B43"/>
    <mergeCell ref="A45:B45"/>
    <mergeCell ref="A46:B46"/>
    <mergeCell ref="A39:B39"/>
    <mergeCell ref="C119:D119"/>
    <mergeCell ref="C120:D120"/>
    <mergeCell ref="C46:D46"/>
    <mergeCell ref="C52:D52"/>
    <mergeCell ref="A117:B118"/>
    <mergeCell ref="A119:B120"/>
    <mergeCell ref="A98:A99"/>
    <mergeCell ref="B98:C99"/>
    <mergeCell ref="C117:D118"/>
    <mergeCell ref="A104:H105"/>
    <mergeCell ref="A63:B63"/>
    <mergeCell ref="A51:B51"/>
    <mergeCell ref="A52:B52"/>
    <mergeCell ref="A53:B53"/>
    <mergeCell ref="A54:B54"/>
  </mergeCells>
  <phoneticPr fontId="2" type="noConversion"/>
  <pageMargins left="0.2" right="0.2" top="0.2" bottom="0.2" header="0" footer="0"/>
  <pageSetup scale="75" orientation="portrait" r:id="rId1"/>
  <headerFooter alignWithMargins="0"/>
  <rowBreaks count="1" manualBreakCount="1">
    <brk id="72" max="16383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K24" sqref="K24"/>
    </sheetView>
  </sheetViews>
  <sheetFormatPr baseColWidth="10" defaultRowHeight="12.5" x14ac:dyDescent="0.25"/>
  <cols>
    <col min="8" max="8" width="15.26953125" customWidth="1"/>
  </cols>
  <sheetData>
    <row r="1" spans="1:3" ht="31" x14ac:dyDescent="0.7">
      <c r="A1" s="75" t="s">
        <v>37</v>
      </c>
    </row>
    <row r="15" spans="1:3" x14ac:dyDescent="0.25">
      <c r="B15" s="130" t="s">
        <v>66</v>
      </c>
      <c r="C15">
        <f>1-((37000/137900)^(1/14))</f>
        <v>8.969193623835281E-2</v>
      </c>
    </row>
    <row r="21" spans="2:12" x14ac:dyDescent="0.25">
      <c r="D21" s="130" t="s">
        <v>9</v>
      </c>
      <c r="E21">
        <v>2019</v>
      </c>
      <c r="F21">
        <v>2020</v>
      </c>
      <c r="G21">
        <v>2021</v>
      </c>
      <c r="H21">
        <v>2022</v>
      </c>
      <c r="I21">
        <v>2023</v>
      </c>
      <c r="J21">
        <v>2024</v>
      </c>
    </row>
    <row r="22" spans="2:12" x14ac:dyDescent="0.25">
      <c r="B22" s="114" t="s">
        <v>53</v>
      </c>
      <c r="C22" s="116"/>
      <c r="D22" s="123"/>
      <c r="E22" s="124"/>
      <c r="F22" s="93">
        <v>12138</v>
      </c>
      <c r="G22" s="93">
        <v>12138</v>
      </c>
      <c r="H22" s="93">
        <v>12138</v>
      </c>
      <c r="I22" s="93">
        <v>12138</v>
      </c>
      <c r="J22" s="93">
        <v>12138</v>
      </c>
      <c r="K22" s="93"/>
      <c r="L22" s="125"/>
    </row>
    <row r="23" spans="2:12" x14ac:dyDescent="0.25">
      <c r="B23" s="115" t="s">
        <v>54</v>
      </c>
      <c r="C23" s="117"/>
      <c r="D23" s="126">
        <f>C15</f>
        <v>8.969193623835281E-2</v>
      </c>
      <c r="E23" s="6"/>
      <c r="F23" s="127">
        <f>(137900*D23)</f>
        <v>12368.518007268853</v>
      </c>
      <c r="G23" s="127">
        <f>(137900-F23)*D23</f>
        <v>11259.161678797976</v>
      </c>
      <c r="H23" s="127">
        <f>(137900-G23-F23)*$D23</f>
        <v>10249.305667405923</v>
      </c>
      <c r="I23" s="127">
        <f>(137900-H23-G23-F23)*$D$23</f>
        <v>9330.0255969975624</v>
      </c>
      <c r="J23" s="127">
        <f>(137900-I23-H23-G23-F23)*$D$23</f>
        <v>8493.197536049458</v>
      </c>
      <c r="K23" s="127">
        <f>SUM(F23:J23)</f>
        <v>51700.208486519768</v>
      </c>
      <c r="L23" s="128"/>
    </row>
    <row r="24" spans="2:12" x14ac:dyDescent="0.25">
      <c r="B24" s="114" t="s">
        <v>55</v>
      </c>
      <c r="C24" s="118"/>
      <c r="D24" s="129">
        <v>162400</v>
      </c>
      <c r="E24" s="6"/>
      <c r="F24" s="99">
        <f>$D$24-F22-F23</f>
        <v>137893.48199273116</v>
      </c>
      <c r="G24" s="99">
        <f>$D$24-G22-G23</f>
        <v>139002.83832120203</v>
      </c>
      <c r="H24" s="99">
        <f>$D$24-H22-H23</f>
        <v>140012.69433259408</v>
      </c>
      <c r="I24" s="99">
        <f>$D$24-I22-I23</f>
        <v>140931.97440300244</v>
      </c>
      <c r="J24" s="99">
        <f>$D$24-J22-J23</f>
        <v>141768.80246395053</v>
      </c>
      <c r="K24" s="99"/>
      <c r="L24" s="1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Modèle</vt:lpstr>
      <vt:lpstr>Calcul perso</vt:lpstr>
    </vt:vector>
  </TitlesOfParts>
  <Company>Aucune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5</dc:title>
  <dc:creator>olblai</dc:creator>
  <cp:lastModifiedBy>bance dede</cp:lastModifiedBy>
  <cp:lastPrinted>2019-11-15T22:01:55Z</cp:lastPrinted>
  <dcterms:created xsi:type="dcterms:W3CDTF">2006-11-14T14:22:35Z</dcterms:created>
  <dcterms:modified xsi:type="dcterms:W3CDTF">2019-11-29T18:08:09Z</dcterms:modified>
</cp:coreProperties>
</file>