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13" documentId="8_{C90FA66E-F299-4D0B-99A2-58B85B159A39}" xr6:coauthVersionLast="45" xr6:coauthVersionMax="45" xr10:uidLastSave="{BB7904F4-B354-4788-9814-2EBBEA99C20E}"/>
  <bookViews>
    <workbookView xWindow="-113" yWindow="-113" windowWidth="24267" windowHeight="13148" tabRatio="770" xr2:uid="{00000000-000D-0000-FFFF-FFFF00000000}"/>
  </bookViews>
  <sheets>
    <sheet name="PRC Spreadsheet-2020.06.30" sheetId="21" r:id="rId1"/>
    <sheet name="JA List" sheetId="26" r:id="rId2"/>
    <sheet name="Cash flow" sheetId="17" state="hidden" r:id="rId3"/>
    <sheet name="CF-2018" sheetId="25" state="hidden" r:id="rId4"/>
    <sheet name="Sheet1" sheetId="24" state="hidden" r:id="rId5"/>
    <sheet name="PRC JA list" sheetId="9" state="hidden" r:id="rId6"/>
    <sheet name="Mapping BS" sheetId="13" r:id="rId7"/>
    <sheet name="Mapping PL" sheetId="22" state="hidden" r:id="rId8"/>
    <sheet name="PL MAPPING" sheetId="23" r:id="rId9"/>
    <sheet name="PRC Spreadsheet-2019.12.31" sheetId="8" state="hidden" r:id="rId10"/>
    <sheet name="IFRS SUAD" sheetId="16" r:id="rId11"/>
    <sheet name="PRC Spreadsheet 20171231" sheetId="18" state="hidden" r:id="rId12"/>
    <sheet name="Financial Highlight_BS" sheetId="14" state="hidden" r:id="rId13"/>
    <sheet name="Financial Highlight_PL" sheetId="11"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_123Graph_A" localSheetId="2" hidden="1">[1]IntBalheet!#REF!</definedName>
    <definedName name="__123Graph_A" localSheetId="7" hidden="1">[1]IntBalheet!#REF!</definedName>
    <definedName name="__123Graph_A" localSheetId="5" hidden="1">[1]IntBalheet!#REF!</definedName>
    <definedName name="__123Graph_A" localSheetId="9" hidden="1">[1]IntBalheet!#REF!</definedName>
    <definedName name="__123Graph_A" localSheetId="0" hidden="1">[1]IntBalheet!#REF!</definedName>
    <definedName name="__123Graph_A" hidden="1">[1]IntBalheet!#REF!</definedName>
    <definedName name="__123Graph_B" localSheetId="2" hidden="1">[1]IntBalheet!#REF!</definedName>
    <definedName name="__123Graph_B" localSheetId="7" hidden="1">[1]IntBalheet!#REF!</definedName>
    <definedName name="__123Graph_B" localSheetId="5" hidden="1">[1]IntBalheet!#REF!</definedName>
    <definedName name="__123Graph_B" localSheetId="9" hidden="1">[1]IntBalheet!#REF!</definedName>
    <definedName name="__123Graph_B" localSheetId="0" hidden="1">[1]IntBalheet!#REF!</definedName>
    <definedName name="__123Graph_B" hidden="1">[1]IntBalheet!#REF!</definedName>
    <definedName name="__123Graph_C" localSheetId="2" hidden="1">[1]IntBalheet!#REF!</definedName>
    <definedName name="__123Graph_C" localSheetId="7" hidden="1">[1]IntBalheet!#REF!</definedName>
    <definedName name="__123Graph_C" localSheetId="5" hidden="1">[1]IntBalheet!#REF!</definedName>
    <definedName name="__123Graph_C" localSheetId="9" hidden="1">[1]IntBalheet!#REF!</definedName>
    <definedName name="__123Graph_C" localSheetId="0" hidden="1">[1]IntBalheet!#REF!</definedName>
    <definedName name="__123Graph_C" hidden="1">[1]IntBalheet!#REF!</definedName>
    <definedName name="__key2" localSheetId="2" hidden="1">#REF!</definedName>
    <definedName name="__key2" localSheetId="7" hidden="1">#REF!</definedName>
    <definedName name="__key2" localSheetId="5" hidden="1">#REF!</definedName>
    <definedName name="__key2" localSheetId="9" hidden="1">#REF!</definedName>
    <definedName name="__key2" localSheetId="0" hidden="1">#REF!</definedName>
    <definedName name="__key2" hidden="1">#REF!</definedName>
    <definedName name="_BQ4.10" localSheetId="2" hidden="1">#REF!</definedName>
    <definedName name="_BQ4.10" localSheetId="7" hidden="1">#REF!</definedName>
    <definedName name="_BQ4.10" localSheetId="5" hidden="1">#REF!</definedName>
    <definedName name="_BQ4.10" localSheetId="9" hidden="1">#REF!</definedName>
    <definedName name="_BQ4.10" localSheetId="0" hidden="1">#REF!</definedName>
    <definedName name="_BQ4.10" hidden="1">#REF!</definedName>
    <definedName name="_BQ4.5" localSheetId="2" hidden="1">#REF!</definedName>
    <definedName name="_BQ4.5" localSheetId="7" hidden="1">#REF!</definedName>
    <definedName name="_BQ4.5" localSheetId="5" hidden="1">#REF!</definedName>
    <definedName name="_BQ4.5" localSheetId="9" hidden="1">#REF!</definedName>
    <definedName name="_BQ4.5" localSheetId="0" hidden="1">#REF!</definedName>
    <definedName name="_BQ4.5" hidden="1">#REF!</definedName>
    <definedName name="_BQ4.8" localSheetId="2" hidden="1">#REF!</definedName>
    <definedName name="_BQ4.8" localSheetId="7" hidden="1">#REF!</definedName>
    <definedName name="_BQ4.8" localSheetId="5" hidden="1">#REF!</definedName>
    <definedName name="_BQ4.8" localSheetId="9" hidden="1">#REF!</definedName>
    <definedName name="_BQ4.8" localSheetId="0" hidden="1">#REF!</definedName>
    <definedName name="_BQ4.8" hidden="1">#REF!</definedName>
    <definedName name="_BQ4.9" localSheetId="2" hidden="1">#REF!</definedName>
    <definedName name="_BQ4.9" localSheetId="7" hidden="1">#REF!</definedName>
    <definedName name="_BQ4.9" localSheetId="5" hidden="1">#REF!</definedName>
    <definedName name="_BQ4.9" localSheetId="9" hidden="1">#REF!</definedName>
    <definedName name="_BQ4.9" localSheetId="0" hidden="1">#REF!</definedName>
    <definedName name="_BQ4.9" hidden="1">#REF!</definedName>
    <definedName name="_Fill" localSheetId="2" hidden="1">#REF!</definedName>
    <definedName name="_Fill" localSheetId="7" hidden="1">#REF!</definedName>
    <definedName name="_Fill" localSheetId="5" hidden="1">#REF!</definedName>
    <definedName name="_Fill" localSheetId="9" hidden="1">#REF!</definedName>
    <definedName name="_Fill" localSheetId="0" hidden="1">#REF!</definedName>
    <definedName name="_Fill" hidden="1">#REF!</definedName>
    <definedName name="_xlnm._FilterDatabase" localSheetId="2" hidden="1">#REF!</definedName>
    <definedName name="_xlnm._FilterDatabase" localSheetId="6" hidden="1">'Mapping BS'!$B$3:$K$33</definedName>
    <definedName name="_xlnm._FilterDatabase" localSheetId="7" hidden="1">'Mapping PL'!$A$2:$J$331</definedName>
    <definedName name="_xlnm._FilterDatabase" localSheetId="8" hidden="1">'PL MAPPING'!$A$2:$K$281</definedName>
    <definedName name="_xlnm._FilterDatabase" localSheetId="5" hidden="1">'PRC JA list'!$6:$49</definedName>
    <definedName name="_xlnm._FilterDatabase" localSheetId="9" hidden="1">'PRC Spreadsheet-2019.12.31'!$A$8:$U$101</definedName>
    <definedName name="_xlnm._FilterDatabase" localSheetId="0" hidden="1">'PRC Spreadsheet-2020.06.30'!$B$8:$W$98</definedName>
    <definedName name="_xlnm._FilterDatabase" hidden="1">#REF!</definedName>
    <definedName name="_jjj" localSheetId="2" hidden="1">#REF!</definedName>
    <definedName name="_jjj" localSheetId="7" hidden="1">#REF!</definedName>
    <definedName name="_jjj" localSheetId="5" hidden="1">#REF!</definedName>
    <definedName name="_jjj" localSheetId="9" hidden="1">#REF!</definedName>
    <definedName name="_jjj" localSheetId="0" hidden="1">#REF!</definedName>
    <definedName name="_jjj" hidden="1">#REF!</definedName>
    <definedName name="_KE8" localSheetId="2" hidden="1">#REF!</definedName>
    <definedName name="_KE8" localSheetId="7" hidden="1">#REF!</definedName>
    <definedName name="_KE8" localSheetId="5" hidden="1">#REF!</definedName>
    <definedName name="_KE8" localSheetId="9" hidden="1">#REF!</definedName>
    <definedName name="_KE8" localSheetId="0" hidden="1">#REF!</definedName>
    <definedName name="_KE8" hidden="1">#REF!</definedName>
    <definedName name="_Key1" localSheetId="2" hidden="1">#REF!</definedName>
    <definedName name="_Key1" localSheetId="7" hidden="1">#REF!</definedName>
    <definedName name="_Key1" localSheetId="5" hidden="1">#REF!</definedName>
    <definedName name="_Key1" localSheetId="9" hidden="1">#REF!</definedName>
    <definedName name="_Key1" localSheetId="0" hidden="1">#REF!</definedName>
    <definedName name="_Key1" hidden="1">#REF!</definedName>
    <definedName name="_key11" localSheetId="2" hidden="1">#REF!</definedName>
    <definedName name="_key11" localSheetId="7" hidden="1">#REF!</definedName>
    <definedName name="_key11" localSheetId="5" hidden="1">#REF!</definedName>
    <definedName name="_key11" localSheetId="9" hidden="1">#REF!</definedName>
    <definedName name="_key11" localSheetId="0" hidden="1">#REF!</definedName>
    <definedName name="_key11" hidden="1">#REF!</definedName>
    <definedName name="_key12" localSheetId="2" hidden="1">#REF!</definedName>
    <definedName name="_key12" localSheetId="7" hidden="1">#REF!</definedName>
    <definedName name="_key12" localSheetId="5" hidden="1">#REF!</definedName>
    <definedName name="_key12" localSheetId="9" hidden="1">#REF!</definedName>
    <definedName name="_key12" localSheetId="0" hidden="1">#REF!</definedName>
    <definedName name="_key12" hidden="1">#REF!</definedName>
    <definedName name="_KEY123" localSheetId="2" hidden="1">#REF!</definedName>
    <definedName name="_KEY123" localSheetId="7" hidden="1">#REF!</definedName>
    <definedName name="_KEY123" localSheetId="5" hidden="1">#REF!</definedName>
    <definedName name="_KEY123" localSheetId="9" hidden="1">#REF!</definedName>
    <definedName name="_KEY123" localSheetId="0" hidden="1">#REF!</definedName>
    <definedName name="_KEY123" hidden="1">#REF!</definedName>
    <definedName name="_Key2" localSheetId="2" hidden="1">'[2]Conso MP'!#REF!</definedName>
    <definedName name="_Key2" localSheetId="7" hidden="1">'[2]Conso MP'!#REF!</definedName>
    <definedName name="_Key2" localSheetId="5" hidden="1">'[2]Conso MP'!#REF!</definedName>
    <definedName name="_Key2" localSheetId="9" hidden="1">'[2]Conso MP'!#REF!</definedName>
    <definedName name="_Key2" localSheetId="0" hidden="1">'[2]Conso MP'!#REF!</definedName>
    <definedName name="_Key2" hidden="1">'[2]Conso MP'!#REF!</definedName>
    <definedName name="_KEY3" localSheetId="2" hidden="1">#REF!</definedName>
    <definedName name="_KEY3" localSheetId="7" hidden="1">#REF!</definedName>
    <definedName name="_KEY3" localSheetId="5" hidden="1">#REF!</definedName>
    <definedName name="_KEY3" localSheetId="9" hidden="1">#REF!</definedName>
    <definedName name="_KEY3" localSheetId="0" hidden="1">#REF!</definedName>
    <definedName name="_KEY3" hidden="1">#REF!</definedName>
    <definedName name="_KEY4" localSheetId="2" hidden="1">#REF!</definedName>
    <definedName name="_KEY4" localSheetId="7" hidden="1">#REF!</definedName>
    <definedName name="_KEY4" localSheetId="5" hidden="1">#REF!</definedName>
    <definedName name="_KEY4" localSheetId="9" hidden="1">#REF!</definedName>
    <definedName name="_KEY4" localSheetId="0" hidden="1">#REF!</definedName>
    <definedName name="_KEY4" hidden="1">#REF!</definedName>
    <definedName name="_KEY5" localSheetId="2" hidden="1">#REF!</definedName>
    <definedName name="_KEY5" localSheetId="7" hidden="1">#REF!</definedName>
    <definedName name="_KEY5" localSheetId="5" hidden="1">#REF!</definedName>
    <definedName name="_KEY5" localSheetId="9" hidden="1">#REF!</definedName>
    <definedName name="_KEY5" localSheetId="0" hidden="1">#REF!</definedName>
    <definedName name="_KEY5" hidden="1">#REF!</definedName>
    <definedName name="_KEY6" localSheetId="2" hidden="1">#REF!</definedName>
    <definedName name="_KEY6" localSheetId="7" hidden="1">#REF!</definedName>
    <definedName name="_KEY6" localSheetId="5" hidden="1">#REF!</definedName>
    <definedName name="_KEY6" localSheetId="9" hidden="1">#REF!</definedName>
    <definedName name="_KEY6" localSheetId="0" hidden="1">#REF!</definedName>
    <definedName name="_KEY6" hidden="1">#REF!</definedName>
    <definedName name="_KEY7" localSheetId="2" hidden="1">#REF!</definedName>
    <definedName name="_KEY7" localSheetId="7" hidden="1">#REF!</definedName>
    <definedName name="_KEY7" localSheetId="5" hidden="1">#REF!</definedName>
    <definedName name="_KEY7" localSheetId="9" hidden="1">#REF!</definedName>
    <definedName name="_KEY7" localSheetId="0" hidden="1">#REF!</definedName>
    <definedName name="_KEY7" hidden="1">#REF!</definedName>
    <definedName name="_key8" localSheetId="2" hidden="1">#REF!</definedName>
    <definedName name="_key8" localSheetId="7" hidden="1">#REF!</definedName>
    <definedName name="_key8" localSheetId="5" hidden="1">#REF!</definedName>
    <definedName name="_key8" localSheetId="9" hidden="1">#REF!</definedName>
    <definedName name="_key8" localSheetId="0" hidden="1">#REF!</definedName>
    <definedName name="_key8" hidden="1">#REF!</definedName>
    <definedName name="_KEY90" localSheetId="2" hidden="1">#REF!</definedName>
    <definedName name="_KEY90" localSheetId="7" hidden="1">#REF!</definedName>
    <definedName name="_KEY90" localSheetId="5" hidden="1">#REF!</definedName>
    <definedName name="_KEY90" localSheetId="9" hidden="1">#REF!</definedName>
    <definedName name="_KEY90" localSheetId="0" hidden="1">#REF!</definedName>
    <definedName name="_KEY90" hidden="1">#REF!</definedName>
    <definedName name="_Order1" hidden="1">255</definedName>
    <definedName name="_Order2" hidden="1">0</definedName>
    <definedName name="_P28" hidden="1">12</definedName>
    <definedName name="_P3" hidden="1">15</definedName>
    <definedName name="_Sort" localSheetId="2" hidden="1">'[2]Conso MP'!#REF!</definedName>
    <definedName name="_Sort" localSheetId="7" hidden="1">'[2]Conso MP'!#REF!</definedName>
    <definedName name="_Sort" localSheetId="5" hidden="1">'[2]Conso MP'!#REF!</definedName>
    <definedName name="_Sort" localSheetId="9" hidden="1">'[2]Conso MP'!#REF!</definedName>
    <definedName name="_Sort" localSheetId="0" hidden="1">'[2]Conso MP'!#REF!</definedName>
    <definedName name="_Sort" hidden="1">'[2]Conso MP'!#REF!</definedName>
    <definedName name="_Table1_In1" localSheetId="2" hidden="1">#REF!</definedName>
    <definedName name="_Table1_In1" localSheetId="7" hidden="1">#REF!</definedName>
    <definedName name="_Table1_In1" localSheetId="5" hidden="1">#REF!</definedName>
    <definedName name="_Table1_In1" localSheetId="9" hidden="1">#REF!</definedName>
    <definedName name="_Table1_In1" localSheetId="0" hidden="1">#REF!</definedName>
    <definedName name="_Table1_In1" hidden="1">#REF!</definedName>
    <definedName name="_Table1_Out" localSheetId="2" hidden="1">#REF!</definedName>
    <definedName name="_Table1_Out" localSheetId="7" hidden="1">#REF!</definedName>
    <definedName name="_Table1_Out" localSheetId="5" hidden="1">#REF!</definedName>
    <definedName name="_Table1_Out" localSheetId="9" hidden="1">#REF!</definedName>
    <definedName name="_Table1_Out" localSheetId="0" hidden="1">#REF!</definedName>
    <definedName name="_Table1_Out" hidden="1">#REF!</definedName>
    <definedName name="_Table2_In1" localSheetId="2" hidden="1">[3]INVDAYS!#REF!</definedName>
    <definedName name="_Table2_In1" localSheetId="7" hidden="1">[4]INVDAYS!#REF!</definedName>
    <definedName name="_Table2_In1" localSheetId="5" hidden="1">[4]INVDAYS!#REF!</definedName>
    <definedName name="_Table2_In1" localSheetId="9" hidden="1">[4]INVDAYS!#REF!</definedName>
    <definedName name="_Table2_In1" localSheetId="0" hidden="1">[4]INVDAYS!#REF!</definedName>
    <definedName name="_Table2_In1" hidden="1">[4]INVDAYS!#REF!</definedName>
    <definedName name="_Table2_In2" localSheetId="2" hidden="1">[3]INVDAYS!#REF!</definedName>
    <definedName name="_Table2_In2" localSheetId="7" hidden="1">[4]INVDAYS!#REF!</definedName>
    <definedName name="_Table2_In2" localSheetId="5" hidden="1">[4]INVDAYS!#REF!</definedName>
    <definedName name="_Table2_In2" localSheetId="9" hidden="1">[4]INVDAYS!#REF!</definedName>
    <definedName name="_Table2_In2" localSheetId="0" hidden="1">[4]INVDAYS!#REF!</definedName>
    <definedName name="_Table2_In2" hidden="1">[4]INVDAYS!#REF!</definedName>
    <definedName name="aaa" localSheetId="2" hidden="1">#REF!</definedName>
    <definedName name="aaa" localSheetId="7" hidden="1">#REF!</definedName>
    <definedName name="aaa" localSheetId="5" hidden="1">#REF!</definedName>
    <definedName name="aaa" localSheetId="9" hidden="1">#REF!</definedName>
    <definedName name="aaa" localSheetId="0" hidden="1">#REF!</definedName>
    <definedName name="aaa" hidden="1">#REF!</definedName>
    <definedName name="AccessDatabase" hidden="1">"Z:\FI\Finance\Liuxj\Export sales\pastdue-e 2004\France 04.mdb"</definedName>
    <definedName name="AS2DocOpenMode" hidden="1">"AS2DocumentEdit"</definedName>
    <definedName name="D300A" localSheetId="2" hidden="1">#REF!</definedName>
    <definedName name="D300A" localSheetId="7" hidden="1">#REF!</definedName>
    <definedName name="D300A" localSheetId="5" hidden="1">#REF!</definedName>
    <definedName name="D300A" localSheetId="9" hidden="1">#REF!</definedName>
    <definedName name="D300A" localSheetId="0" hidden="1">#REF!</definedName>
    <definedName name="D300A" hidden="1">#REF!</definedName>
    <definedName name="dddffffffff" localSheetId="2"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dddffffffff" localSheetId="5"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dddffffffff" localSheetId="9"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dddffffffff" localSheetId="0"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dddffffffff"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dfdfd" localSheetId="2"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dfdfd" localSheetId="5"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dfdfd" localSheetId="9"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dfdfd" localSheetId="0"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dfdfd"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eeee" localSheetId="2"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eeee" localSheetId="5"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eeee" localSheetId="9"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eeee" localSheetId="0"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eeee"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EV__LASTREFTIME__" hidden="1">"20/10/2004 PM 4:03:03"</definedName>
    <definedName name="EV__MAXEXPCOLS__" hidden="1">100</definedName>
    <definedName name="EV__MAXEXPROWS__" hidden="1">1000</definedName>
    <definedName name="EV__WBEVMODE__" hidden="1">0</definedName>
    <definedName name="EV__WBREFOPTIONS__" hidden="1">134217735</definedName>
    <definedName name="EV__WBVERSION__" hidden="1">0</definedName>
    <definedName name="EV__WSINFO__" hidden="1">"everest"</definedName>
    <definedName name="FILTERDATABASE" localSheetId="2" hidden="1">#REF!</definedName>
    <definedName name="FILTERDATABASE" localSheetId="7" hidden="1">#REF!</definedName>
    <definedName name="FILTERDATABASE" localSheetId="5" hidden="1">#REF!</definedName>
    <definedName name="FILTERDATABASE" localSheetId="9" hidden="1">#REF!</definedName>
    <definedName name="FILTERDATABASE" localSheetId="0" hidden="1">#REF!</definedName>
    <definedName name="FILTERDATABASE" hidden="1">#REF!</definedName>
    <definedName name="HTML_CodePage" hidden="1">1252</definedName>
    <definedName name="HTML_Control" localSheetId="2" hidden="1">{"'page 1'!$K$13","'page 1'!$A$1:$V$50"}</definedName>
    <definedName name="HTML_Control" localSheetId="5" hidden="1">{"'page 1'!$K$13","'page 1'!$A$1:$V$50"}</definedName>
    <definedName name="HTML_Control" localSheetId="9" hidden="1">{"'page 1'!$K$13","'page 1'!$A$1:$V$50"}</definedName>
    <definedName name="HTML_Control" localSheetId="0" hidden="1">{"'page 1'!$K$13","'page 1'!$A$1:$V$50"}</definedName>
    <definedName name="HTML_Control" hidden="1">{"'page 1'!$K$13","'page 1'!$A$1:$V$50"}</definedName>
    <definedName name="HTML_Description" hidden="1">""</definedName>
    <definedName name="HTML_Email" hidden="1">""</definedName>
    <definedName name="HTML_Header" hidden="1">"page 1"</definedName>
    <definedName name="HTML_LastUpdate" hidden="1">"19/12/2001"</definedName>
    <definedName name="HTML_LineAfter" hidden="1">FALSE</definedName>
    <definedName name="HTML_LineBefore" hidden="1">FALSE</definedName>
    <definedName name="HTML_Name" hidden="1">"J.F. BAILLEUX"</definedName>
    <definedName name="HTML_OBDlg2" hidden="1">TRUE</definedName>
    <definedName name="HTML_OBDlg4" hidden="1">TRUE</definedName>
    <definedName name="HTML_OS" hidden="1">0</definedName>
    <definedName name="HTML_PathFile" hidden="1">"M:\Donnees\MonHTML.htm"</definedName>
    <definedName name="HTML_Title" hidden="1">"T40103-e-fprix"</definedName>
    <definedName name="JA" localSheetId="2" hidden="1">{"'毛利比较'!$A$4:$P$26"}</definedName>
    <definedName name="JA" localSheetId="5" hidden="1">{"'毛利比较'!$A$4:$P$26"}</definedName>
    <definedName name="JA" localSheetId="9" hidden="1">{"'毛利比较'!$A$4:$P$26"}</definedName>
    <definedName name="JA" localSheetId="0" hidden="1">{"'毛利比较'!$A$4:$P$26"}</definedName>
    <definedName name="JA" hidden="1">{"'毛利比较'!$A$4:$P$26"}</definedName>
    <definedName name="jdojdo" localSheetId="2" hidden="1">#REF!</definedName>
    <definedName name="jdojdo" localSheetId="7" hidden="1">#REF!</definedName>
    <definedName name="jdojdo" localSheetId="5" hidden="1">#REF!</definedName>
    <definedName name="jdojdo" localSheetId="9" hidden="1">#REF!</definedName>
    <definedName name="jdojdo" localSheetId="0" hidden="1">#REF!</definedName>
    <definedName name="jdojdo" hidden="1">#REF!</definedName>
    <definedName name="KEYY" localSheetId="2" hidden="1">#REF!</definedName>
    <definedName name="KEYY" localSheetId="7" hidden="1">#REF!</definedName>
    <definedName name="KEYY" localSheetId="5" hidden="1">#REF!</definedName>
    <definedName name="KEYY" localSheetId="9" hidden="1">#REF!</definedName>
    <definedName name="KEYY" localSheetId="0" hidden="1">#REF!</definedName>
    <definedName name="KEYY" hidden="1">#REF!</definedName>
    <definedName name="lk" localSheetId="2" hidden="1">#REF!</definedName>
    <definedName name="lk" localSheetId="7" hidden="1">#REF!</definedName>
    <definedName name="lk" localSheetId="5" hidden="1">#REF!</definedName>
    <definedName name="lk" localSheetId="9" hidden="1">#REF!</definedName>
    <definedName name="lk" localSheetId="0" hidden="1">#REF!</definedName>
    <definedName name="lk" hidden="1">#REF!</definedName>
    <definedName name="lo" localSheetId="2" hidden="1">#REF!</definedName>
    <definedName name="lo" localSheetId="7" hidden="1">#REF!</definedName>
    <definedName name="lo" localSheetId="5" hidden="1">#REF!</definedName>
    <definedName name="lo" localSheetId="9" hidden="1">#REF!</definedName>
    <definedName name="lo" localSheetId="0" hidden="1">#REF!</definedName>
    <definedName name="lo" hidden="1">#REF!</definedName>
    <definedName name="lp" localSheetId="2" hidden="1">#REF!</definedName>
    <definedName name="lp" localSheetId="7" hidden="1">#REF!</definedName>
    <definedName name="lp" localSheetId="5" hidden="1">#REF!</definedName>
    <definedName name="lp" localSheetId="9" hidden="1">#REF!</definedName>
    <definedName name="lp" localSheetId="0" hidden="1">#REF!</definedName>
    <definedName name="lp" hidden="1">#REF!</definedName>
    <definedName name="pp" localSheetId="2" hidden="1">#REF!</definedName>
    <definedName name="pp" localSheetId="7" hidden="1">#REF!</definedName>
    <definedName name="pp" localSheetId="5" hidden="1">#REF!</definedName>
    <definedName name="pp" localSheetId="9" hidden="1">#REF!</definedName>
    <definedName name="pp" localSheetId="0" hidden="1">#REF!</definedName>
    <definedName name="pp" hidden="1">#REF!</definedName>
    <definedName name="SAPBEXdnldView" hidden="1">"7ED1CYPPGJUVN2728CYW0VYLO"</definedName>
    <definedName name="SAPBEXrevision" hidden="1">5</definedName>
    <definedName name="SAPBEXREVISIONN" hidden="1">25</definedName>
    <definedName name="SAPBEXsysID" hidden="1">"PBB"</definedName>
    <definedName name="SAPBEXwbID" hidden="1">"0422K8FL3VHURLAH1ZE0FYH10"</definedName>
    <definedName name="TextRefCopyRangeCount" hidden="1">97</definedName>
    <definedName name="token" localSheetId="2" hidden="1">{"'page 1'!$K$13","'page 1'!$A$1:$V$50"}</definedName>
    <definedName name="token" localSheetId="5" hidden="1">{"'page 1'!$K$13","'page 1'!$A$1:$V$50"}</definedName>
    <definedName name="token" localSheetId="9" hidden="1">{"'page 1'!$K$13","'page 1'!$A$1:$V$50"}</definedName>
    <definedName name="token" localSheetId="0" hidden="1">{"'page 1'!$K$13","'page 1'!$A$1:$V$50"}</definedName>
    <definedName name="token" hidden="1">{"'page 1'!$K$13","'page 1'!$A$1:$V$50"}</definedName>
    <definedName name="TREND1" localSheetId="2" hidden="1">#REF!</definedName>
    <definedName name="TREND1" localSheetId="7" hidden="1">#REF!</definedName>
    <definedName name="TREND1" localSheetId="5" hidden="1">#REF!</definedName>
    <definedName name="TREND1" localSheetId="9" hidden="1">#REF!</definedName>
    <definedName name="TREND1" localSheetId="0" hidden="1">#REF!</definedName>
    <definedName name="TREND1" hidden="1">#REF!</definedName>
    <definedName name="TREND10" localSheetId="2" hidden="1">#REF!</definedName>
    <definedName name="TREND10" localSheetId="7" hidden="1">#REF!</definedName>
    <definedName name="TREND10" localSheetId="5" hidden="1">#REF!</definedName>
    <definedName name="TREND10" localSheetId="9" hidden="1">#REF!</definedName>
    <definedName name="TREND10" localSheetId="0" hidden="1">#REF!</definedName>
    <definedName name="TREND10" hidden="1">#REF!</definedName>
    <definedName name="TREND11" localSheetId="2" hidden="1">#REF!</definedName>
    <definedName name="TREND11" localSheetId="7" hidden="1">#REF!</definedName>
    <definedName name="TREND11" localSheetId="5" hidden="1">#REF!</definedName>
    <definedName name="TREND11" localSheetId="9" hidden="1">#REF!</definedName>
    <definedName name="TREND11" localSheetId="0" hidden="1">#REF!</definedName>
    <definedName name="TREND11" hidden="1">#REF!</definedName>
    <definedName name="TREND2" localSheetId="2" hidden="1">#REF!</definedName>
    <definedName name="TREND2" localSheetId="7" hidden="1">#REF!</definedName>
    <definedName name="TREND2" localSheetId="5" hidden="1">#REF!</definedName>
    <definedName name="TREND2" localSheetId="9" hidden="1">#REF!</definedName>
    <definedName name="TREND2" localSheetId="0" hidden="1">#REF!</definedName>
    <definedName name="TREND2" hidden="1">#REF!</definedName>
    <definedName name="TREND3" localSheetId="2" hidden="1">#REF!</definedName>
    <definedName name="TREND3" localSheetId="7" hidden="1">#REF!</definedName>
    <definedName name="TREND3" localSheetId="5" hidden="1">#REF!</definedName>
    <definedName name="TREND3" localSheetId="9" hidden="1">#REF!</definedName>
    <definedName name="TREND3" localSheetId="0" hidden="1">#REF!</definedName>
    <definedName name="TREND3" hidden="1">#REF!</definedName>
    <definedName name="TREND4" localSheetId="2" hidden="1">#REF!</definedName>
    <definedName name="TREND4" localSheetId="7" hidden="1">#REF!</definedName>
    <definedName name="TREND4" localSheetId="5" hidden="1">#REF!</definedName>
    <definedName name="TREND4" localSheetId="9" hidden="1">#REF!</definedName>
    <definedName name="TREND4" localSheetId="0" hidden="1">#REF!</definedName>
    <definedName name="TREND4" hidden="1">#REF!</definedName>
    <definedName name="TREND5" localSheetId="2" hidden="1">#REF!</definedName>
    <definedName name="TREND5" localSheetId="7" hidden="1">#REF!</definedName>
    <definedName name="TREND5" localSheetId="5" hidden="1">#REF!</definedName>
    <definedName name="TREND5" localSheetId="9" hidden="1">#REF!</definedName>
    <definedName name="TREND5" localSheetId="0" hidden="1">#REF!</definedName>
    <definedName name="TREND5" hidden="1">#REF!</definedName>
    <definedName name="TREND6" localSheetId="2" hidden="1">#REF!</definedName>
    <definedName name="TREND6" localSheetId="7" hidden="1">#REF!</definedName>
    <definedName name="TREND6" localSheetId="5" hidden="1">#REF!</definedName>
    <definedName name="TREND6" localSheetId="9" hidden="1">#REF!</definedName>
    <definedName name="TREND6" localSheetId="0" hidden="1">#REF!</definedName>
    <definedName name="TREND6" hidden="1">#REF!</definedName>
    <definedName name="TREND7" localSheetId="2" hidden="1">#REF!</definedName>
    <definedName name="TREND7" localSheetId="7" hidden="1">#REF!</definedName>
    <definedName name="TREND7" localSheetId="5" hidden="1">#REF!</definedName>
    <definedName name="TREND7" localSheetId="9" hidden="1">#REF!</definedName>
    <definedName name="TREND7" localSheetId="0" hidden="1">#REF!</definedName>
    <definedName name="TREND7" hidden="1">#REF!</definedName>
    <definedName name="trend8" localSheetId="2" hidden="1">#REF!</definedName>
    <definedName name="trend8" localSheetId="7" hidden="1">#REF!</definedName>
    <definedName name="trend8" localSheetId="5" hidden="1">#REF!</definedName>
    <definedName name="trend8" localSheetId="9" hidden="1">#REF!</definedName>
    <definedName name="trend8" localSheetId="0" hidden="1">#REF!</definedName>
    <definedName name="trend8" hidden="1">#REF!</definedName>
    <definedName name="TREND9" localSheetId="2" hidden="1">#REF!</definedName>
    <definedName name="TREND9" localSheetId="7" hidden="1">#REF!</definedName>
    <definedName name="TREND9" localSheetId="5" hidden="1">#REF!</definedName>
    <definedName name="TREND9" localSheetId="9" hidden="1">#REF!</definedName>
    <definedName name="TREND9" localSheetId="0" hidden="1">#REF!</definedName>
    <definedName name="TREND9" hidden="1">#REF!</definedName>
    <definedName name="VBX" localSheetId="2" hidden="1">{"'毛利比较'!$A$4:$P$26"}</definedName>
    <definedName name="VBX" localSheetId="5" hidden="1">{"'毛利比较'!$A$4:$P$26"}</definedName>
    <definedName name="VBX" localSheetId="9" hidden="1">{"'毛利比较'!$A$4:$P$26"}</definedName>
    <definedName name="VBX" localSheetId="0" hidden="1">{"'毛利比较'!$A$4:$P$26"}</definedName>
    <definedName name="VBX" hidden="1">{"'毛利比较'!$A$4:$P$26"}</definedName>
    <definedName name="wrn.Account._.Receivable." localSheetId="2"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wrn.Account._.Receivable." localSheetId="5"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wrn.Account._.Receivable." localSheetId="9"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wrn.Account._.Receivable." localSheetId="0"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wrn.Account._.Receivable." hidden="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wrn.Aging._.and._.Trend._.Analysis." localSheetId="2"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9" hidden="1">{#N/A,#N/A,FALSE,"Aging Summary";#N/A,#N/A,FALSE,"Ratio Analysis";#N/A,#N/A,FALSE,"Test 120 Day Accts";#N/A,#N/A,FALSE,"Tickmarks"}</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R.MONTHEND." localSheetId="2" hidden="1">{#N/A,#N/A,FALSE,"Aging"}</definedName>
    <definedName name="wrn.AR.MONTHEND." localSheetId="5" hidden="1">{#N/A,#N/A,FALSE,"Aging"}</definedName>
    <definedName name="wrn.AR.MONTHEND." localSheetId="9" hidden="1">{#N/A,#N/A,FALSE,"Aging"}</definedName>
    <definedName name="wrn.AR.MONTHEND." localSheetId="0" hidden="1">{#N/A,#N/A,FALSE,"Aging"}</definedName>
    <definedName name="wrn.AR.MONTHEND." hidden="1">{#N/A,#N/A,FALSE,"Aging"}</definedName>
    <definedName name="wrn.Summary._.sheet._.print." localSheetId="2" hidden="1">{"print view",#N/A,FALSE,"Summary"}</definedName>
    <definedName name="wrn.Summary._.sheet._.print." localSheetId="5" hidden="1">{"print view",#N/A,FALSE,"Summary"}</definedName>
    <definedName name="wrn.Summary._.sheet._.print." localSheetId="9" hidden="1">{"print view",#N/A,FALSE,"Summary"}</definedName>
    <definedName name="wrn.Summary._.sheet._.print." localSheetId="0" hidden="1">{"print view",#N/A,FALSE,"Summary"}</definedName>
    <definedName name="wrn.Summary._.sheet._.print." hidden="1">{"print view",#N/A,FALSE,"Summary"}</definedName>
    <definedName name="wrn.Tout._.Sauf._.BG." localSheetId="2"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 localSheetId="5"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 localSheetId="9"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 localSheetId="0"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现金." localSheetId="2" hidden="1">{"现金主表",#N/A,FALSE,"正式Cashflow"}</definedName>
    <definedName name="wrn.现金." localSheetId="5" hidden="1">{"现金主表",#N/A,FALSE,"正式Cashflow"}</definedName>
    <definedName name="wrn.现金." localSheetId="9" hidden="1">{"现金主表",#N/A,FALSE,"正式Cashflow"}</definedName>
    <definedName name="wrn.现金." localSheetId="0" hidden="1">{"现金主表",#N/A,FALSE,"正式Cashflow"}</definedName>
    <definedName name="wrn.现金." hidden="1">{"现金主表",#N/A,FALSE,"正式Cashflow"}</definedName>
    <definedName name="wrn.现金主表." localSheetId="2" hidden="1">{"现金主表",#N/A,FALSE,"正式Cashflow"}</definedName>
    <definedName name="wrn.现金主表." localSheetId="5" hidden="1">{"现金主表",#N/A,FALSE,"正式Cashflow"}</definedName>
    <definedName name="wrn.现金主表." localSheetId="9" hidden="1">{"现金主表",#N/A,FALSE,"正式Cashflow"}</definedName>
    <definedName name="wrn.现金主表." localSheetId="0" hidden="1">{"现金主表",#N/A,FALSE,"正式Cashflow"}</definedName>
    <definedName name="wrn.现金主表." hidden="1">{"现金主表",#N/A,FALSE,"正式Cashflow"}</definedName>
    <definedName name="wrn.负债及权益." localSheetId="2" hidden="1">{"负债及权益",#N/A,FALSE,"TB-BS"}</definedName>
    <definedName name="wrn.负债及权益." localSheetId="5" hidden="1">{"负债及权益",#N/A,FALSE,"TB-BS"}</definedName>
    <definedName name="wrn.负债及权益." localSheetId="9" hidden="1">{"负债及权益",#N/A,FALSE,"TB-BS"}</definedName>
    <definedName name="wrn.负债及权益." localSheetId="0" hidden="1">{"负债及权益",#N/A,FALSE,"TB-BS"}</definedName>
    <definedName name="wrn.负债及权益." hidden="1">{"负债及权益",#N/A,FALSE,"TB-BS"}</definedName>
    <definedName name="wrn.资产." localSheetId="2" hidden="1">{"资产",#N/A,FALSE,"TB-BS"}</definedName>
    <definedName name="wrn.资产." localSheetId="5" hidden="1">{"资产",#N/A,FALSE,"TB-BS"}</definedName>
    <definedName name="wrn.资产." localSheetId="9" hidden="1">{"资产",#N/A,FALSE,"TB-BS"}</definedName>
    <definedName name="wrn.资产." localSheetId="0" hidden="1">{"资产",#N/A,FALSE,"TB-BS"}</definedName>
    <definedName name="wrn.资产." hidden="1">{"资产",#N/A,FALSE,"TB-BS"}</definedName>
    <definedName name="XREF_COLUMN_1" localSheetId="2" hidden="1">#REF!</definedName>
    <definedName name="XREF_COLUMN_1" localSheetId="7" hidden="1">#REF!</definedName>
    <definedName name="XREF_COLUMN_1" localSheetId="5" hidden="1">#REF!</definedName>
    <definedName name="XREF_COLUMN_1" localSheetId="9" hidden="1">#REF!</definedName>
    <definedName name="XREF_COLUMN_1" localSheetId="0" hidden="1">#REF!</definedName>
    <definedName name="XREF_COLUMN_1" hidden="1">#REF!</definedName>
    <definedName name="XREF_COLUMN_10" localSheetId="2" hidden="1">#REF!</definedName>
    <definedName name="XREF_COLUMN_10" localSheetId="7" hidden="1">#REF!</definedName>
    <definedName name="XREF_COLUMN_10" localSheetId="5" hidden="1">#REF!</definedName>
    <definedName name="XREF_COLUMN_10" localSheetId="9" hidden="1">#REF!</definedName>
    <definedName name="XREF_COLUMN_10" localSheetId="0" hidden="1">#REF!</definedName>
    <definedName name="XREF_COLUMN_10" hidden="1">#REF!</definedName>
    <definedName name="XREF_COLUMN_11" localSheetId="2" hidden="1">[5]bank!#REF!</definedName>
    <definedName name="XREF_COLUMN_11" localSheetId="7" hidden="1">[6]bank!#REF!</definedName>
    <definedName name="XREF_COLUMN_11" localSheetId="5" hidden="1">[6]bank!#REF!</definedName>
    <definedName name="XREF_COLUMN_11" localSheetId="9" hidden="1">[6]bank!#REF!</definedName>
    <definedName name="XREF_COLUMN_11" localSheetId="0" hidden="1">[6]bank!#REF!</definedName>
    <definedName name="XREF_COLUMN_11" hidden="1">[6]bank!#REF!</definedName>
    <definedName name="XREF_COLUMN_2" localSheetId="2" hidden="1">#REF!</definedName>
    <definedName name="XREF_COLUMN_2" localSheetId="7" hidden="1">#REF!</definedName>
    <definedName name="XREF_COLUMN_2" localSheetId="5" hidden="1">#REF!</definedName>
    <definedName name="XREF_COLUMN_2" localSheetId="9" hidden="1">#REF!</definedName>
    <definedName name="XREF_COLUMN_2" localSheetId="0" hidden="1">#REF!</definedName>
    <definedName name="XREF_COLUMN_2" hidden="1">#REF!</definedName>
    <definedName name="XREF_COLUMN_3" localSheetId="2" hidden="1">#REF!</definedName>
    <definedName name="XREF_COLUMN_3" localSheetId="7" hidden="1">#REF!</definedName>
    <definedName name="XREF_COLUMN_3" localSheetId="5" hidden="1">#REF!</definedName>
    <definedName name="XREF_COLUMN_3" localSheetId="9" hidden="1">#REF!</definedName>
    <definedName name="XREF_COLUMN_3" localSheetId="0" hidden="1">#REF!</definedName>
    <definedName name="XREF_COLUMN_3" hidden="1">#REF!</definedName>
    <definedName name="XREF_COLUMN_4" localSheetId="2" hidden="1">#REF!</definedName>
    <definedName name="XREF_COLUMN_4" localSheetId="7" hidden="1">#REF!</definedName>
    <definedName name="XREF_COLUMN_4" localSheetId="5" hidden="1">#REF!</definedName>
    <definedName name="XREF_COLUMN_4" localSheetId="9" hidden="1">#REF!</definedName>
    <definedName name="XREF_COLUMN_4" localSheetId="0" hidden="1">#REF!</definedName>
    <definedName name="XREF_COLUMN_4" hidden="1">#REF!</definedName>
    <definedName name="XREF_COLUMN_5" localSheetId="2" hidden="1">#REF!</definedName>
    <definedName name="XREF_COLUMN_5" localSheetId="7" hidden="1">#REF!</definedName>
    <definedName name="XREF_COLUMN_5" localSheetId="5" hidden="1">#REF!</definedName>
    <definedName name="XREF_COLUMN_5" localSheetId="9" hidden="1">#REF!</definedName>
    <definedName name="XREF_COLUMN_5" localSheetId="0" hidden="1">#REF!</definedName>
    <definedName name="XREF_COLUMN_5" hidden="1">#REF!</definedName>
    <definedName name="XREF_COLUMN_6" localSheetId="2" hidden="1">#REF!</definedName>
    <definedName name="XREF_COLUMN_6" localSheetId="7" hidden="1">#REF!</definedName>
    <definedName name="XREF_COLUMN_6" localSheetId="5" hidden="1">#REF!</definedName>
    <definedName name="XREF_COLUMN_6" localSheetId="9" hidden="1">#REF!</definedName>
    <definedName name="XREF_COLUMN_6" localSheetId="0" hidden="1">#REF!</definedName>
    <definedName name="XREF_COLUMN_6" hidden="1">#REF!</definedName>
    <definedName name="XREF_COLUMN_7" localSheetId="2" hidden="1">#REF!</definedName>
    <definedName name="XREF_COLUMN_7" localSheetId="7" hidden="1">#REF!</definedName>
    <definedName name="XREF_COLUMN_7" localSheetId="5" hidden="1">#REF!</definedName>
    <definedName name="XREF_COLUMN_7" localSheetId="9" hidden="1">#REF!</definedName>
    <definedName name="XREF_COLUMN_7" localSheetId="0" hidden="1">#REF!</definedName>
    <definedName name="XREF_COLUMN_7" hidden="1">#REF!</definedName>
    <definedName name="XREF_COLUMN_8" localSheetId="2" hidden="1">#REF!</definedName>
    <definedName name="XREF_COLUMN_8" localSheetId="7" hidden="1">#REF!</definedName>
    <definedName name="XREF_COLUMN_8" localSheetId="5" hidden="1">#REF!</definedName>
    <definedName name="XREF_COLUMN_8" localSheetId="9" hidden="1">#REF!</definedName>
    <definedName name="XREF_COLUMN_8" localSheetId="0" hidden="1">#REF!</definedName>
    <definedName name="XREF_COLUMN_8" hidden="1">#REF!</definedName>
    <definedName name="XREF_COLUMN_9" localSheetId="2" hidden="1">#REF!</definedName>
    <definedName name="XREF_COLUMN_9" localSheetId="7" hidden="1">#REF!</definedName>
    <definedName name="XREF_COLUMN_9" localSheetId="5" hidden="1">#REF!</definedName>
    <definedName name="XREF_COLUMN_9" localSheetId="9" hidden="1">#REF!</definedName>
    <definedName name="XREF_COLUMN_9" localSheetId="0" hidden="1">#REF!</definedName>
    <definedName name="XREF_COLUMN_9" hidden="1">#REF!</definedName>
    <definedName name="XRefActiveRow" localSheetId="2" hidden="1">#REF!</definedName>
    <definedName name="XRefActiveRow" localSheetId="7" hidden="1">#REF!</definedName>
    <definedName name="XRefActiveRow" localSheetId="5" hidden="1">#REF!</definedName>
    <definedName name="XRefActiveRow" localSheetId="9" hidden="1">#REF!</definedName>
    <definedName name="XRefActiveRow" localSheetId="0" hidden="1">#REF!</definedName>
    <definedName name="XRefActiveRow" hidden="1">#REF!</definedName>
    <definedName name="XRefColumnsCount" hidden="1">12</definedName>
    <definedName name="XRefCopy1" localSheetId="2" hidden="1">#REF!</definedName>
    <definedName name="XRefCopy1" localSheetId="7" hidden="1">#REF!</definedName>
    <definedName name="XRefCopy1" localSheetId="5" hidden="1">#REF!</definedName>
    <definedName name="XRefCopy1" localSheetId="9" hidden="1">#REF!</definedName>
    <definedName name="XRefCopy1" localSheetId="0" hidden="1">#REF!</definedName>
    <definedName name="XRefCopy1" hidden="1">#REF!</definedName>
    <definedName name="XRefCopy10" localSheetId="2" hidden="1">#REF!</definedName>
    <definedName name="XRefCopy10" localSheetId="7" hidden="1">#REF!</definedName>
    <definedName name="XRefCopy10" localSheetId="5" hidden="1">#REF!</definedName>
    <definedName name="XRefCopy10" localSheetId="9" hidden="1">#REF!</definedName>
    <definedName name="XRefCopy10" localSheetId="0" hidden="1">#REF!</definedName>
    <definedName name="XRefCopy10" hidden="1">#REF!</definedName>
    <definedName name="XRefCopy10Row" localSheetId="2" hidden="1">#REF!</definedName>
    <definedName name="XRefCopy10Row" localSheetId="7" hidden="1">#REF!</definedName>
    <definedName name="XRefCopy10Row" localSheetId="5" hidden="1">#REF!</definedName>
    <definedName name="XRefCopy10Row" localSheetId="9" hidden="1">#REF!</definedName>
    <definedName name="XRefCopy10Row" localSheetId="0" hidden="1">#REF!</definedName>
    <definedName name="XRefCopy10Row" hidden="1">#REF!</definedName>
    <definedName name="XRefCopy11" localSheetId="2" hidden="1">#REF!</definedName>
    <definedName name="XRefCopy11" localSheetId="7" hidden="1">#REF!</definedName>
    <definedName name="XRefCopy11" localSheetId="5" hidden="1">#REF!</definedName>
    <definedName name="XRefCopy11" localSheetId="9" hidden="1">#REF!</definedName>
    <definedName name="XRefCopy11" localSheetId="0" hidden="1">#REF!</definedName>
    <definedName name="XRefCopy11" hidden="1">#REF!</definedName>
    <definedName name="XRefCopy11Row" localSheetId="2" hidden="1">#REF!</definedName>
    <definedName name="XRefCopy11Row" localSheetId="7" hidden="1">#REF!</definedName>
    <definedName name="XRefCopy11Row" localSheetId="5" hidden="1">#REF!</definedName>
    <definedName name="XRefCopy11Row" localSheetId="9" hidden="1">#REF!</definedName>
    <definedName name="XRefCopy11Row" localSheetId="0" hidden="1">#REF!</definedName>
    <definedName name="XRefCopy11Row" hidden="1">#REF!</definedName>
    <definedName name="XRefCopy12" localSheetId="2" hidden="1">#REF!</definedName>
    <definedName name="XRefCopy12" localSheetId="7" hidden="1">#REF!</definedName>
    <definedName name="XRefCopy12" localSheetId="5" hidden="1">#REF!</definedName>
    <definedName name="XRefCopy12" localSheetId="9" hidden="1">#REF!</definedName>
    <definedName name="XRefCopy12" localSheetId="0" hidden="1">#REF!</definedName>
    <definedName name="XRefCopy12" hidden="1">#REF!</definedName>
    <definedName name="XRefCopy12Row" localSheetId="2" hidden="1">#REF!</definedName>
    <definedName name="XRefCopy12Row" localSheetId="7" hidden="1">#REF!</definedName>
    <definedName name="XRefCopy12Row" localSheetId="5" hidden="1">#REF!</definedName>
    <definedName name="XRefCopy12Row" localSheetId="9" hidden="1">#REF!</definedName>
    <definedName name="XRefCopy12Row" localSheetId="0" hidden="1">#REF!</definedName>
    <definedName name="XRefCopy12Row" hidden="1">#REF!</definedName>
    <definedName name="XRefCopy13" localSheetId="2" hidden="1">#REF!</definedName>
    <definedName name="XRefCopy13" localSheetId="7" hidden="1">#REF!</definedName>
    <definedName name="XRefCopy13" localSheetId="5" hidden="1">#REF!</definedName>
    <definedName name="XRefCopy13" localSheetId="9" hidden="1">#REF!</definedName>
    <definedName name="XRefCopy13" localSheetId="0" hidden="1">#REF!</definedName>
    <definedName name="XRefCopy13" hidden="1">#REF!</definedName>
    <definedName name="XRefCopy13Row" localSheetId="2" hidden="1">#REF!</definedName>
    <definedName name="XRefCopy13Row" localSheetId="7" hidden="1">#REF!</definedName>
    <definedName name="XRefCopy13Row" localSheetId="5" hidden="1">#REF!</definedName>
    <definedName name="XRefCopy13Row" localSheetId="9" hidden="1">#REF!</definedName>
    <definedName name="XRefCopy13Row" localSheetId="0" hidden="1">#REF!</definedName>
    <definedName name="XRefCopy13Row" hidden="1">#REF!</definedName>
    <definedName name="XRefCopy14" localSheetId="2" hidden="1">#REF!</definedName>
    <definedName name="XRefCopy14" localSheetId="7" hidden="1">#REF!</definedName>
    <definedName name="XRefCopy14" localSheetId="5" hidden="1">#REF!</definedName>
    <definedName name="XRefCopy14" localSheetId="9" hidden="1">#REF!</definedName>
    <definedName name="XRefCopy14" localSheetId="0" hidden="1">#REF!</definedName>
    <definedName name="XRefCopy14" hidden="1">#REF!</definedName>
    <definedName name="XRefCopy14Row" localSheetId="2" hidden="1">#REF!</definedName>
    <definedName name="XRefCopy14Row" localSheetId="7" hidden="1">#REF!</definedName>
    <definedName name="XRefCopy14Row" localSheetId="5" hidden="1">#REF!</definedName>
    <definedName name="XRefCopy14Row" localSheetId="9" hidden="1">#REF!</definedName>
    <definedName name="XRefCopy14Row" localSheetId="0" hidden="1">#REF!</definedName>
    <definedName name="XRefCopy14Row" hidden="1">#REF!</definedName>
    <definedName name="XRefCopy15" localSheetId="2" hidden="1">#REF!</definedName>
    <definedName name="XRefCopy15" localSheetId="7" hidden="1">#REF!</definedName>
    <definedName name="XRefCopy15" localSheetId="5" hidden="1">#REF!</definedName>
    <definedName name="XRefCopy15" localSheetId="9" hidden="1">#REF!</definedName>
    <definedName name="XRefCopy15" localSheetId="0" hidden="1">#REF!</definedName>
    <definedName name="XRefCopy15" hidden="1">#REF!</definedName>
    <definedName name="XRefCopy15Row" localSheetId="2" hidden="1">#REF!</definedName>
    <definedName name="XRefCopy15Row" localSheetId="7" hidden="1">#REF!</definedName>
    <definedName name="XRefCopy15Row" localSheetId="5" hidden="1">#REF!</definedName>
    <definedName name="XRefCopy15Row" localSheetId="9" hidden="1">#REF!</definedName>
    <definedName name="XRefCopy15Row" localSheetId="0" hidden="1">#REF!</definedName>
    <definedName name="XRefCopy15Row" hidden="1">#REF!</definedName>
    <definedName name="XRefCopy16" localSheetId="2" hidden="1">#REF!</definedName>
    <definedName name="XRefCopy16" localSheetId="7" hidden="1">#REF!</definedName>
    <definedName name="XRefCopy16" localSheetId="5" hidden="1">#REF!</definedName>
    <definedName name="XRefCopy16" localSheetId="9" hidden="1">#REF!</definedName>
    <definedName name="XRefCopy16" localSheetId="0" hidden="1">#REF!</definedName>
    <definedName name="XRefCopy16" hidden="1">#REF!</definedName>
    <definedName name="XRefCopy16Row" localSheetId="2" hidden="1">#REF!</definedName>
    <definedName name="XRefCopy16Row" localSheetId="7" hidden="1">#REF!</definedName>
    <definedName name="XRefCopy16Row" localSheetId="5" hidden="1">#REF!</definedName>
    <definedName name="XRefCopy16Row" localSheetId="9" hidden="1">#REF!</definedName>
    <definedName name="XRefCopy16Row" localSheetId="0" hidden="1">#REF!</definedName>
    <definedName name="XRefCopy16Row" hidden="1">#REF!</definedName>
    <definedName name="XRefCopy17" localSheetId="2" hidden="1">#REF!</definedName>
    <definedName name="XRefCopy17" localSheetId="7" hidden="1">#REF!</definedName>
    <definedName name="XRefCopy17" localSheetId="5" hidden="1">#REF!</definedName>
    <definedName name="XRefCopy17" localSheetId="9" hidden="1">#REF!</definedName>
    <definedName name="XRefCopy17" localSheetId="0" hidden="1">#REF!</definedName>
    <definedName name="XRefCopy17" hidden="1">#REF!</definedName>
    <definedName name="XRefCopy17Row" localSheetId="2" hidden="1">#REF!</definedName>
    <definedName name="XRefCopy17Row" localSheetId="7" hidden="1">#REF!</definedName>
    <definedName name="XRefCopy17Row" localSheetId="5" hidden="1">#REF!</definedName>
    <definedName name="XRefCopy17Row" localSheetId="9" hidden="1">#REF!</definedName>
    <definedName name="XRefCopy17Row" localSheetId="0" hidden="1">#REF!</definedName>
    <definedName name="XRefCopy17Row" hidden="1">#REF!</definedName>
    <definedName name="XRefCopy19" localSheetId="2" hidden="1">#REF!</definedName>
    <definedName name="XRefCopy19" localSheetId="7" hidden="1">#REF!</definedName>
    <definedName name="XRefCopy19" localSheetId="5" hidden="1">#REF!</definedName>
    <definedName name="XRefCopy19" localSheetId="9" hidden="1">#REF!</definedName>
    <definedName name="XRefCopy19" localSheetId="0" hidden="1">#REF!</definedName>
    <definedName name="XRefCopy19" hidden="1">#REF!</definedName>
    <definedName name="XRefCopy19Row" localSheetId="2" hidden="1">#REF!</definedName>
    <definedName name="XRefCopy19Row" localSheetId="7" hidden="1">#REF!</definedName>
    <definedName name="XRefCopy19Row" localSheetId="5" hidden="1">#REF!</definedName>
    <definedName name="XRefCopy19Row" localSheetId="9" hidden="1">#REF!</definedName>
    <definedName name="XRefCopy19Row" localSheetId="0" hidden="1">#REF!</definedName>
    <definedName name="XRefCopy19Row" hidden="1">#REF!</definedName>
    <definedName name="XRefCopy1Row" localSheetId="2" hidden="1">#REF!</definedName>
    <definedName name="XRefCopy1Row" localSheetId="7" hidden="1">#REF!</definedName>
    <definedName name="XRefCopy1Row" localSheetId="5" hidden="1">#REF!</definedName>
    <definedName name="XRefCopy1Row" localSheetId="9" hidden="1">#REF!</definedName>
    <definedName name="XRefCopy1Row" localSheetId="0" hidden="1">#REF!</definedName>
    <definedName name="XRefCopy1Row" hidden="1">#REF!</definedName>
    <definedName name="XRefCopy2" localSheetId="2" hidden="1">#REF!</definedName>
    <definedName name="XRefCopy2" localSheetId="7" hidden="1">#REF!</definedName>
    <definedName name="XRefCopy2" localSheetId="5" hidden="1">#REF!</definedName>
    <definedName name="XRefCopy2" localSheetId="9" hidden="1">#REF!</definedName>
    <definedName name="XRefCopy2" localSheetId="0" hidden="1">#REF!</definedName>
    <definedName name="XRefCopy2" hidden="1">#REF!</definedName>
    <definedName name="XRefCopy20" localSheetId="2" hidden="1">#REF!</definedName>
    <definedName name="XRefCopy20" localSheetId="7" hidden="1">#REF!</definedName>
    <definedName name="XRefCopy20" localSheetId="5" hidden="1">#REF!</definedName>
    <definedName name="XRefCopy20" localSheetId="9" hidden="1">#REF!</definedName>
    <definedName name="XRefCopy20" localSheetId="0" hidden="1">#REF!</definedName>
    <definedName name="XRefCopy20" hidden="1">#REF!</definedName>
    <definedName name="XRefCopy20Row" localSheetId="2" hidden="1">#REF!</definedName>
    <definedName name="XRefCopy20Row" localSheetId="7" hidden="1">#REF!</definedName>
    <definedName name="XRefCopy20Row" localSheetId="5" hidden="1">#REF!</definedName>
    <definedName name="XRefCopy20Row" localSheetId="9" hidden="1">#REF!</definedName>
    <definedName name="XRefCopy20Row" localSheetId="0" hidden="1">#REF!</definedName>
    <definedName name="XRefCopy20Row" hidden="1">#REF!</definedName>
    <definedName name="XRefCopy21" localSheetId="2" hidden="1">#REF!</definedName>
    <definedName name="XRefCopy21" localSheetId="7" hidden="1">#REF!</definedName>
    <definedName name="XRefCopy21" localSheetId="5" hidden="1">#REF!</definedName>
    <definedName name="XRefCopy21" localSheetId="9" hidden="1">#REF!</definedName>
    <definedName name="XRefCopy21" localSheetId="0" hidden="1">#REF!</definedName>
    <definedName name="XRefCopy21" hidden="1">#REF!</definedName>
    <definedName name="XRefCopy23" localSheetId="2" hidden="1">#REF!</definedName>
    <definedName name="XRefCopy23" localSheetId="7" hidden="1">#REF!</definedName>
    <definedName name="XRefCopy23" localSheetId="5" hidden="1">#REF!</definedName>
    <definedName name="XRefCopy23" localSheetId="9" hidden="1">#REF!</definedName>
    <definedName name="XRefCopy23" localSheetId="0" hidden="1">#REF!</definedName>
    <definedName name="XRefCopy23" hidden="1">#REF!</definedName>
    <definedName name="XRefCopy23Row" localSheetId="2" hidden="1">#REF!</definedName>
    <definedName name="XRefCopy23Row" localSheetId="7" hidden="1">#REF!</definedName>
    <definedName name="XRefCopy23Row" localSheetId="5" hidden="1">#REF!</definedName>
    <definedName name="XRefCopy23Row" localSheetId="9" hidden="1">#REF!</definedName>
    <definedName name="XRefCopy23Row" localSheetId="0" hidden="1">#REF!</definedName>
    <definedName name="XRefCopy23Row" hidden="1">#REF!</definedName>
    <definedName name="XRefCopy24" localSheetId="2" hidden="1">#REF!</definedName>
    <definedName name="XRefCopy24" localSheetId="7" hidden="1">#REF!</definedName>
    <definedName name="XRefCopy24" localSheetId="5" hidden="1">#REF!</definedName>
    <definedName name="XRefCopy24" localSheetId="9" hidden="1">#REF!</definedName>
    <definedName name="XRefCopy24" localSheetId="0" hidden="1">#REF!</definedName>
    <definedName name="XRefCopy24" hidden="1">#REF!</definedName>
    <definedName name="XRefCopy24Row" localSheetId="2" hidden="1">#REF!</definedName>
    <definedName name="XRefCopy24Row" localSheetId="7" hidden="1">#REF!</definedName>
    <definedName name="XRefCopy24Row" localSheetId="5" hidden="1">#REF!</definedName>
    <definedName name="XRefCopy24Row" localSheetId="9" hidden="1">#REF!</definedName>
    <definedName name="XRefCopy24Row" localSheetId="0" hidden="1">#REF!</definedName>
    <definedName name="XRefCopy24Row" hidden="1">#REF!</definedName>
    <definedName name="XRefCopy25" localSheetId="2" hidden="1">#REF!</definedName>
    <definedName name="XRefCopy25" localSheetId="7" hidden="1">#REF!</definedName>
    <definedName name="XRefCopy25" localSheetId="5" hidden="1">#REF!</definedName>
    <definedName name="XRefCopy25" localSheetId="9" hidden="1">#REF!</definedName>
    <definedName name="XRefCopy25" localSheetId="0" hidden="1">#REF!</definedName>
    <definedName name="XRefCopy25" hidden="1">#REF!</definedName>
    <definedName name="XRefCopy25Row" localSheetId="2" hidden="1">#REF!</definedName>
    <definedName name="XRefCopy25Row" localSheetId="7" hidden="1">#REF!</definedName>
    <definedName name="XRefCopy25Row" localSheetId="5" hidden="1">#REF!</definedName>
    <definedName name="XRefCopy25Row" localSheetId="9" hidden="1">#REF!</definedName>
    <definedName name="XRefCopy25Row" localSheetId="0" hidden="1">#REF!</definedName>
    <definedName name="XRefCopy25Row" hidden="1">#REF!</definedName>
    <definedName name="XRefCopy26" localSheetId="2" hidden="1">#REF!</definedName>
    <definedName name="XRefCopy26" localSheetId="7" hidden="1">#REF!</definedName>
    <definedName name="XRefCopy26" localSheetId="5" hidden="1">#REF!</definedName>
    <definedName name="XRefCopy26" localSheetId="9" hidden="1">#REF!</definedName>
    <definedName name="XRefCopy26" localSheetId="0" hidden="1">#REF!</definedName>
    <definedName name="XRefCopy26" hidden="1">#REF!</definedName>
    <definedName name="XRefCopy29" localSheetId="2" hidden="1">#REF!</definedName>
    <definedName name="XRefCopy29" localSheetId="7" hidden="1">#REF!</definedName>
    <definedName name="XRefCopy29" localSheetId="5" hidden="1">#REF!</definedName>
    <definedName name="XRefCopy29" localSheetId="9" hidden="1">#REF!</definedName>
    <definedName name="XRefCopy29" localSheetId="0" hidden="1">#REF!</definedName>
    <definedName name="XRefCopy29" hidden="1">#REF!</definedName>
    <definedName name="XRefCopy29Row" localSheetId="2" hidden="1">#REF!</definedName>
    <definedName name="XRefCopy29Row" localSheetId="7" hidden="1">#REF!</definedName>
    <definedName name="XRefCopy29Row" localSheetId="5" hidden="1">#REF!</definedName>
    <definedName name="XRefCopy29Row" localSheetId="9" hidden="1">#REF!</definedName>
    <definedName name="XRefCopy29Row" localSheetId="0" hidden="1">#REF!</definedName>
    <definedName name="XRefCopy29Row" hidden="1">#REF!</definedName>
    <definedName name="XRefCopy2Row" localSheetId="2" hidden="1">#REF!</definedName>
    <definedName name="XRefCopy2Row" localSheetId="7" hidden="1">#REF!</definedName>
    <definedName name="XRefCopy2Row" localSheetId="5" hidden="1">#REF!</definedName>
    <definedName name="XRefCopy2Row" localSheetId="9" hidden="1">#REF!</definedName>
    <definedName name="XRefCopy2Row" localSheetId="0" hidden="1">#REF!</definedName>
    <definedName name="XRefCopy2Row" hidden="1">#REF!</definedName>
    <definedName name="XRefCopy3" localSheetId="2" hidden="1">#REF!</definedName>
    <definedName name="XRefCopy3" localSheetId="7" hidden="1">#REF!</definedName>
    <definedName name="XRefCopy3" localSheetId="5" hidden="1">#REF!</definedName>
    <definedName name="XRefCopy3" localSheetId="9" hidden="1">#REF!</definedName>
    <definedName name="XRefCopy3" localSheetId="0" hidden="1">#REF!</definedName>
    <definedName name="XRefCopy3" hidden="1">#REF!</definedName>
    <definedName name="XRefCopy30" localSheetId="2" hidden="1">#REF!</definedName>
    <definedName name="XRefCopy30" localSheetId="7" hidden="1">#REF!</definedName>
    <definedName name="XRefCopy30" localSheetId="5" hidden="1">#REF!</definedName>
    <definedName name="XRefCopy30" localSheetId="9" hidden="1">#REF!</definedName>
    <definedName name="XRefCopy30" localSheetId="0" hidden="1">#REF!</definedName>
    <definedName name="XRefCopy30" hidden="1">#REF!</definedName>
    <definedName name="XRefCopy31" localSheetId="2" hidden="1">#REF!</definedName>
    <definedName name="XRefCopy31" localSheetId="7" hidden="1">#REF!</definedName>
    <definedName name="XRefCopy31" localSheetId="5" hidden="1">#REF!</definedName>
    <definedName name="XRefCopy31" localSheetId="9" hidden="1">#REF!</definedName>
    <definedName name="XRefCopy31" localSheetId="0" hidden="1">#REF!</definedName>
    <definedName name="XRefCopy31" hidden="1">#REF!</definedName>
    <definedName name="XRefCopy32" localSheetId="2" hidden="1">#REF!</definedName>
    <definedName name="XRefCopy32" localSheetId="7" hidden="1">#REF!</definedName>
    <definedName name="XRefCopy32" localSheetId="5" hidden="1">#REF!</definedName>
    <definedName name="XRefCopy32" localSheetId="9" hidden="1">#REF!</definedName>
    <definedName name="XRefCopy32" localSheetId="0" hidden="1">#REF!</definedName>
    <definedName name="XRefCopy32" hidden="1">#REF!</definedName>
    <definedName name="XRefCopy33" localSheetId="2" hidden="1">#REF!</definedName>
    <definedName name="XRefCopy33" localSheetId="7" hidden="1">#REF!</definedName>
    <definedName name="XRefCopy33" localSheetId="5" hidden="1">#REF!</definedName>
    <definedName name="XRefCopy33" localSheetId="9" hidden="1">#REF!</definedName>
    <definedName name="XRefCopy33" localSheetId="0" hidden="1">#REF!</definedName>
    <definedName name="XRefCopy33" hidden="1">#REF!</definedName>
    <definedName name="XRefCopy33Row" localSheetId="2" hidden="1">#REF!</definedName>
    <definedName name="XRefCopy33Row" localSheetId="7" hidden="1">#REF!</definedName>
    <definedName name="XRefCopy33Row" localSheetId="5" hidden="1">#REF!</definedName>
    <definedName name="XRefCopy33Row" localSheetId="9" hidden="1">#REF!</definedName>
    <definedName name="XRefCopy33Row" localSheetId="0" hidden="1">#REF!</definedName>
    <definedName name="XRefCopy33Row" hidden="1">#REF!</definedName>
    <definedName name="XRefCopy34" localSheetId="2" hidden="1">#REF!</definedName>
    <definedName name="XRefCopy34" localSheetId="7" hidden="1">#REF!</definedName>
    <definedName name="XRefCopy34" localSheetId="5" hidden="1">#REF!</definedName>
    <definedName name="XRefCopy34" localSheetId="9" hidden="1">#REF!</definedName>
    <definedName name="XRefCopy34" localSheetId="0" hidden="1">#REF!</definedName>
    <definedName name="XRefCopy34" hidden="1">#REF!</definedName>
    <definedName name="XRefCopy34Row" localSheetId="2" hidden="1">#REF!</definedName>
    <definedName name="XRefCopy34Row" localSheetId="7" hidden="1">#REF!</definedName>
    <definedName name="XRefCopy34Row" localSheetId="5" hidden="1">#REF!</definedName>
    <definedName name="XRefCopy34Row" localSheetId="9" hidden="1">#REF!</definedName>
    <definedName name="XRefCopy34Row" localSheetId="0" hidden="1">#REF!</definedName>
    <definedName name="XRefCopy34Row" hidden="1">#REF!</definedName>
    <definedName name="XRefCopy35" localSheetId="2" hidden="1">[5]bank!#REF!</definedName>
    <definedName name="XRefCopy35" localSheetId="7" hidden="1">[6]bank!#REF!</definedName>
    <definedName name="XRefCopy35" localSheetId="5" hidden="1">[6]bank!#REF!</definedName>
    <definedName name="XRefCopy35" localSheetId="9" hidden="1">[6]bank!#REF!</definedName>
    <definedName name="XRefCopy35" localSheetId="0" hidden="1">[6]bank!#REF!</definedName>
    <definedName name="XRefCopy35" hidden="1">[6]bank!#REF!</definedName>
    <definedName name="XRefCopy35Row" localSheetId="2" hidden="1">#REF!</definedName>
    <definedName name="XRefCopy35Row" localSheetId="7" hidden="1">#REF!</definedName>
    <definedName name="XRefCopy35Row" localSheetId="5" hidden="1">#REF!</definedName>
    <definedName name="XRefCopy35Row" localSheetId="9" hidden="1">#REF!</definedName>
    <definedName name="XRefCopy35Row" localSheetId="0" hidden="1">#REF!</definedName>
    <definedName name="XRefCopy35Row" hidden="1">#REF!</definedName>
    <definedName name="XRefCopy36" localSheetId="2" hidden="1">[5]bank!#REF!</definedName>
    <definedName name="XRefCopy36" localSheetId="7" hidden="1">[6]bank!#REF!</definedName>
    <definedName name="XRefCopy36" localSheetId="5" hidden="1">[6]bank!#REF!</definedName>
    <definedName name="XRefCopy36" localSheetId="9" hidden="1">[6]bank!#REF!</definedName>
    <definedName name="XRefCopy36" localSheetId="0" hidden="1">[6]bank!#REF!</definedName>
    <definedName name="XRefCopy36" hidden="1">[6]bank!#REF!</definedName>
    <definedName name="XRefCopy36Row" localSheetId="2" hidden="1">#REF!</definedName>
    <definedName name="XRefCopy36Row" localSheetId="7" hidden="1">#REF!</definedName>
    <definedName name="XRefCopy36Row" localSheetId="5" hidden="1">#REF!</definedName>
    <definedName name="XRefCopy36Row" localSheetId="9" hidden="1">#REF!</definedName>
    <definedName name="XRefCopy36Row" localSheetId="0" hidden="1">#REF!</definedName>
    <definedName name="XRefCopy36Row" hidden="1">#REF!</definedName>
    <definedName name="XRefCopy37" localSheetId="2" hidden="1">[5]bank!#REF!</definedName>
    <definedName name="XRefCopy37" localSheetId="7" hidden="1">[6]bank!#REF!</definedName>
    <definedName name="XRefCopy37" localSheetId="5" hidden="1">[6]bank!#REF!</definedName>
    <definedName name="XRefCopy37" localSheetId="9" hidden="1">[6]bank!#REF!</definedName>
    <definedName name="XRefCopy37" localSheetId="0" hidden="1">[6]bank!#REF!</definedName>
    <definedName name="XRefCopy37" hidden="1">[6]bank!#REF!</definedName>
    <definedName name="XRefCopy37Row" localSheetId="2" hidden="1">#REF!</definedName>
    <definedName name="XRefCopy37Row" localSheetId="7" hidden="1">#REF!</definedName>
    <definedName name="XRefCopy37Row" localSheetId="5" hidden="1">#REF!</definedName>
    <definedName name="XRefCopy37Row" localSheetId="9" hidden="1">#REF!</definedName>
    <definedName name="XRefCopy37Row" localSheetId="0" hidden="1">#REF!</definedName>
    <definedName name="XRefCopy37Row" hidden="1">#REF!</definedName>
    <definedName name="XRefCopy38" localSheetId="2" hidden="1">#REF!</definedName>
    <definedName name="XRefCopy38" localSheetId="7" hidden="1">#REF!</definedName>
    <definedName name="XRefCopy38" localSheetId="5" hidden="1">#REF!</definedName>
    <definedName name="XRefCopy38" localSheetId="9" hidden="1">#REF!</definedName>
    <definedName name="XRefCopy38" localSheetId="0" hidden="1">#REF!</definedName>
    <definedName name="XRefCopy38" hidden="1">#REF!</definedName>
    <definedName name="XRefCopy38Row" localSheetId="2" hidden="1">#REF!</definedName>
    <definedName name="XRefCopy38Row" localSheetId="7" hidden="1">#REF!</definedName>
    <definedName name="XRefCopy38Row" localSheetId="5" hidden="1">#REF!</definedName>
    <definedName name="XRefCopy38Row" localSheetId="9" hidden="1">#REF!</definedName>
    <definedName name="XRefCopy38Row" localSheetId="0" hidden="1">#REF!</definedName>
    <definedName name="XRefCopy38Row" hidden="1">#REF!</definedName>
    <definedName name="XRefCopy39" localSheetId="2" hidden="1">#REF!</definedName>
    <definedName name="XRefCopy39" localSheetId="7" hidden="1">#REF!</definedName>
    <definedName name="XRefCopy39" localSheetId="5" hidden="1">#REF!</definedName>
    <definedName name="XRefCopy39" localSheetId="9" hidden="1">#REF!</definedName>
    <definedName name="XRefCopy39" localSheetId="0" hidden="1">#REF!</definedName>
    <definedName name="XRefCopy39" hidden="1">#REF!</definedName>
    <definedName name="XRefCopy39Row" localSheetId="2" hidden="1">#REF!</definedName>
    <definedName name="XRefCopy39Row" localSheetId="7" hidden="1">#REF!</definedName>
    <definedName name="XRefCopy39Row" localSheetId="5" hidden="1">#REF!</definedName>
    <definedName name="XRefCopy39Row" localSheetId="9" hidden="1">#REF!</definedName>
    <definedName name="XRefCopy39Row" localSheetId="0" hidden="1">#REF!</definedName>
    <definedName name="XRefCopy39Row" hidden="1">#REF!</definedName>
    <definedName name="XRefCopy3Row" localSheetId="2" hidden="1">#REF!</definedName>
    <definedName name="XRefCopy3Row" localSheetId="7" hidden="1">#REF!</definedName>
    <definedName name="XRefCopy3Row" localSheetId="5" hidden="1">#REF!</definedName>
    <definedName name="XRefCopy3Row" localSheetId="9" hidden="1">#REF!</definedName>
    <definedName name="XRefCopy3Row" localSheetId="0" hidden="1">#REF!</definedName>
    <definedName name="XRefCopy3Row" hidden="1">#REF!</definedName>
    <definedName name="XRefCopy4" localSheetId="2" hidden="1">#REF!</definedName>
    <definedName name="XRefCopy4" localSheetId="7" hidden="1">#REF!</definedName>
    <definedName name="XRefCopy4" localSheetId="5" hidden="1">#REF!</definedName>
    <definedName name="XRefCopy4" localSheetId="9" hidden="1">#REF!</definedName>
    <definedName name="XRefCopy4" localSheetId="0" hidden="1">#REF!</definedName>
    <definedName name="XRefCopy4" hidden="1">#REF!</definedName>
    <definedName name="XRefCopy4Row" localSheetId="2" hidden="1">#REF!</definedName>
    <definedName name="XRefCopy4Row" localSheetId="7" hidden="1">#REF!</definedName>
    <definedName name="XRefCopy4Row" localSheetId="5" hidden="1">#REF!</definedName>
    <definedName name="XRefCopy4Row" localSheetId="9" hidden="1">#REF!</definedName>
    <definedName name="XRefCopy4Row" localSheetId="0" hidden="1">#REF!</definedName>
    <definedName name="XRefCopy4Row" hidden="1">#REF!</definedName>
    <definedName name="XRefCopy5" localSheetId="2" hidden="1">[7]breakdown!#REF!</definedName>
    <definedName name="XRefCopy5" localSheetId="7" hidden="1">[7]breakdown!#REF!</definedName>
    <definedName name="XRefCopy5" localSheetId="5" hidden="1">[7]breakdown!#REF!</definedName>
    <definedName name="XRefCopy5" localSheetId="9" hidden="1">[7]breakdown!#REF!</definedName>
    <definedName name="XRefCopy5" localSheetId="0" hidden="1">[7]breakdown!#REF!</definedName>
    <definedName name="XRefCopy5" hidden="1">[7]breakdown!#REF!</definedName>
    <definedName name="XRefCopy5Row" localSheetId="2" hidden="1">#REF!</definedName>
    <definedName name="XRefCopy5Row" localSheetId="7" hidden="1">#REF!</definedName>
    <definedName name="XRefCopy5Row" localSheetId="5" hidden="1">#REF!</definedName>
    <definedName name="XRefCopy5Row" localSheetId="9" hidden="1">#REF!</definedName>
    <definedName name="XRefCopy5Row" localSheetId="0" hidden="1">#REF!</definedName>
    <definedName name="XRefCopy5Row" hidden="1">#REF!</definedName>
    <definedName name="XRefCopy6" localSheetId="2" hidden="1">#REF!</definedName>
    <definedName name="XRefCopy6" localSheetId="7" hidden="1">#REF!</definedName>
    <definedName name="XRefCopy6" localSheetId="5" hidden="1">#REF!</definedName>
    <definedName name="XRefCopy6" localSheetId="9" hidden="1">#REF!</definedName>
    <definedName name="XRefCopy6" localSheetId="0" hidden="1">#REF!</definedName>
    <definedName name="XRefCopy6" hidden="1">#REF!</definedName>
    <definedName name="XRefCopy6Row" localSheetId="2" hidden="1">#REF!</definedName>
    <definedName name="XRefCopy6Row" localSheetId="7" hidden="1">#REF!</definedName>
    <definedName name="XRefCopy6Row" localSheetId="5" hidden="1">#REF!</definedName>
    <definedName name="XRefCopy6Row" localSheetId="9" hidden="1">#REF!</definedName>
    <definedName name="XRefCopy6Row" localSheetId="0" hidden="1">#REF!</definedName>
    <definedName name="XRefCopy6Row" hidden="1">#REF!</definedName>
    <definedName name="XRefCopy7" localSheetId="2" hidden="1">#REF!</definedName>
    <definedName name="XRefCopy7" localSheetId="7" hidden="1">#REF!</definedName>
    <definedName name="XRefCopy7" localSheetId="5" hidden="1">#REF!</definedName>
    <definedName name="XRefCopy7" localSheetId="9" hidden="1">#REF!</definedName>
    <definedName name="XRefCopy7" localSheetId="0" hidden="1">#REF!</definedName>
    <definedName name="XRefCopy7" hidden="1">#REF!</definedName>
    <definedName name="XRefCopy7Row" localSheetId="2" hidden="1">#REF!</definedName>
    <definedName name="XRefCopy7Row" localSheetId="7" hidden="1">#REF!</definedName>
    <definedName name="XRefCopy7Row" localSheetId="5" hidden="1">#REF!</definedName>
    <definedName name="XRefCopy7Row" localSheetId="9" hidden="1">#REF!</definedName>
    <definedName name="XRefCopy7Row" localSheetId="0" hidden="1">#REF!</definedName>
    <definedName name="XRefCopy7Row" hidden="1">#REF!</definedName>
    <definedName name="XRefCopy8" localSheetId="2" hidden="1">#REF!</definedName>
    <definedName name="XRefCopy8" localSheetId="7" hidden="1">#REF!</definedName>
    <definedName name="XRefCopy8" localSheetId="5" hidden="1">#REF!</definedName>
    <definedName name="XRefCopy8" localSheetId="9" hidden="1">#REF!</definedName>
    <definedName name="XRefCopy8" localSheetId="0" hidden="1">#REF!</definedName>
    <definedName name="XRefCopy8" hidden="1">#REF!</definedName>
    <definedName name="XRefCopy8Row" localSheetId="2" hidden="1">#REF!</definedName>
    <definedName name="XRefCopy8Row" localSheetId="7" hidden="1">#REF!</definedName>
    <definedName name="XRefCopy8Row" localSheetId="5" hidden="1">#REF!</definedName>
    <definedName name="XRefCopy8Row" localSheetId="9" hidden="1">#REF!</definedName>
    <definedName name="XRefCopy8Row" localSheetId="0" hidden="1">#REF!</definedName>
    <definedName name="XRefCopy8Row" hidden="1">#REF!</definedName>
    <definedName name="XRefCopy9" localSheetId="2" hidden="1">#REF!</definedName>
    <definedName name="XRefCopy9" localSheetId="7" hidden="1">#REF!</definedName>
    <definedName name="XRefCopy9" localSheetId="5" hidden="1">#REF!</definedName>
    <definedName name="XRefCopy9" localSheetId="9" hidden="1">#REF!</definedName>
    <definedName name="XRefCopy9" localSheetId="0" hidden="1">#REF!</definedName>
    <definedName name="XRefCopy9" hidden="1">#REF!</definedName>
    <definedName name="XRefCopy9Row" localSheetId="2" hidden="1">#REF!</definedName>
    <definedName name="XRefCopy9Row" localSheetId="7" hidden="1">#REF!</definedName>
    <definedName name="XRefCopy9Row" localSheetId="5" hidden="1">#REF!</definedName>
    <definedName name="XRefCopy9Row" localSheetId="9" hidden="1">#REF!</definedName>
    <definedName name="XRefCopy9Row" localSheetId="0" hidden="1">#REF!</definedName>
    <definedName name="XRefCopy9Row" hidden="1">#REF!</definedName>
    <definedName name="XRefCopyRangeCount" hidden="1">39</definedName>
    <definedName name="XRefPaste1" localSheetId="2" hidden="1">#REF!</definedName>
    <definedName name="XRefPaste1" localSheetId="7" hidden="1">#REF!</definedName>
    <definedName name="XRefPaste1" localSheetId="5" hidden="1">#REF!</definedName>
    <definedName name="XRefPaste1" localSheetId="9" hidden="1">#REF!</definedName>
    <definedName name="XRefPaste1" localSheetId="0" hidden="1">#REF!</definedName>
    <definedName name="XRefPaste1" hidden="1">#REF!</definedName>
    <definedName name="XRefPaste10" localSheetId="2" hidden="1">[5]bank!#REF!</definedName>
    <definedName name="XRefPaste10" localSheetId="7" hidden="1">[6]bank!#REF!</definedName>
    <definedName name="XRefPaste10" localSheetId="5" hidden="1">[6]bank!#REF!</definedName>
    <definedName name="XRefPaste10" localSheetId="9" hidden="1">[6]bank!#REF!</definedName>
    <definedName name="XRefPaste10" localSheetId="0" hidden="1">[6]bank!#REF!</definedName>
    <definedName name="XRefPaste10" hidden="1">[6]bank!#REF!</definedName>
    <definedName name="XRefPaste10Row" localSheetId="2" hidden="1">#REF!</definedName>
    <definedName name="XRefPaste10Row" localSheetId="7" hidden="1">#REF!</definedName>
    <definedName name="XRefPaste10Row" localSheetId="5" hidden="1">#REF!</definedName>
    <definedName name="XRefPaste10Row" localSheetId="9" hidden="1">#REF!</definedName>
    <definedName name="XRefPaste10Row" localSheetId="0" hidden="1">#REF!</definedName>
    <definedName name="XRefPaste10Row" hidden="1">#REF!</definedName>
    <definedName name="XRefPaste11" localSheetId="2" hidden="1">[5]bank!#REF!</definedName>
    <definedName name="XRefPaste11" localSheetId="7" hidden="1">[6]bank!#REF!</definedName>
    <definedName name="XRefPaste11" localSheetId="5" hidden="1">[6]bank!#REF!</definedName>
    <definedName name="XRefPaste11" localSheetId="9" hidden="1">[6]bank!#REF!</definedName>
    <definedName name="XRefPaste11" localSheetId="0" hidden="1">[6]bank!#REF!</definedName>
    <definedName name="XRefPaste11" hidden="1">[6]bank!#REF!</definedName>
    <definedName name="XRefPaste11Row" localSheetId="2" hidden="1">#REF!</definedName>
    <definedName name="XRefPaste11Row" localSheetId="7" hidden="1">#REF!</definedName>
    <definedName name="XRefPaste11Row" localSheetId="5" hidden="1">#REF!</definedName>
    <definedName name="XRefPaste11Row" localSheetId="9" hidden="1">#REF!</definedName>
    <definedName name="XRefPaste11Row" localSheetId="0" hidden="1">#REF!</definedName>
    <definedName name="XRefPaste11Row" hidden="1">#REF!</definedName>
    <definedName name="XRefPaste12" localSheetId="2" hidden="1">#REF!</definedName>
    <definedName name="XRefPaste12" localSheetId="7" hidden="1">#REF!</definedName>
    <definedName name="XRefPaste12" localSheetId="5" hidden="1">#REF!</definedName>
    <definedName name="XRefPaste12" localSheetId="9" hidden="1">#REF!</definedName>
    <definedName name="XRefPaste12" localSheetId="0" hidden="1">#REF!</definedName>
    <definedName name="XRefPaste12" hidden="1">#REF!</definedName>
    <definedName name="XRefPaste12Row" localSheetId="2" hidden="1">#REF!</definedName>
    <definedName name="XRefPaste12Row" localSheetId="7" hidden="1">#REF!</definedName>
    <definedName name="XRefPaste12Row" localSheetId="5" hidden="1">#REF!</definedName>
    <definedName name="XRefPaste12Row" localSheetId="9" hidden="1">#REF!</definedName>
    <definedName name="XRefPaste12Row" localSheetId="0" hidden="1">#REF!</definedName>
    <definedName name="XRefPaste12Row" hidden="1">#REF!</definedName>
    <definedName name="XRefPaste13" localSheetId="2" hidden="1">[5]bank!#REF!</definedName>
    <definedName name="XRefPaste13" localSheetId="7" hidden="1">[6]bank!#REF!</definedName>
    <definedName name="XRefPaste13" localSheetId="5" hidden="1">[6]bank!#REF!</definedName>
    <definedName name="XRefPaste13" localSheetId="9" hidden="1">[6]bank!#REF!</definedName>
    <definedName name="XRefPaste13" localSheetId="0" hidden="1">[6]bank!#REF!</definedName>
    <definedName name="XRefPaste13" hidden="1">[6]bank!#REF!</definedName>
    <definedName name="XRefPaste13Row" localSheetId="2" hidden="1">#REF!</definedName>
    <definedName name="XRefPaste13Row" localSheetId="7" hidden="1">#REF!</definedName>
    <definedName name="XRefPaste13Row" localSheetId="5" hidden="1">#REF!</definedName>
    <definedName name="XRefPaste13Row" localSheetId="9" hidden="1">#REF!</definedName>
    <definedName name="XRefPaste13Row" localSheetId="0" hidden="1">#REF!</definedName>
    <definedName name="XRefPaste13Row" hidden="1">#REF!</definedName>
    <definedName name="XRefPaste1Row" localSheetId="2" hidden="1">#REF!</definedName>
    <definedName name="XRefPaste1Row" localSheetId="7" hidden="1">#REF!</definedName>
    <definedName name="XRefPaste1Row" localSheetId="5" hidden="1">#REF!</definedName>
    <definedName name="XRefPaste1Row" localSheetId="9" hidden="1">#REF!</definedName>
    <definedName name="XRefPaste1Row" localSheetId="0" hidden="1">#REF!</definedName>
    <definedName name="XRefPaste1Row" hidden="1">#REF!</definedName>
    <definedName name="XRefPaste2" localSheetId="2" hidden="1">#REF!</definedName>
    <definedName name="XRefPaste2" localSheetId="7" hidden="1">#REF!</definedName>
    <definedName name="XRefPaste2" localSheetId="5" hidden="1">#REF!</definedName>
    <definedName name="XRefPaste2" localSheetId="9" hidden="1">#REF!</definedName>
    <definedName name="XRefPaste2" localSheetId="0" hidden="1">#REF!</definedName>
    <definedName name="XRefPaste2" hidden="1">#REF!</definedName>
    <definedName name="XRefPaste2Row" localSheetId="2" hidden="1">#REF!</definedName>
    <definedName name="XRefPaste2Row" localSheetId="7" hidden="1">#REF!</definedName>
    <definedName name="XRefPaste2Row" localSheetId="5" hidden="1">#REF!</definedName>
    <definedName name="XRefPaste2Row" localSheetId="9" hidden="1">#REF!</definedName>
    <definedName name="XRefPaste2Row" localSheetId="0" hidden="1">#REF!</definedName>
    <definedName name="XRefPaste2Row" hidden="1">#REF!</definedName>
    <definedName name="XRefPaste3" localSheetId="2" hidden="1">#REF!</definedName>
    <definedName name="XRefPaste3" localSheetId="7" hidden="1">#REF!</definedName>
    <definedName name="XRefPaste3" localSheetId="5" hidden="1">#REF!</definedName>
    <definedName name="XRefPaste3" localSheetId="9" hidden="1">#REF!</definedName>
    <definedName name="XRefPaste3" localSheetId="0" hidden="1">#REF!</definedName>
    <definedName name="XRefPaste3" hidden="1">#REF!</definedName>
    <definedName name="XRefPaste3Row" localSheetId="2" hidden="1">#REF!</definedName>
    <definedName name="XRefPaste3Row" localSheetId="7" hidden="1">#REF!</definedName>
    <definedName name="XRefPaste3Row" localSheetId="5" hidden="1">#REF!</definedName>
    <definedName name="XRefPaste3Row" localSheetId="9" hidden="1">#REF!</definedName>
    <definedName name="XRefPaste3Row" localSheetId="0" hidden="1">#REF!</definedName>
    <definedName name="XRefPaste3Row" hidden="1">#REF!</definedName>
    <definedName name="XRefPaste4" localSheetId="2" hidden="1">#REF!</definedName>
    <definedName name="XRefPaste4" localSheetId="7" hidden="1">#REF!</definedName>
    <definedName name="XRefPaste4" localSheetId="5" hidden="1">#REF!</definedName>
    <definedName name="XRefPaste4" localSheetId="9" hidden="1">#REF!</definedName>
    <definedName name="XRefPaste4" localSheetId="0" hidden="1">#REF!</definedName>
    <definedName name="XRefPaste4" hidden="1">#REF!</definedName>
    <definedName name="XRefPaste4Row" localSheetId="2" hidden="1">#REF!</definedName>
    <definedName name="XRefPaste4Row" localSheetId="7" hidden="1">#REF!</definedName>
    <definedName name="XRefPaste4Row" localSheetId="5" hidden="1">#REF!</definedName>
    <definedName name="XRefPaste4Row" localSheetId="9" hidden="1">#REF!</definedName>
    <definedName name="XRefPaste4Row" localSheetId="0" hidden="1">#REF!</definedName>
    <definedName name="XRefPaste4Row" hidden="1">#REF!</definedName>
    <definedName name="XRefPaste5" localSheetId="2" hidden="1">#REF!</definedName>
    <definedName name="XRefPaste5" localSheetId="7" hidden="1">#REF!</definedName>
    <definedName name="XRefPaste5" localSheetId="5" hidden="1">#REF!</definedName>
    <definedName name="XRefPaste5" localSheetId="9" hidden="1">#REF!</definedName>
    <definedName name="XRefPaste5" localSheetId="0" hidden="1">#REF!</definedName>
    <definedName name="XRefPaste5" hidden="1">#REF!</definedName>
    <definedName name="XRefPaste5Row" localSheetId="2" hidden="1">#REF!</definedName>
    <definedName name="XRefPaste5Row" localSheetId="7" hidden="1">#REF!</definedName>
    <definedName name="XRefPaste5Row" localSheetId="5" hidden="1">#REF!</definedName>
    <definedName name="XRefPaste5Row" localSheetId="9" hidden="1">#REF!</definedName>
    <definedName name="XRefPaste5Row" localSheetId="0" hidden="1">#REF!</definedName>
    <definedName name="XRefPaste5Row" hidden="1">#REF!</definedName>
    <definedName name="XRefPaste6" localSheetId="2" hidden="1">#REF!</definedName>
    <definedName name="XRefPaste6" localSheetId="7" hidden="1">#REF!</definedName>
    <definedName name="XRefPaste6" localSheetId="5" hidden="1">#REF!</definedName>
    <definedName name="XRefPaste6" localSheetId="9" hidden="1">#REF!</definedName>
    <definedName name="XRefPaste6" localSheetId="0" hidden="1">#REF!</definedName>
    <definedName name="XRefPaste6" hidden="1">#REF!</definedName>
    <definedName name="XRefPaste6Row" localSheetId="2" hidden="1">#REF!</definedName>
    <definedName name="XRefPaste6Row" localSheetId="7" hidden="1">#REF!</definedName>
    <definedName name="XRefPaste6Row" localSheetId="5" hidden="1">#REF!</definedName>
    <definedName name="XRefPaste6Row" localSheetId="9" hidden="1">#REF!</definedName>
    <definedName name="XRefPaste6Row" localSheetId="0" hidden="1">#REF!</definedName>
    <definedName name="XRefPaste6Row" hidden="1">#REF!</definedName>
    <definedName name="XRefPaste7" localSheetId="2" hidden="1">#REF!</definedName>
    <definedName name="XRefPaste7" localSheetId="7" hidden="1">#REF!</definedName>
    <definedName name="XRefPaste7" localSheetId="5" hidden="1">#REF!</definedName>
    <definedName name="XRefPaste7" localSheetId="9" hidden="1">#REF!</definedName>
    <definedName name="XRefPaste7" localSheetId="0" hidden="1">#REF!</definedName>
    <definedName name="XRefPaste7" hidden="1">#REF!</definedName>
    <definedName name="XRefPaste7Row" localSheetId="2" hidden="1">#REF!</definedName>
    <definedName name="XRefPaste7Row" localSheetId="7" hidden="1">#REF!</definedName>
    <definedName name="XRefPaste7Row" localSheetId="5" hidden="1">#REF!</definedName>
    <definedName name="XRefPaste7Row" localSheetId="9" hidden="1">#REF!</definedName>
    <definedName name="XRefPaste7Row" localSheetId="0" hidden="1">#REF!</definedName>
    <definedName name="XRefPaste7Row" hidden="1">#REF!</definedName>
    <definedName name="XRefPaste8" localSheetId="2" hidden="1">[5]bank!#REF!</definedName>
    <definedName name="XRefPaste8" localSheetId="7" hidden="1">[6]bank!#REF!</definedName>
    <definedName name="XRefPaste8" localSheetId="5" hidden="1">[6]bank!#REF!</definedName>
    <definedName name="XRefPaste8" localSheetId="9" hidden="1">[6]bank!#REF!</definedName>
    <definedName name="XRefPaste8" localSheetId="0" hidden="1">[6]bank!#REF!</definedName>
    <definedName name="XRefPaste8" hidden="1">[6]bank!#REF!</definedName>
    <definedName name="XRefPaste8Row" localSheetId="2" hidden="1">#REF!</definedName>
    <definedName name="XRefPaste8Row" localSheetId="7" hidden="1">#REF!</definedName>
    <definedName name="XRefPaste8Row" localSheetId="5" hidden="1">#REF!</definedName>
    <definedName name="XRefPaste8Row" localSheetId="9" hidden="1">#REF!</definedName>
    <definedName name="XRefPaste8Row" localSheetId="0" hidden="1">#REF!</definedName>
    <definedName name="XRefPaste8Row" hidden="1">#REF!</definedName>
    <definedName name="XRefPaste9" localSheetId="2" hidden="1">[5]bank!#REF!</definedName>
    <definedName name="XRefPaste9" localSheetId="7" hidden="1">[6]bank!#REF!</definedName>
    <definedName name="XRefPaste9" localSheetId="5" hidden="1">[6]bank!#REF!</definedName>
    <definedName name="XRefPaste9" localSheetId="9" hidden="1">[6]bank!#REF!</definedName>
    <definedName name="XRefPaste9" localSheetId="0" hidden="1">[6]bank!#REF!</definedName>
    <definedName name="XRefPaste9" hidden="1">[6]bank!#REF!</definedName>
    <definedName name="XRefPaste9Row" localSheetId="2" hidden="1">#REF!</definedName>
    <definedName name="XRefPaste9Row" localSheetId="7" hidden="1">#REF!</definedName>
    <definedName name="XRefPaste9Row" localSheetId="5" hidden="1">#REF!</definedName>
    <definedName name="XRefPaste9Row" localSheetId="9" hidden="1">#REF!</definedName>
    <definedName name="XRefPaste9Row" localSheetId="0" hidden="1">#REF!</definedName>
    <definedName name="XRefPaste9Row" hidden="1">#REF!</definedName>
    <definedName name="XRefPasteRangeCount" hidden="1">13</definedName>
    <definedName name="Z" localSheetId="2" hidden="1">#REF!</definedName>
    <definedName name="Z" localSheetId="7" hidden="1">#REF!</definedName>
    <definedName name="Z" localSheetId="5" hidden="1">#REF!</definedName>
    <definedName name="Z" localSheetId="9" hidden="1">#REF!</definedName>
    <definedName name="Z" localSheetId="0" hidden="1">#REF!</definedName>
    <definedName name="Z" hidden="1">#REF!</definedName>
    <definedName name="Z_AD771281_6285_11D2_935C_0060088983C6_.wvu.Rows" localSheetId="2" hidden="1">[8]CdR!#REF!</definedName>
    <definedName name="Z_AD771281_6285_11D2_935C_0060088983C6_.wvu.Rows" localSheetId="7" hidden="1">[9]CdR!#REF!</definedName>
    <definedName name="Z_AD771281_6285_11D2_935C_0060088983C6_.wvu.Rows" localSheetId="5" hidden="1">[9]CdR!#REF!</definedName>
    <definedName name="Z_AD771281_6285_11D2_935C_0060088983C6_.wvu.Rows" localSheetId="9" hidden="1">[9]CdR!#REF!</definedName>
    <definedName name="Z_AD771281_6285_11D2_935C_0060088983C6_.wvu.Rows" localSheetId="0" hidden="1">[9]CdR!#REF!</definedName>
    <definedName name="Z_AD771281_6285_11D2_935C_0060088983C6_.wvu.Rows" hidden="1">[9]CdR!#REF!</definedName>
    <definedName name="上期" localSheetId="2" hidden="1">#REF!</definedName>
    <definedName name="上期" localSheetId="7" hidden="1">#REF!</definedName>
    <definedName name="上期" localSheetId="5" hidden="1">#REF!</definedName>
    <definedName name="上期" localSheetId="9" hidden="1">#REF!</definedName>
    <definedName name="上期" localSheetId="0" hidden="1">#REF!</definedName>
    <definedName name="上期" hidden="1">#REF!</definedName>
    <definedName name="上期2" localSheetId="2" hidden="1">#REF!</definedName>
    <definedName name="上期2" localSheetId="7" hidden="1">#REF!</definedName>
    <definedName name="上期2" localSheetId="5" hidden="1">#REF!</definedName>
    <definedName name="上期2" localSheetId="9" hidden="1">#REF!</definedName>
    <definedName name="上期2" localSheetId="0" hidden="1">#REF!</definedName>
    <definedName name="上期2" hidden="1">#REF!</definedName>
    <definedName name="庫存成" localSheetId="2" hidden="1">#REF!</definedName>
    <definedName name="庫存成" localSheetId="7" hidden="1">#REF!</definedName>
    <definedName name="庫存成" localSheetId="5" hidden="1">#REF!</definedName>
    <definedName name="庫存成" localSheetId="9" hidden="1">#REF!</definedName>
    <definedName name="庫存成" localSheetId="0" hidden="1">#REF!</definedName>
    <definedName name="庫存成" hidden="1">#REF!</definedName>
    <definedName name="成本差" localSheetId="2" hidden="1">#REF!</definedName>
    <definedName name="成本差" localSheetId="7" hidden="1">#REF!</definedName>
    <definedName name="成本差" localSheetId="5" hidden="1">#REF!</definedName>
    <definedName name="成本差" localSheetId="9" hidden="1">#REF!</definedName>
    <definedName name="成本差" localSheetId="0" hidden="1">#REF!</definedName>
    <definedName name="成本差" hidden="1">#REF!</definedName>
    <definedName name="料工费分配表" localSheetId="2" hidden="1">#REF!</definedName>
    <definedName name="料工费分配表" localSheetId="7" hidden="1">#REF!</definedName>
    <definedName name="料工费分配表" localSheetId="5" hidden="1">#REF!</definedName>
    <definedName name="料工费分配表" localSheetId="9" hidden="1">#REF!</definedName>
    <definedName name="料工费分配表" localSheetId="0" hidden="1">#REF!</definedName>
    <definedName name="料工费分配表" hidden="1">#REF!</definedName>
    <definedName name="枯" localSheetId="2" hidden="1">#REF!</definedName>
    <definedName name="枯" localSheetId="7" hidden="1">#REF!</definedName>
    <definedName name="枯" localSheetId="5" hidden="1">#REF!</definedName>
    <definedName name="枯" localSheetId="9" hidden="1">#REF!</definedName>
    <definedName name="枯" localSheetId="0" hidden="1">#REF!</definedName>
    <definedName name="枯" hidden="1">#REF!</definedName>
    <definedName name="活动总结" localSheetId="2" hidden="1">#REF!</definedName>
    <definedName name="活动总结" localSheetId="7" hidden="1">#REF!</definedName>
    <definedName name="活动总结" localSheetId="5" hidden="1">#REF!</definedName>
    <definedName name="活动总结" localSheetId="9" hidden="1">#REF!</definedName>
    <definedName name="活动总结" localSheetId="0" hidden="1">#REF!</definedName>
    <definedName name="活动总结" hidden="1">#REF!</definedName>
    <definedName name="淨額差" localSheetId="2" hidden="1">#REF!</definedName>
    <definedName name="淨額差" localSheetId="7" hidden="1">#REF!</definedName>
    <definedName name="淨額差" localSheetId="5" hidden="1">#REF!</definedName>
    <definedName name="淨額差" localSheetId="9" hidden="1">#REF!</definedName>
    <definedName name="淨額差" localSheetId="0" hidden="1">#REF!</definedName>
    <definedName name="淨額差" hidden="1">#REF!</definedName>
    <definedName name="目录1" localSheetId="2" hidden="1">#REF!</definedName>
    <definedName name="目录1" localSheetId="7" hidden="1">#REF!</definedName>
    <definedName name="目录1" localSheetId="5" hidden="1">#REF!</definedName>
    <definedName name="目录1" localSheetId="9" hidden="1">#REF!</definedName>
    <definedName name="目录1" localSheetId="0" hidden="1">#REF!</definedName>
    <definedName name="目录1" hidden="1">#REF!</definedName>
    <definedName name="竟品" localSheetId="2" hidden="1">#REF!</definedName>
    <definedName name="竟品" localSheetId="7" hidden="1">#REF!</definedName>
    <definedName name="竟品" localSheetId="5" hidden="1">#REF!</definedName>
    <definedName name="竟品" localSheetId="9" hidden="1">#REF!</definedName>
    <definedName name="竟品" localSheetId="0" hidden="1">#REF!</definedName>
    <definedName name="竟品" hidden="1">#REF!</definedName>
    <definedName name="西安" localSheetId="2" hidden="1">#REF!</definedName>
    <definedName name="西安" localSheetId="7" hidden="1">#REF!</definedName>
    <definedName name="西安" localSheetId="5" hidden="1">#REF!</definedName>
    <definedName name="西安" localSheetId="9" hidden="1">#REF!</definedName>
    <definedName name="西安" localSheetId="0" hidden="1">#REF!</definedName>
    <definedName name="西安" hidden="1">#REF!</definedName>
    <definedName name="西安1" localSheetId="2" hidden="1">#REF!</definedName>
    <definedName name="西安1" localSheetId="7" hidden="1">#REF!</definedName>
    <definedName name="西安1" localSheetId="5" hidden="1">#REF!</definedName>
    <definedName name="西安1" localSheetId="9" hidden="1">#REF!</definedName>
    <definedName name="西安1" localSheetId="0" hidden="1">#REF!</definedName>
    <definedName name="西安1" hidden="1">#REF!</definedName>
    <definedName name="西安2" localSheetId="2" hidden="1">#REF!</definedName>
    <definedName name="西安2" localSheetId="7" hidden="1">#REF!</definedName>
    <definedName name="西安2" localSheetId="5" hidden="1">#REF!</definedName>
    <definedName name="西安2" localSheetId="9" hidden="1">#REF!</definedName>
    <definedName name="西安2" localSheetId="0" hidden="1">#REF!</definedName>
    <definedName name="西安2" hidden="1">#REF!</definedName>
    <definedName name="趨勢" localSheetId="2" hidden="1">#REF!</definedName>
    <definedName name="趨勢" localSheetId="7" hidden="1">#REF!</definedName>
    <definedName name="趨勢" localSheetId="5" hidden="1">#REF!</definedName>
    <definedName name="趨勢" localSheetId="9" hidden="1">#REF!</definedName>
    <definedName name="趨勢" localSheetId="0" hidden="1">#REF!</definedName>
    <definedName name="趨勢" hidden="1">#REF!</definedName>
    <definedName name="青岛" localSheetId="2" hidden="1">#REF!</definedName>
    <definedName name="青岛" localSheetId="7" hidden="1">#REF!</definedName>
    <definedName name="青岛" localSheetId="5" hidden="1">#REF!</definedName>
    <definedName name="青岛" localSheetId="9" hidden="1">#REF!</definedName>
    <definedName name="青岛" localSheetId="0" hidden="1">#REF!</definedName>
    <definedName name="青岛"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21" l="1"/>
  <c r="F17" i="23" l="1"/>
  <c r="F245" i="23" l="1"/>
  <c r="D28" i="13" l="1"/>
  <c r="F159" i="23" l="1"/>
  <c r="I28" i="23" l="1"/>
  <c r="K34" i="16" l="1"/>
  <c r="J34" i="16"/>
  <c r="F34" i="16"/>
  <c r="G34" i="16"/>
  <c r="E29" i="16"/>
  <c r="I26" i="16"/>
  <c r="I34" i="16" s="1"/>
  <c r="K35" i="16" s="1"/>
  <c r="I20" i="16"/>
  <c r="D13" i="13"/>
  <c r="G13" i="13" s="1"/>
  <c r="D21" i="13"/>
  <c r="D9" i="13"/>
  <c r="D25" i="13"/>
  <c r="G25" i="13" s="1"/>
  <c r="D26" i="13"/>
  <c r="G26" i="13" s="1"/>
  <c r="D8" i="13"/>
  <c r="K10" i="13" s="1"/>
  <c r="J37" i="13"/>
  <c r="V11" i="21"/>
  <c r="W11" i="21" s="1"/>
  <c r="D6" i="13"/>
  <c r="G6" i="13" s="1"/>
  <c r="F47" i="23"/>
  <c r="F57" i="23"/>
  <c r="E280" i="23"/>
  <c r="I17" i="23"/>
  <c r="B32" i="23"/>
  <c r="B280" i="23" s="1"/>
  <c r="F29" i="23"/>
  <c r="J4" i="23"/>
  <c r="J5" i="23"/>
  <c r="J6" i="23"/>
  <c r="K6" i="23" s="1"/>
  <c r="J7" i="23"/>
  <c r="K7" i="23" s="1"/>
  <c r="J8" i="23"/>
  <c r="J9" i="23"/>
  <c r="K9" i="23" s="1"/>
  <c r="J10" i="23"/>
  <c r="K10" i="23" s="1"/>
  <c r="J11" i="23"/>
  <c r="J12" i="23"/>
  <c r="J13" i="23"/>
  <c r="K13" i="23" s="1"/>
  <c r="J14" i="23"/>
  <c r="K14" i="23" s="1"/>
  <c r="J15" i="23"/>
  <c r="K15" i="23" s="1"/>
  <c r="J16" i="23"/>
  <c r="K16" i="23" s="1"/>
  <c r="J17" i="23"/>
  <c r="K17" i="23" s="1"/>
  <c r="J18" i="23"/>
  <c r="K18" i="23" s="1"/>
  <c r="J19" i="23"/>
  <c r="J20" i="23"/>
  <c r="J21" i="23"/>
  <c r="J22" i="23"/>
  <c r="K22" i="23" s="1"/>
  <c r="J23" i="23"/>
  <c r="K23" i="23" s="1"/>
  <c r="J24" i="23"/>
  <c r="K24" i="23" s="1"/>
  <c r="J25" i="23"/>
  <c r="K25" i="23" s="1"/>
  <c r="J26" i="23"/>
  <c r="K26" i="23" s="1"/>
  <c r="J29" i="23"/>
  <c r="J30" i="23"/>
  <c r="J31" i="23"/>
  <c r="K31" i="23" s="1"/>
  <c r="J27" i="23"/>
  <c r="K27" i="23" s="1"/>
  <c r="J28" i="23"/>
  <c r="K28" i="23" s="1"/>
  <c r="J33" i="23"/>
  <c r="K33" i="23" s="1"/>
  <c r="J34" i="23"/>
  <c r="K34" i="23" s="1"/>
  <c r="J35" i="23"/>
  <c r="K35" i="23" s="1"/>
  <c r="J36" i="23"/>
  <c r="J37" i="23"/>
  <c r="K37" i="23" s="1"/>
  <c r="J38" i="23"/>
  <c r="K38" i="23" s="1"/>
  <c r="J39" i="23"/>
  <c r="K39" i="23" s="1"/>
  <c r="J40" i="23"/>
  <c r="K40" i="23" s="1"/>
  <c r="J41" i="23"/>
  <c r="K41" i="23" s="1"/>
  <c r="J42" i="23"/>
  <c r="K42" i="23" s="1"/>
  <c r="J43" i="23"/>
  <c r="K43" i="23" s="1"/>
  <c r="J44" i="23"/>
  <c r="J45" i="23"/>
  <c r="J46" i="23"/>
  <c r="K46" i="23" s="1"/>
  <c r="J47" i="23"/>
  <c r="K47" i="23" s="1"/>
  <c r="J48" i="23"/>
  <c r="K48" i="23" s="1"/>
  <c r="J49" i="23"/>
  <c r="K49" i="23" s="1"/>
  <c r="J50" i="23"/>
  <c r="K50" i="23" s="1"/>
  <c r="J51" i="23"/>
  <c r="K51" i="23" s="1"/>
  <c r="J52" i="23"/>
  <c r="J53" i="23"/>
  <c r="J54" i="23"/>
  <c r="K54" i="23" s="1"/>
  <c r="J55" i="23"/>
  <c r="K55" i="23" s="1"/>
  <c r="J56" i="23"/>
  <c r="K56" i="23" s="1"/>
  <c r="J57" i="23"/>
  <c r="K57" i="23" s="1"/>
  <c r="J58" i="23"/>
  <c r="K58" i="23" s="1"/>
  <c r="J59" i="23"/>
  <c r="K59" i="23" s="1"/>
  <c r="J60" i="23"/>
  <c r="J61" i="23"/>
  <c r="J62" i="23"/>
  <c r="K62" i="23" s="1"/>
  <c r="J63" i="23"/>
  <c r="K63" i="23" s="1"/>
  <c r="J64" i="23"/>
  <c r="K64" i="23" s="1"/>
  <c r="J65" i="23"/>
  <c r="K65" i="23" s="1"/>
  <c r="J66" i="23"/>
  <c r="K66" i="23" s="1"/>
  <c r="J67" i="23"/>
  <c r="K67" i="23" s="1"/>
  <c r="J68" i="23"/>
  <c r="J69" i="23"/>
  <c r="J70" i="23"/>
  <c r="K70" i="23" s="1"/>
  <c r="J71" i="23"/>
  <c r="K71" i="23" s="1"/>
  <c r="J72" i="23"/>
  <c r="K72" i="23" s="1"/>
  <c r="J73" i="23"/>
  <c r="K73" i="23" s="1"/>
  <c r="J74" i="23"/>
  <c r="K74" i="23" s="1"/>
  <c r="J75" i="23"/>
  <c r="K75" i="23" s="1"/>
  <c r="J76" i="23"/>
  <c r="J77" i="23"/>
  <c r="J78" i="23"/>
  <c r="K78" i="23" s="1"/>
  <c r="J79" i="23"/>
  <c r="J80" i="23"/>
  <c r="K80" i="23" s="1"/>
  <c r="J81" i="23"/>
  <c r="K81" i="23" s="1"/>
  <c r="J82" i="23"/>
  <c r="K82" i="23" s="1"/>
  <c r="J83" i="23"/>
  <c r="K83" i="23" s="1"/>
  <c r="J84" i="23"/>
  <c r="J85" i="23"/>
  <c r="J86" i="23"/>
  <c r="K86" i="23" s="1"/>
  <c r="J87" i="23"/>
  <c r="K87" i="23" s="1"/>
  <c r="J88" i="23"/>
  <c r="K88" i="23" s="1"/>
  <c r="J89" i="23"/>
  <c r="K89" i="23" s="1"/>
  <c r="J90" i="23"/>
  <c r="K90" i="23" s="1"/>
  <c r="J91" i="23"/>
  <c r="K91" i="23" s="1"/>
  <c r="J92" i="23"/>
  <c r="J93" i="23"/>
  <c r="J94" i="23"/>
  <c r="K94" i="23" s="1"/>
  <c r="J95" i="23"/>
  <c r="K95" i="23" s="1"/>
  <c r="J96" i="23"/>
  <c r="K96" i="23" s="1"/>
  <c r="J97" i="23"/>
  <c r="K97" i="23" s="1"/>
  <c r="J98" i="23"/>
  <c r="K98" i="23" s="1"/>
  <c r="J99" i="23"/>
  <c r="K99" i="23" s="1"/>
  <c r="J100" i="23"/>
  <c r="J101" i="23"/>
  <c r="J102" i="23"/>
  <c r="K102" i="23" s="1"/>
  <c r="J103" i="23"/>
  <c r="K103" i="23" s="1"/>
  <c r="J104" i="23"/>
  <c r="K104" i="23" s="1"/>
  <c r="J105" i="23"/>
  <c r="K105" i="23" s="1"/>
  <c r="J106" i="23"/>
  <c r="K106" i="23" s="1"/>
  <c r="J107" i="23"/>
  <c r="K107" i="23" s="1"/>
  <c r="J108" i="23"/>
  <c r="J109" i="23"/>
  <c r="J110" i="23"/>
  <c r="K110" i="23" s="1"/>
  <c r="J111" i="23"/>
  <c r="K111" i="23" s="1"/>
  <c r="J112" i="23"/>
  <c r="K112" i="23" s="1"/>
  <c r="J113" i="23"/>
  <c r="K113" i="23" s="1"/>
  <c r="J114" i="23"/>
  <c r="K114" i="23" s="1"/>
  <c r="J115" i="23"/>
  <c r="K115" i="23" s="1"/>
  <c r="J116" i="23"/>
  <c r="J117" i="23"/>
  <c r="J118" i="23"/>
  <c r="K118" i="23" s="1"/>
  <c r="J119" i="23"/>
  <c r="K119" i="23" s="1"/>
  <c r="J120" i="23"/>
  <c r="K120" i="23" s="1"/>
  <c r="J121" i="23"/>
  <c r="K121" i="23" s="1"/>
  <c r="J122" i="23"/>
  <c r="K122" i="23" s="1"/>
  <c r="J123" i="23"/>
  <c r="K123" i="23" s="1"/>
  <c r="J124" i="23"/>
  <c r="J125" i="23"/>
  <c r="J126" i="23"/>
  <c r="K126" i="23" s="1"/>
  <c r="J127" i="23"/>
  <c r="K127" i="23" s="1"/>
  <c r="J128" i="23"/>
  <c r="K128" i="23" s="1"/>
  <c r="J129" i="23"/>
  <c r="K129" i="23" s="1"/>
  <c r="J130" i="23"/>
  <c r="K130" i="23" s="1"/>
  <c r="J131" i="23"/>
  <c r="K131" i="23" s="1"/>
  <c r="J132" i="23"/>
  <c r="J133" i="23"/>
  <c r="J134" i="23"/>
  <c r="K134" i="23" s="1"/>
  <c r="J135" i="23"/>
  <c r="K135" i="23" s="1"/>
  <c r="J136" i="23"/>
  <c r="K136" i="23" s="1"/>
  <c r="J137" i="23"/>
  <c r="K137" i="23" s="1"/>
  <c r="J138" i="23"/>
  <c r="K138" i="23" s="1"/>
  <c r="J139" i="23"/>
  <c r="K139" i="23" s="1"/>
  <c r="J140" i="23"/>
  <c r="J141" i="23"/>
  <c r="J142" i="23"/>
  <c r="K142" i="23" s="1"/>
  <c r="J143" i="23"/>
  <c r="K143" i="23" s="1"/>
  <c r="J144" i="23"/>
  <c r="K144" i="23" s="1"/>
  <c r="J145" i="23"/>
  <c r="K145" i="23" s="1"/>
  <c r="J146" i="23"/>
  <c r="K146" i="23" s="1"/>
  <c r="J147" i="23"/>
  <c r="K147" i="23" s="1"/>
  <c r="J148" i="23"/>
  <c r="J149" i="23"/>
  <c r="J150" i="23"/>
  <c r="K150" i="23" s="1"/>
  <c r="J151" i="23"/>
  <c r="K151" i="23" s="1"/>
  <c r="J152" i="23"/>
  <c r="K152" i="23" s="1"/>
  <c r="J153" i="23"/>
  <c r="K153" i="23" s="1"/>
  <c r="J154" i="23"/>
  <c r="K154" i="23" s="1"/>
  <c r="J155" i="23"/>
  <c r="K155" i="23" s="1"/>
  <c r="J156" i="23"/>
  <c r="J157" i="23"/>
  <c r="J158" i="23"/>
  <c r="K158" i="23" s="1"/>
  <c r="J159" i="23"/>
  <c r="K159" i="23" s="1"/>
  <c r="J160" i="23"/>
  <c r="K160" i="23" s="1"/>
  <c r="J161" i="23"/>
  <c r="K161" i="23" s="1"/>
  <c r="J162" i="23"/>
  <c r="K162" i="23" s="1"/>
  <c r="J163" i="23"/>
  <c r="K163" i="23" s="1"/>
  <c r="J164" i="23"/>
  <c r="J165" i="23"/>
  <c r="J166" i="23"/>
  <c r="K166" i="23" s="1"/>
  <c r="J167" i="23"/>
  <c r="K167" i="23" s="1"/>
  <c r="J168" i="23"/>
  <c r="K168" i="23" s="1"/>
  <c r="J169" i="23"/>
  <c r="K169" i="23" s="1"/>
  <c r="J170" i="23"/>
  <c r="K170" i="23" s="1"/>
  <c r="J171" i="23"/>
  <c r="K171" i="23" s="1"/>
  <c r="J172" i="23"/>
  <c r="J173" i="23"/>
  <c r="J174" i="23"/>
  <c r="K174" i="23" s="1"/>
  <c r="J175" i="23"/>
  <c r="K175" i="23" s="1"/>
  <c r="J176" i="23"/>
  <c r="K176" i="23" s="1"/>
  <c r="J177" i="23"/>
  <c r="K177" i="23" s="1"/>
  <c r="J178" i="23"/>
  <c r="K178" i="23" s="1"/>
  <c r="J179" i="23"/>
  <c r="K179" i="23" s="1"/>
  <c r="J180" i="23"/>
  <c r="J181" i="23"/>
  <c r="J182" i="23"/>
  <c r="J183" i="23"/>
  <c r="K183" i="23" s="1"/>
  <c r="J184" i="23"/>
  <c r="K184" i="23" s="1"/>
  <c r="J185" i="23"/>
  <c r="K185" i="23" s="1"/>
  <c r="J186" i="23"/>
  <c r="K186" i="23" s="1"/>
  <c r="J187" i="23"/>
  <c r="K187" i="23" s="1"/>
  <c r="J188" i="23"/>
  <c r="J189" i="23"/>
  <c r="J190" i="23"/>
  <c r="K190" i="23" s="1"/>
  <c r="J191" i="23"/>
  <c r="K191" i="23" s="1"/>
  <c r="J192" i="23"/>
  <c r="K192" i="23" s="1"/>
  <c r="J193" i="23"/>
  <c r="K193" i="23" s="1"/>
  <c r="J194" i="23"/>
  <c r="K194" i="23" s="1"/>
  <c r="J195" i="23"/>
  <c r="K195" i="23" s="1"/>
  <c r="J196" i="23"/>
  <c r="J197" i="23"/>
  <c r="J198" i="23"/>
  <c r="K198" i="23" s="1"/>
  <c r="J199" i="23"/>
  <c r="K199" i="23" s="1"/>
  <c r="J200" i="23"/>
  <c r="K200" i="23" s="1"/>
  <c r="J201" i="23"/>
  <c r="K201" i="23" s="1"/>
  <c r="J202" i="23"/>
  <c r="K202" i="23" s="1"/>
  <c r="J203" i="23"/>
  <c r="K203" i="23" s="1"/>
  <c r="J204" i="23"/>
  <c r="J205" i="23"/>
  <c r="J206" i="23"/>
  <c r="K206" i="23" s="1"/>
  <c r="J207" i="23"/>
  <c r="K207" i="23" s="1"/>
  <c r="J208" i="23"/>
  <c r="K208" i="23" s="1"/>
  <c r="J209" i="23"/>
  <c r="K209" i="23" s="1"/>
  <c r="J210" i="23"/>
  <c r="K210" i="23" s="1"/>
  <c r="J211" i="23"/>
  <c r="K211" i="23" s="1"/>
  <c r="J212" i="23"/>
  <c r="J213" i="23"/>
  <c r="J214" i="23"/>
  <c r="K214" i="23" s="1"/>
  <c r="J215" i="23"/>
  <c r="K215" i="23" s="1"/>
  <c r="J216" i="23"/>
  <c r="K216" i="23" s="1"/>
  <c r="J217" i="23"/>
  <c r="K217" i="23" s="1"/>
  <c r="J218" i="23"/>
  <c r="K218" i="23" s="1"/>
  <c r="J219" i="23"/>
  <c r="K219" i="23" s="1"/>
  <c r="J220" i="23"/>
  <c r="K220" i="23" s="1"/>
  <c r="J221" i="23"/>
  <c r="J222" i="23"/>
  <c r="K222" i="23" s="1"/>
  <c r="J223" i="23"/>
  <c r="K223" i="23" s="1"/>
  <c r="J224" i="23"/>
  <c r="K224" i="23" s="1"/>
  <c r="J225" i="23"/>
  <c r="K225" i="23" s="1"/>
  <c r="J226" i="23"/>
  <c r="K226" i="23" s="1"/>
  <c r="J227" i="23"/>
  <c r="K227" i="23" s="1"/>
  <c r="J228" i="23"/>
  <c r="J229" i="23"/>
  <c r="J230" i="23"/>
  <c r="K230" i="23" s="1"/>
  <c r="J231" i="23"/>
  <c r="K231" i="23" s="1"/>
  <c r="J232" i="23"/>
  <c r="K232" i="23" s="1"/>
  <c r="J233" i="23"/>
  <c r="K233" i="23" s="1"/>
  <c r="J234" i="23"/>
  <c r="K234" i="23" s="1"/>
  <c r="J235" i="23"/>
  <c r="K235" i="23" s="1"/>
  <c r="J236" i="23"/>
  <c r="J237" i="23"/>
  <c r="J238" i="23"/>
  <c r="K238" i="23" s="1"/>
  <c r="J239" i="23"/>
  <c r="K239" i="23" s="1"/>
  <c r="J240" i="23"/>
  <c r="K240" i="23" s="1"/>
  <c r="J241" i="23"/>
  <c r="K241" i="23" s="1"/>
  <c r="J242" i="23"/>
  <c r="K242" i="23" s="1"/>
  <c r="J243" i="23"/>
  <c r="K243" i="23" s="1"/>
  <c r="J244" i="23"/>
  <c r="K244" i="23" s="1"/>
  <c r="J245" i="23"/>
  <c r="J246" i="23"/>
  <c r="K246" i="23" s="1"/>
  <c r="J247" i="23"/>
  <c r="K247" i="23" s="1"/>
  <c r="J248" i="23"/>
  <c r="K248" i="23" s="1"/>
  <c r="J249" i="23"/>
  <c r="K249" i="23" s="1"/>
  <c r="J250" i="23"/>
  <c r="K250" i="23" s="1"/>
  <c r="J251" i="23"/>
  <c r="K251" i="23" s="1"/>
  <c r="J252" i="23"/>
  <c r="J253" i="23"/>
  <c r="J254" i="23"/>
  <c r="K254" i="23" s="1"/>
  <c r="J255" i="23"/>
  <c r="K255" i="23" s="1"/>
  <c r="J256" i="23"/>
  <c r="K256" i="23" s="1"/>
  <c r="J257" i="23"/>
  <c r="K257" i="23" s="1"/>
  <c r="J258" i="23"/>
  <c r="K258" i="23" s="1"/>
  <c r="J259" i="23"/>
  <c r="K259" i="23" s="1"/>
  <c r="J260" i="23"/>
  <c r="J261" i="23"/>
  <c r="J262" i="23"/>
  <c r="K262" i="23" s="1"/>
  <c r="J263" i="23"/>
  <c r="K263" i="23" s="1"/>
  <c r="J264" i="23"/>
  <c r="K264" i="23" s="1"/>
  <c r="J265" i="23"/>
  <c r="K265" i="23" s="1"/>
  <c r="J266" i="23"/>
  <c r="K266" i="23" s="1"/>
  <c r="J267" i="23"/>
  <c r="K267" i="23" s="1"/>
  <c r="J268" i="23"/>
  <c r="K268" i="23" s="1"/>
  <c r="J269" i="23"/>
  <c r="J270" i="23"/>
  <c r="K270" i="23" s="1"/>
  <c r="J271" i="23"/>
  <c r="K271" i="23" s="1"/>
  <c r="J272" i="23"/>
  <c r="K272" i="23" s="1"/>
  <c r="J273" i="23"/>
  <c r="K273" i="23" s="1"/>
  <c r="J274" i="23"/>
  <c r="K274" i="23" s="1"/>
  <c r="J275" i="23"/>
  <c r="K275" i="23" s="1"/>
  <c r="J276" i="23"/>
  <c r="K276" i="23" s="1"/>
  <c r="J277" i="23"/>
  <c r="K277" i="23" s="1"/>
  <c r="J278" i="23"/>
  <c r="K278" i="23" s="1"/>
  <c r="J279" i="23"/>
  <c r="K279" i="23" s="1"/>
  <c r="J3" i="23"/>
  <c r="K3" i="23" s="1"/>
  <c r="K8" i="23"/>
  <c r="K11" i="23"/>
  <c r="K19" i="23"/>
  <c r="K29" i="23"/>
  <c r="K4" i="23"/>
  <c r="K5" i="23"/>
  <c r="K12" i="23"/>
  <c r="K20" i="23"/>
  <c r="K21" i="23"/>
  <c r="K30" i="23"/>
  <c r="K36" i="23"/>
  <c r="K44" i="23"/>
  <c r="K45" i="23"/>
  <c r="K52" i="23"/>
  <c r="K53" i="23"/>
  <c r="K60" i="23"/>
  <c r="K61" i="23"/>
  <c r="K68" i="23"/>
  <c r="K69" i="23"/>
  <c r="K76" i="23"/>
  <c r="K77" i="23"/>
  <c r="K79" i="23"/>
  <c r="K84" i="23"/>
  <c r="K85" i="23"/>
  <c r="K92" i="23"/>
  <c r="K93" i="23"/>
  <c r="K100" i="23"/>
  <c r="K101" i="23"/>
  <c r="K108" i="23"/>
  <c r="K109" i="23"/>
  <c r="K116" i="23"/>
  <c r="K117" i="23"/>
  <c r="K124" i="23"/>
  <c r="K125" i="23"/>
  <c r="K132" i="23"/>
  <c r="K133" i="23"/>
  <c r="K140" i="23"/>
  <c r="K141" i="23"/>
  <c r="K148" i="23"/>
  <c r="K149" i="23"/>
  <c r="K156" i="23"/>
  <c r="K157" i="23"/>
  <c r="K164" i="23"/>
  <c r="K165" i="23"/>
  <c r="K172" i="23"/>
  <c r="K173" i="23"/>
  <c r="K180" i="23"/>
  <c r="K181" i="23"/>
  <c r="K182" i="23"/>
  <c r="K188" i="23"/>
  <c r="K189" i="23"/>
  <c r="K196" i="23"/>
  <c r="K197" i="23"/>
  <c r="K204" i="23"/>
  <c r="K205" i="23"/>
  <c r="K212" i="23"/>
  <c r="K213" i="23"/>
  <c r="K221" i="23"/>
  <c r="K228" i="23"/>
  <c r="K229" i="23"/>
  <c r="K236" i="23"/>
  <c r="K237" i="23"/>
  <c r="K245" i="23"/>
  <c r="K252" i="23"/>
  <c r="K253" i="23"/>
  <c r="K260" i="23"/>
  <c r="K261" i="23"/>
  <c r="K269" i="23"/>
  <c r="H280" i="23"/>
  <c r="H281" i="23" s="1"/>
  <c r="J281" i="23" s="1"/>
  <c r="K281" i="23" s="1"/>
  <c r="I260" i="23"/>
  <c r="I259" i="23"/>
  <c r="I29" i="23"/>
  <c r="I16" i="23"/>
  <c r="I122" i="23"/>
  <c r="I253" i="23"/>
  <c r="I254" i="23"/>
  <c r="I255" i="23"/>
  <c r="I3" i="23"/>
  <c r="I47" i="23"/>
  <c r="I278" i="23"/>
  <c r="I261" i="23"/>
  <c r="I57" i="23"/>
  <c r="I49" i="23"/>
  <c r="I41" i="23"/>
  <c r="I33" i="23"/>
  <c r="I256" i="23"/>
  <c r="I123" i="23"/>
  <c r="I159" i="23"/>
  <c r="I214" i="23"/>
  <c r="I36" i="23"/>
  <c r="I245" i="23"/>
  <c r="I43" i="23"/>
  <c r="J95" i="9"/>
  <c r="F261" i="23"/>
  <c r="F260" i="23"/>
  <c r="F259" i="23"/>
  <c r="F36" i="23"/>
  <c r="E330" i="22"/>
  <c r="F278" i="23"/>
  <c r="D12" i="13"/>
  <c r="G12" i="13" s="1"/>
  <c r="D23" i="13"/>
  <c r="R110" i="8"/>
  <c r="R109" i="8"/>
  <c r="R108" i="8"/>
  <c r="R107" i="8"/>
  <c r="R103" i="8"/>
  <c r="R102" i="8"/>
  <c r="P101" i="8"/>
  <c r="R101" i="8" s="1"/>
  <c r="R97" i="8"/>
  <c r="R96" i="8"/>
  <c r="E95" i="8"/>
  <c r="C95" i="8"/>
  <c r="B95" i="8"/>
  <c r="R95" i="8" s="1"/>
  <c r="R113" i="8" s="1"/>
  <c r="B113" i="8"/>
  <c r="R94" i="8"/>
  <c r="C91" i="8"/>
  <c r="R91" i="8" s="1"/>
  <c r="G88" i="8"/>
  <c r="R88" i="8" s="1"/>
  <c r="G87" i="8"/>
  <c r="R87" i="8"/>
  <c r="O84" i="8"/>
  <c r="R84" i="8"/>
  <c r="R83" i="8"/>
  <c r="G82" i="8"/>
  <c r="D82" i="8"/>
  <c r="O81" i="8"/>
  <c r="C21" i="11" s="1"/>
  <c r="E81" i="8"/>
  <c r="E85" i="8" s="1"/>
  <c r="E89" i="8" s="1"/>
  <c r="E93" i="8" s="1"/>
  <c r="E98" i="8" s="1"/>
  <c r="E106" i="8" s="1"/>
  <c r="E111" i="8" s="1"/>
  <c r="E65" i="8" s="1"/>
  <c r="J80" i="8"/>
  <c r="J79" i="8"/>
  <c r="G79" i="8"/>
  <c r="D79" i="8"/>
  <c r="C79" i="8"/>
  <c r="C85" i="8" s="1"/>
  <c r="C89" i="8" s="1"/>
  <c r="C93" i="8" s="1"/>
  <c r="C98" i="8" s="1"/>
  <c r="C106" i="8" s="1"/>
  <c r="C111" i="8" s="1"/>
  <c r="C65" i="8" s="1"/>
  <c r="C66" i="8" s="1"/>
  <c r="B79" i="8"/>
  <c r="R78" i="8"/>
  <c r="F77" i="8"/>
  <c r="R77" i="8" s="1"/>
  <c r="Q75" i="8"/>
  <c r="P75" i="8"/>
  <c r="O75" i="8"/>
  <c r="N75" i="8"/>
  <c r="N85" i="8" s="1"/>
  <c r="N89" i="8" s="1"/>
  <c r="N93" i="8" s="1"/>
  <c r="N98" i="8" s="1"/>
  <c r="N106" i="8" s="1"/>
  <c r="N111" i="8" s="1"/>
  <c r="N65" i="8" s="1"/>
  <c r="N66" i="8" s="1"/>
  <c r="L75" i="8"/>
  <c r="L85" i="8"/>
  <c r="L89" i="8" s="1"/>
  <c r="L93" i="8" s="1"/>
  <c r="L98" i="8" s="1"/>
  <c r="L106" i="8" s="1"/>
  <c r="L111" i="8" s="1"/>
  <c r="L65" i="8" s="1"/>
  <c r="L66" i="8" s="1"/>
  <c r="K75" i="8"/>
  <c r="K85" i="8"/>
  <c r="J75" i="8"/>
  <c r="I75" i="8"/>
  <c r="H75" i="8"/>
  <c r="H85" i="8" s="1"/>
  <c r="G75" i="8"/>
  <c r="E75" i="8"/>
  <c r="D75" i="8"/>
  <c r="D85" i="8" s="1"/>
  <c r="C75" i="8"/>
  <c r="B75" i="8"/>
  <c r="B85" i="8" s="1"/>
  <c r="R74" i="8"/>
  <c r="M73" i="8"/>
  <c r="R73" i="8" s="1"/>
  <c r="F73" i="8"/>
  <c r="M72" i="8"/>
  <c r="M75" i="8" s="1"/>
  <c r="F72" i="8"/>
  <c r="F75" i="8" s="1"/>
  <c r="R67" i="8"/>
  <c r="P64" i="8"/>
  <c r="R64" i="8" s="1"/>
  <c r="R63" i="8"/>
  <c r="R62" i="8"/>
  <c r="R61" i="8"/>
  <c r="R59" i="8"/>
  <c r="R58" i="8"/>
  <c r="R57" i="8"/>
  <c r="Q56" i="8"/>
  <c r="P56" i="8"/>
  <c r="O56" i="8"/>
  <c r="N56" i="8"/>
  <c r="M56" i="8"/>
  <c r="L56" i="8"/>
  <c r="L60" i="8" s="1"/>
  <c r="K56" i="8"/>
  <c r="K60" i="8" s="1"/>
  <c r="J56" i="8"/>
  <c r="H56" i="8"/>
  <c r="G56" i="8"/>
  <c r="F56" i="8"/>
  <c r="E56" i="8"/>
  <c r="D56" i="8"/>
  <c r="D60" i="8" s="1"/>
  <c r="C56" i="8"/>
  <c r="B56" i="8"/>
  <c r="I55" i="8"/>
  <c r="R55" i="8" s="1"/>
  <c r="R56" i="8" s="1"/>
  <c r="R54" i="8"/>
  <c r="Q53" i="8"/>
  <c r="Q60" i="8" s="1"/>
  <c r="P53" i="8"/>
  <c r="O53" i="8"/>
  <c r="N53" i="8"/>
  <c r="N60" i="8"/>
  <c r="L53" i="8"/>
  <c r="K53" i="8"/>
  <c r="J53" i="8"/>
  <c r="G53" i="8"/>
  <c r="G60" i="8" s="1"/>
  <c r="F53" i="8"/>
  <c r="F60" i="8"/>
  <c r="E53" i="8"/>
  <c r="D53" i="8"/>
  <c r="B53" i="8"/>
  <c r="I52" i="8"/>
  <c r="R51" i="8"/>
  <c r="M50" i="8"/>
  <c r="R50" i="8" s="1"/>
  <c r="R49" i="8"/>
  <c r="C48" i="8"/>
  <c r="R48" i="8"/>
  <c r="M47" i="8"/>
  <c r="H47" i="8"/>
  <c r="R46" i="8"/>
  <c r="R45" i="8"/>
  <c r="R44" i="8"/>
  <c r="R41" i="8"/>
  <c r="C40" i="8"/>
  <c r="R40" i="8"/>
  <c r="R39" i="8"/>
  <c r="Q37" i="8"/>
  <c r="P37" i="8"/>
  <c r="O37" i="8"/>
  <c r="N37" i="8"/>
  <c r="M37" i="8"/>
  <c r="L37" i="8"/>
  <c r="K37" i="8"/>
  <c r="J37" i="8"/>
  <c r="I37" i="8"/>
  <c r="H37" i="8"/>
  <c r="G37" i="8"/>
  <c r="F37" i="8"/>
  <c r="E37" i="8"/>
  <c r="D37" i="8"/>
  <c r="C37" i="8"/>
  <c r="B37" i="8"/>
  <c r="R36" i="8"/>
  <c r="R35" i="8"/>
  <c r="R37" i="8" s="1"/>
  <c r="R34" i="8"/>
  <c r="R32" i="8"/>
  <c r="L31" i="8"/>
  <c r="R31" i="8" s="1"/>
  <c r="K31" i="8"/>
  <c r="K30" i="8"/>
  <c r="K33" i="8" s="1"/>
  <c r="H30" i="8"/>
  <c r="R29" i="8"/>
  <c r="R28" i="8"/>
  <c r="R30" i="8" s="1"/>
  <c r="Q28" i="8"/>
  <c r="Q33" i="8" s="1"/>
  <c r="Q30" i="8"/>
  <c r="P28" i="8"/>
  <c r="O28" i="8"/>
  <c r="N28" i="8"/>
  <c r="N33" i="8" s="1"/>
  <c r="N30" i="8"/>
  <c r="M28" i="8"/>
  <c r="M30" i="8" s="1"/>
  <c r="L28" i="8"/>
  <c r="L33" i="8" s="1"/>
  <c r="L30" i="8"/>
  <c r="K28" i="8"/>
  <c r="J28" i="8"/>
  <c r="J30" i="8"/>
  <c r="J33" i="8" s="1"/>
  <c r="J42" i="8" s="1"/>
  <c r="I28" i="8"/>
  <c r="I30" i="8"/>
  <c r="H28" i="8"/>
  <c r="H33" i="8" s="1"/>
  <c r="G28" i="8"/>
  <c r="F28" i="8"/>
  <c r="F30" i="8" s="1"/>
  <c r="E28" i="8"/>
  <c r="E30" i="8" s="1"/>
  <c r="D28" i="8"/>
  <c r="C28" i="8"/>
  <c r="C30" i="8" s="1"/>
  <c r="B28" i="8"/>
  <c r="B30" i="8" s="1"/>
  <c r="R27" i="8"/>
  <c r="R26" i="8"/>
  <c r="R24" i="8"/>
  <c r="R23" i="8"/>
  <c r="R22" i="8"/>
  <c r="Q20" i="8"/>
  <c r="Q42" i="8" s="1"/>
  <c r="P20" i="8"/>
  <c r="O20" i="8"/>
  <c r="J20" i="8"/>
  <c r="I20" i="8"/>
  <c r="G20" i="8"/>
  <c r="G42" i="8" s="1"/>
  <c r="F20" i="8"/>
  <c r="E20" i="8"/>
  <c r="D20" i="8"/>
  <c r="C20" i="8"/>
  <c r="B20" i="8"/>
  <c r="R19" i="8"/>
  <c r="R18" i="8"/>
  <c r="M17" i="8"/>
  <c r="M20" i="8"/>
  <c r="N16" i="8"/>
  <c r="R15" i="8"/>
  <c r="L14" i="8"/>
  <c r="R14" i="8" s="1"/>
  <c r="N13" i="8"/>
  <c r="R13" i="8" s="1"/>
  <c r="K12" i="8"/>
  <c r="K20" i="8" s="1"/>
  <c r="H11" i="8"/>
  <c r="R11" i="8" s="1"/>
  <c r="K10" i="8"/>
  <c r="R10" i="8"/>
  <c r="R9" i="8"/>
  <c r="J85" i="8"/>
  <c r="J89" i="8" s="1"/>
  <c r="J93" i="8" s="1"/>
  <c r="J98" i="8" s="1"/>
  <c r="J106" i="8" s="1"/>
  <c r="J111" i="8" s="1"/>
  <c r="J65" i="8" s="1"/>
  <c r="R81" i="8"/>
  <c r="R82" i="8"/>
  <c r="I89" i="8"/>
  <c r="I93" i="8" s="1"/>
  <c r="I98" i="8" s="1"/>
  <c r="I106" i="8" s="1"/>
  <c r="I111" i="8" s="1"/>
  <c r="I65" i="8" s="1"/>
  <c r="I66" i="8" s="1"/>
  <c r="O60" i="8"/>
  <c r="I33" i="8"/>
  <c r="I42" i="8"/>
  <c r="R47" i="8"/>
  <c r="H53" i="8"/>
  <c r="P60" i="8"/>
  <c r="R80" i="8"/>
  <c r="P85" i="8"/>
  <c r="P89" i="8"/>
  <c r="P93" i="8" s="1"/>
  <c r="P98" i="8" s="1"/>
  <c r="P106" i="8" s="1"/>
  <c r="P111" i="8" s="1"/>
  <c r="P65" i="8" s="1"/>
  <c r="K89" i="8"/>
  <c r="K93" i="8"/>
  <c r="K98" i="8" s="1"/>
  <c r="K106" i="8" s="1"/>
  <c r="K111" i="8" s="1"/>
  <c r="K65" i="8" s="1"/>
  <c r="K66" i="8" s="1"/>
  <c r="G30" i="8"/>
  <c r="G33" i="8"/>
  <c r="O30" i="8"/>
  <c r="I85" i="8"/>
  <c r="Q85" i="8"/>
  <c r="Q89" i="8"/>
  <c r="Q93" i="8" s="1"/>
  <c r="Q98" i="8" s="1"/>
  <c r="Q106" i="8" s="1"/>
  <c r="Q111" i="8" s="1"/>
  <c r="Q65" i="8" s="1"/>
  <c r="Q66" i="8" s="1"/>
  <c r="B60" i="8"/>
  <c r="J60" i="8"/>
  <c r="C53" i="8"/>
  <c r="C60" i="8" s="1"/>
  <c r="E60" i="8"/>
  <c r="H60" i="8"/>
  <c r="H95" i="9"/>
  <c r="J96" i="9"/>
  <c r="I95" i="9"/>
  <c r="E20" i="16"/>
  <c r="E34" i="16" s="1"/>
  <c r="G35" i="16" s="1"/>
  <c r="C32" i="11"/>
  <c r="C27" i="11"/>
  <c r="C23" i="11"/>
  <c r="C22" i="11"/>
  <c r="C20" i="11"/>
  <c r="C19" i="11"/>
  <c r="C18" i="11"/>
  <c r="C16" i="11"/>
  <c r="C14" i="11"/>
  <c r="C13" i="11"/>
  <c r="C12" i="11"/>
  <c r="C11" i="11"/>
  <c r="C62" i="14"/>
  <c r="C61" i="14"/>
  <c r="C60" i="14"/>
  <c r="C56" i="14"/>
  <c r="C53" i="14"/>
  <c r="C49" i="14"/>
  <c r="C48" i="14"/>
  <c r="C47" i="14"/>
  <c r="C46" i="14"/>
  <c r="C45" i="14"/>
  <c r="C44" i="14"/>
  <c r="C43" i="14"/>
  <c r="C42" i="14"/>
  <c r="C38" i="14"/>
  <c r="C37" i="14"/>
  <c r="C33" i="14"/>
  <c r="C29" i="14"/>
  <c r="C24" i="14"/>
  <c r="C23" i="14"/>
  <c r="C20" i="14"/>
  <c r="C19" i="14"/>
  <c r="C18" i="14"/>
  <c r="C17" i="14"/>
  <c r="C16" i="14"/>
  <c r="C15" i="14"/>
  <c r="C14" i="14"/>
  <c r="C13" i="14"/>
  <c r="C12" i="14"/>
  <c r="C11" i="14"/>
  <c r="C10" i="14"/>
  <c r="B23" i="11"/>
  <c r="D23" i="11" s="1"/>
  <c r="E23" i="11" s="1"/>
  <c r="P84" i="21"/>
  <c r="S84" i="21" s="1"/>
  <c r="AR23" i="17"/>
  <c r="AR57" i="25"/>
  <c r="AQ57" i="17"/>
  <c r="S78" i="21"/>
  <c r="B18" i="11" s="1"/>
  <c r="D18" i="11" s="1"/>
  <c r="E18" i="11" s="1"/>
  <c r="S83" i="21"/>
  <c r="AR18" i="17"/>
  <c r="T68" i="17"/>
  <c r="D15" i="17"/>
  <c r="D87" i="17"/>
  <c r="D39" i="17"/>
  <c r="AE39" i="17"/>
  <c r="AE39" i="25"/>
  <c r="AT57" i="25"/>
  <c r="C10" i="25"/>
  <c r="C20" i="25"/>
  <c r="C21" i="25"/>
  <c r="C24" i="25"/>
  <c r="C26" i="25"/>
  <c r="C29" i="25"/>
  <c r="C35" i="25"/>
  <c r="C36" i="25"/>
  <c r="C38" i="25"/>
  <c r="C43" i="25"/>
  <c r="C52" i="25"/>
  <c r="C58" i="25"/>
  <c r="C59" i="25"/>
  <c r="C64" i="25"/>
  <c r="C70" i="25"/>
  <c r="C72" i="25"/>
  <c r="C73" i="25"/>
  <c r="AR82" i="25"/>
  <c r="C82" i="25"/>
  <c r="AS57" i="17"/>
  <c r="B72" i="17"/>
  <c r="B73" i="17"/>
  <c r="N75" i="17"/>
  <c r="B75" i="17"/>
  <c r="AR19" i="17"/>
  <c r="H16" i="17"/>
  <c r="E18" i="17"/>
  <c r="AL90" i="25"/>
  <c r="AH90" i="25"/>
  <c r="AF90" i="25"/>
  <c r="W90" i="25"/>
  <c r="V90" i="25"/>
  <c r="U90" i="25"/>
  <c r="P90" i="25"/>
  <c r="N90" i="25"/>
  <c r="AK89" i="25"/>
  <c r="AK88" i="25"/>
  <c r="AJ88" i="25"/>
  <c r="C88" i="25" s="1"/>
  <c r="AB87" i="25"/>
  <c r="AE86" i="25"/>
  <c r="E86" i="25"/>
  <c r="E90" i="25"/>
  <c r="D86" i="25"/>
  <c r="K81" i="25"/>
  <c r="J81" i="25"/>
  <c r="C81" i="25" s="1"/>
  <c r="AV80" i="25"/>
  <c r="AU80" i="25"/>
  <c r="C80" i="25" s="1"/>
  <c r="AT80" i="25"/>
  <c r="R77" i="25"/>
  <c r="R90" i="25" s="1"/>
  <c r="T76" i="25"/>
  <c r="AO75" i="25"/>
  <c r="O74" i="25"/>
  <c r="O90" i="25"/>
  <c r="U68" i="25"/>
  <c r="AR53" i="25"/>
  <c r="C53" i="25"/>
  <c r="AC25" i="25"/>
  <c r="C25" i="25"/>
  <c r="AQ23" i="25"/>
  <c r="C23" i="25"/>
  <c r="AQ14" i="25"/>
  <c r="AO14" i="25"/>
  <c r="AC13" i="25"/>
  <c r="AF6" i="25"/>
  <c r="AF68" i="25" s="1"/>
  <c r="AD6" i="25"/>
  <c r="AD16" i="25"/>
  <c r="AD90" i="25" s="1"/>
  <c r="AB6" i="25"/>
  <c r="AB84" i="25"/>
  <c r="R6" i="25"/>
  <c r="R44" i="25" s="1"/>
  <c r="C44" i="25" s="1"/>
  <c r="N6" i="25"/>
  <c r="N42" i="25" s="1"/>
  <c r="N68" i="25" s="1"/>
  <c r="M6" i="25"/>
  <c r="M68" i="25" s="1"/>
  <c r="AX5" i="25"/>
  <c r="AX6" i="25" s="1"/>
  <c r="AW5" i="25"/>
  <c r="AW6" i="25" s="1"/>
  <c r="AV5" i="25"/>
  <c r="AV6" i="25" s="1"/>
  <c r="AU5" i="25"/>
  <c r="AU6" i="25"/>
  <c r="AU71" i="25" s="1"/>
  <c r="AS5" i="25"/>
  <c r="AS6" i="25" s="1"/>
  <c r="AQ5" i="25"/>
  <c r="AQ6" i="25" s="1"/>
  <c r="AP5" i="25"/>
  <c r="AP6" i="25"/>
  <c r="AP16" i="25" s="1"/>
  <c r="AO5" i="25"/>
  <c r="AO6" i="25" s="1"/>
  <c r="AN5" i="25"/>
  <c r="AN6" i="25" s="1"/>
  <c r="AM5" i="25"/>
  <c r="AK5" i="25"/>
  <c r="AK6" i="25" s="1"/>
  <c r="AJ5" i="25"/>
  <c r="AJ6" i="25" s="1"/>
  <c r="AI5" i="25"/>
  <c r="AI6" i="25"/>
  <c r="AI87" i="25" s="1"/>
  <c r="AH5" i="25"/>
  <c r="AH6" i="25" s="1"/>
  <c r="AG5" i="25"/>
  <c r="AG6" i="25" s="1"/>
  <c r="AE5" i="25"/>
  <c r="AE6" i="25" s="1"/>
  <c r="AC5" i="25"/>
  <c r="AC6" i="25" s="1"/>
  <c r="AA5" i="25"/>
  <c r="AA6" i="25" s="1"/>
  <c r="Z5" i="25"/>
  <c r="Z6" i="25" s="1"/>
  <c r="Y5" i="25"/>
  <c r="Y6" i="25" s="1"/>
  <c r="X5" i="25"/>
  <c r="X6" i="25" s="1"/>
  <c r="W5" i="25"/>
  <c r="W6" i="25" s="1"/>
  <c r="V5" i="25"/>
  <c r="V6" i="25" s="1"/>
  <c r="T5" i="25"/>
  <c r="T6" i="25" s="1"/>
  <c r="S5" i="25"/>
  <c r="S6" i="25"/>
  <c r="Q5" i="25"/>
  <c r="P5" i="25"/>
  <c r="P6" i="25" s="1"/>
  <c r="O5" i="25"/>
  <c r="O6" i="25"/>
  <c r="L5" i="25"/>
  <c r="L6" i="25" s="1"/>
  <c r="K5" i="25"/>
  <c r="K6" i="25" s="1"/>
  <c r="J5" i="25"/>
  <c r="J6" i="25"/>
  <c r="J13" i="25" s="1"/>
  <c r="I5" i="25"/>
  <c r="I6" i="25"/>
  <c r="I16" i="25" s="1"/>
  <c r="I90" i="25" s="1"/>
  <c r="H5" i="25"/>
  <c r="H6" i="25"/>
  <c r="H18" i="25" s="1"/>
  <c r="G5" i="25"/>
  <c r="G6" i="25" s="1"/>
  <c r="F5" i="25"/>
  <c r="F6" i="25"/>
  <c r="F86" i="25" s="1"/>
  <c r="E5" i="25"/>
  <c r="E6" i="25" s="1"/>
  <c r="D5" i="25"/>
  <c r="D6" i="25" s="1"/>
  <c r="AL4" i="25"/>
  <c r="AB15" i="25"/>
  <c r="AB68" i="25" s="1"/>
  <c r="AF56" i="25"/>
  <c r="AM6" i="25"/>
  <c r="M78" i="25"/>
  <c r="M90" i="25" s="1"/>
  <c r="C78" i="25"/>
  <c r="S22" i="25"/>
  <c r="S68" i="25" s="1"/>
  <c r="I86" i="25"/>
  <c r="O42" i="25"/>
  <c r="Q6" i="25"/>
  <c r="Q27" i="25" s="1"/>
  <c r="C37" i="25"/>
  <c r="AD79" i="25"/>
  <c r="C79" i="25"/>
  <c r="D90" i="25"/>
  <c r="F9" i="25"/>
  <c r="C26" i="11"/>
  <c r="Q64" i="21"/>
  <c r="S103" i="21"/>
  <c r="S102" i="21"/>
  <c r="Q101" i="21"/>
  <c r="S101" i="21"/>
  <c r="Q75" i="21"/>
  <c r="Q56" i="21"/>
  <c r="Q53" i="21"/>
  <c r="Q60" i="21" s="1"/>
  <c r="Q37" i="21"/>
  <c r="Q28" i="21"/>
  <c r="Q33" i="21" s="1"/>
  <c r="Q20" i="21"/>
  <c r="P75" i="21"/>
  <c r="P56" i="21"/>
  <c r="P53" i="21"/>
  <c r="P60" i="21" s="1"/>
  <c r="P37" i="21"/>
  <c r="P28" i="21"/>
  <c r="P20" i="21"/>
  <c r="P81" i="21"/>
  <c r="Q30" i="21"/>
  <c r="P30" i="21"/>
  <c r="P33" i="21" s="1"/>
  <c r="S19" i="21"/>
  <c r="B20" i="14" s="1"/>
  <c r="D20" i="14" s="1"/>
  <c r="E20" i="14" s="1"/>
  <c r="O16" i="21"/>
  <c r="O13" i="21"/>
  <c r="AG91" i="17"/>
  <c r="AF91" i="17"/>
  <c r="V91" i="17"/>
  <c r="U91" i="17"/>
  <c r="T91" i="17"/>
  <c r="O91" i="17"/>
  <c r="M91" i="17"/>
  <c r="N74" i="17"/>
  <c r="N91" i="17" s="1"/>
  <c r="Y4" i="17"/>
  <c r="AD87" i="17"/>
  <c r="AD4" i="17"/>
  <c r="N50" i="21"/>
  <c r="N53" i="21" s="1"/>
  <c r="D79" i="21"/>
  <c r="N73" i="21"/>
  <c r="N72" i="21"/>
  <c r="N17" i="21"/>
  <c r="N47" i="21"/>
  <c r="C28" i="11"/>
  <c r="M53" i="21"/>
  <c r="M60" i="21" s="1"/>
  <c r="L53" i="21"/>
  <c r="K53" i="21"/>
  <c r="H53" i="21"/>
  <c r="G53" i="21"/>
  <c r="F53" i="21"/>
  <c r="E53" i="21"/>
  <c r="C53" i="21"/>
  <c r="C34" i="14"/>
  <c r="C26" i="14"/>
  <c r="M31" i="21"/>
  <c r="L12" i="21"/>
  <c r="S12" i="21" s="1"/>
  <c r="AO5" i="17"/>
  <c r="K80" i="21"/>
  <c r="S80" i="21" s="1"/>
  <c r="B20" i="11" s="1"/>
  <c r="K79" i="21"/>
  <c r="J52" i="21"/>
  <c r="S52" i="21" s="1"/>
  <c r="I11" i="21"/>
  <c r="S11" i="21" s="1"/>
  <c r="J53" i="21"/>
  <c r="H75" i="21"/>
  <c r="H85" i="21" s="1"/>
  <c r="H89" i="21" s="1"/>
  <c r="H93" i="21" s="1"/>
  <c r="H98" i="21" s="1"/>
  <c r="H106" i="21" s="1"/>
  <c r="H111" i="21" s="1"/>
  <c r="H65" i="21" s="1"/>
  <c r="H66" i="21" s="1"/>
  <c r="H82" i="21"/>
  <c r="H87" i="21"/>
  <c r="G73" i="21"/>
  <c r="S73" i="21" s="1"/>
  <c r="G72" i="21"/>
  <c r="S72" i="21" s="1"/>
  <c r="E95" i="9"/>
  <c r="D40" i="21"/>
  <c r="D95" i="21"/>
  <c r="M14" i="21"/>
  <c r="M20" i="21" s="1"/>
  <c r="L10" i="21"/>
  <c r="S10" i="21" s="1"/>
  <c r="AR5" i="25"/>
  <c r="AR6" i="25"/>
  <c r="D37" i="21"/>
  <c r="E37" i="21"/>
  <c r="F37" i="21"/>
  <c r="G37" i="21"/>
  <c r="H37" i="21"/>
  <c r="I37" i="21"/>
  <c r="J37" i="21"/>
  <c r="K37" i="21"/>
  <c r="L37" i="21"/>
  <c r="M37" i="21"/>
  <c r="N37" i="21"/>
  <c r="O37" i="21"/>
  <c r="R37" i="21"/>
  <c r="S27" i="21"/>
  <c r="S26" i="21"/>
  <c r="S9" i="21"/>
  <c r="C5" i="17" s="1"/>
  <c r="C6" i="17" s="1"/>
  <c r="S51" i="21"/>
  <c r="V5" i="17" s="1"/>
  <c r="S46" i="21"/>
  <c r="B44" i="14" s="1"/>
  <c r="S45" i="21"/>
  <c r="W5" i="17" s="1"/>
  <c r="B43" i="14"/>
  <c r="S13" i="21"/>
  <c r="B14" i="14" s="1"/>
  <c r="D14" i="14" s="1"/>
  <c r="E14" i="14" s="1"/>
  <c r="Z5" i="17"/>
  <c r="Z6" i="17" s="1"/>
  <c r="P5" i="17"/>
  <c r="P6" i="17" s="1"/>
  <c r="B24" i="14"/>
  <c r="D24" i="14" s="1"/>
  <c r="E24" i="14" s="1"/>
  <c r="O5" i="17"/>
  <c r="B23" i="14"/>
  <c r="AR71" i="25"/>
  <c r="O75" i="21"/>
  <c r="O85" i="21"/>
  <c r="O56" i="21"/>
  <c r="O28" i="21"/>
  <c r="J55" i="21"/>
  <c r="S44" i="21"/>
  <c r="B42" i="14" s="1"/>
  <c r="D42" i="14" s="1"/>
  <c r="E42" i="14" s="1"/>
  <c r="O30" i="21"/>
  <c r="O33" i="21" s="1"/>
  <c r="M75" i="21"/>
  <c r="M85" i="21"/>
  <c r="M89" i="21" s="1"/>
  <c r="M93" i="21" s="1"/>
  <c r="M98" i="21" s="1"/>
  <c r="M106" i="21" s="1"/>
  <c r="M111" i="21" s="1"/>
  <c r="M65" i="21" s="1"/>
  <c r="M66" i="21" s="1"/>
  <c r="M56" i="21"/>
  <c r="M28" i="21"/>
  <c r="M30" i="21" s="1"/>
  <c r="M33" i="21" s="1"/>
  <c r="N56" i="21"/>
  <c r="N28" i="21"/>
  <c r="N30" i="21" s="1"/>
  <c r="N33" i="21" s="1"/>
  <c r="E82" i="21"/>
  <c r="S82" i="21" s="1"/>
  <c r="I47" i="21"/>
  <c r="I53" i="21" s="1"/>
  <c r="I60" i="21" s="1"/>
  <c r="O53" i="21"/>
  <c r="F81" i="21"/>
  <c r="S81" i="21" s="1"/>
  <c r="AQ5" i="17" s="1"/>
  <c r="AQ6" i="17" s="1"/>
  <c r="N20" i="21"/>
  <c r="F316" i="22"/>
  <c r="O60" i="21"/>
  <c r="D17" i="13"/>
  <c r="G17" i="13" s="1"/>
  <c r="F16" i="23"/>
  <c r="F3" i="23"/>
  <c r="F254" i="23"/>
  <c r="F33" i="23"/>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J79" i="22"/>
  <c r="J80" i="22"/>
  <c r="J81" i="22"/>
  <c r="J82" i="22"/>
  <c r="J83" i="22"/>
  <c r="J84" i="22"/>
  <c r="J85" i="22"/>
  <c r="J86" i="22"/>
  <c r="J87" i="22"/>
  <c r="J88" i="22"/>
  <c r="J89" i="22"/>
  <c r="J90" i="22"/>
  <c r="J91" i="22"/>
  <c r="J92" i="22"/>
  <c r="J93" i="22"/>
  <c r="J94" i="22"/>
  <c r="J95" i="22"/>
  <c r="J96" i="22"/>
  <c r="J97" i="22"/>
  <c r="J98" i="22"/>
  <c r="J99" i="22"/>
  <c r="J100" i="22"/>
  <c r="J101" i="22"/>
  <c r="J102" i="22"/>
  <c r="J103" i="22"/>
  <c r="J104" i="22"/>
  <c r="J105" i="22"/>
  <c r="J106" i="22"/>
  <c r="J107" i="22"/>
  <c r="J108" i="22"/>
  <c r="J109" i="22"/>
  <c r="J110" i="22"/>
  <c r="J111" i="22"/>
  <c r="J112" i="22"/>
  <c r="J113" i="22"/>
  <c r="J114" i="22"/>
  <c r="J115" i="22"/>
  <c r="J116" i="22"/>
  <c r="J117" i="22"/>
  <c r="J118" i="22"/>
  <c r="J119" i="22"/>
  <c r="J120" i="22"/>
  <c r="J121" i="22"/>
  <c r="J122" i="22"/>
  <c r="J123" i="22"/>
  <c r="J124" i="22"/>
  <c r="J125" i="22"/>
  <c r="J126" i="22"/>
  <c r="J127" i="22"/>
  <c r="J128" i="22"/>
  <c r="J129" i="22"/>
  <c r="J130" i="22"/>
  <c r="J131" i="22"/>
  <c r="J132" i="22"/>
  <c r="J133" i="22"/>
  <c r="J134" i="22"/>
  <c r="J135" i="22"/>
  <c r="J136" i="22"/>
  <c r="J137" i="22"/>
  <c r="J138" i="22"/>
  <c r="J139" i="22"/>
  <c r="J140" i="22"/>
  <c r="J141" i="22"/>
  <c r="J142" i="22"/>
  <c r="J143" i="22"/>
  <c r="J144" i="22"/>
  <c r="J145" i="22"/>
  <c r="J146" i="22"/>
  <c r="J147" i="22"/>
  <c r="J148" i="22"/>
  <c r="J149" i="22"/>
  <c r="J150" i="22"/>
  <c r="J151" i="22"/>
  <c r="J152" i="22"/>
  <c r="J153" i="22"/>
  <c r="J154" i="22"/>
  <c r="J155" i="22"/>
  <c r="J156" i="22"/>
  <c r="J157" i="22"/>
  <c r="J158" i="22"/>
  <c r="J159" i="22"/>
  <c r="J160" i="22"/>
  <c r="J161" i="22"/>
  <c r="J162" i="22"/>
  <c r="J163" i="22"/>
  <c r="J164" i="22"/>
  <c r="J165" i="22"/>
  <c r="J166" i="22"/>
  <c r="J167" i="22"/>
  <c r="J168" i="22"/>
  <c r="J169" i="22"/>
  <c r="J170" i="22"/>
  <c r="J171" i="22"/>
  <c r="J172" i="22"/>
  <c r="J173" i="22"/>
  <c r="J174" i="22"/>
  <c r="J175" i="22"/>
  <c r="J176" i="22"/>
  <c r="J177" i="22"/>
  <c r="J178" i="22"/>
  <c r="J179" i="22"/>
  <c r="J180" i="22"/>
  <c r="J181" i="22"/>
  <c r="J182" i="22"/>
  <c r="J183" i="22"/>
  <c r="J184" i="22"/>
  <c r="J185" i="22"/>
  <c r="J186" i="22"/>
  <c r="J187" i="22"/>
  <c r="J188" i="22"/>
  <c r="J189" i="22"/>
  <c r="J190" i="22"/>
  <c r="J191" i="22"/>
  <c r="J192" i="22"/>
  <c r="J193" i="22"/>
  <c r="J194" i="22"/>
  <c r="J195" i="22"/>
  <c r="J196" i="22"/>
  <c r="J197" i="22"/>
  <c r="J198" i="22"/>
  <c r="J199" i="22"/>
  <c r="J200" i="22"/>
  <c r="J201" i="22"/>
  <c r="J202" i="22"/>
  <c r="J203" i="22"/>
  <c r="J204" i="22"/>
  <c r="J205" i="22"/>
  <c r="J206" i="22"/>
  <c r="J207" i="22"/>
  <c r="J208" i="22"/>
  <c r="J209" i="22"/>
  <c r="J210" i="22"/>
  <c r="J211" i="22"/>
  <c r="J212" i="22"/>
  <c r="J213" i="22"/>
  <c r="J214" i="22"/>
  <c r="J215" i="22"/>
  <c r="J216" i="22"/>
  <c r="J217" i="22"/>
  <c r="J218" i="22"/>
  <c r="J219" i="22"/>
  <c r="J220" i="22"/>
  <c r="J221" i="22"/>
  <c r="J222" i="22"/>
  <c r="J223" i="22"/>
  <c r="J224" i="22"/>
  <c r="J225" i="22"/>
  <c r="J226" i="22"/>
  <c r="J227" i="22"/>
  <c r="J228" i="22"/>
  <c r="J229" i="22"/>
  <c r="J230" i="22"/>
  <c r="J231" i="22"/>
  <c r="J232" i="22"/>
  <c r="J233" i="22"/>
  <c r="J234" i="22"/>
  <c r="J235" i="22"/>
  <c r="J236" i="22"/>
  <c r="J237" i="22"/>
  <c r="J238" i="22"/>
  <c r="J239" i="22"/>
  <c r="J240" i="22"/>
  <c r="J241" i="22"/>
  <c r="J242" i="22"/>
  <c r="J243" i="22"/>
  <c r="J244" i="22"/>
  <c r="J245" i="22"/>
  <c r="J246" i="22"/>
  <c r="J247" i="22"/>
  <c r="J248" i="22"/>
  <c r="J249" i="22"/>
  <c r="J250" i="22"/>
  <c r="J251" i="22"/>
  <c r="J252" i="22"/>
  <c r="J253" i="22"/>
  <c r="J254" i="22"/>
  <c r="J255" i="22"/>
  <c r="J256" i="22"/>
  <c r="J257" i="22"/>
  <c r="J258" i="22"/>
  <c r="J259" i="22"/>
  <c r="J260" i="22"/>
  <c r="J261" i="22"/>
  <c r="J262" i="22"/>
  <c r="J263" i="22"/>
  <c r="J264" i="22"/>
  <c r="J265" i="22"/>
  <c r="J266" i="22"/>
  <c r="J267" i="22"/>
  <c r="J268" i="22"/>
  <c r="J269" i="22"/>
  <c r="J270" i="22"/>
  <c r="J271" i="22"/>
  <c r="J272" i="22"/>
  <c r="J273" i="22"/>
  <c r="J274" i="22"/>
  <c r="J275" i="22"/>
  <c r="J276" i="22"/>
  <c r="J277" i="22"/>
  <c r="J278" i="22"/>
  <c r="J279" i="22"/>
  <c r="J280" i="22"/>
  <c r="J281" i="22"/>
  <c r="J282" i="22"/>
  <c r="J283" i="22"/>
  <c r="J284" i="22"/>
  <c r="J285" i="22"/>
  <c r="J286" i="22"/>
  <c r="J287" i="22"/>
  <c r="J288" i="22"/>
  <c r="J289" i="22"/>
  <c r="J290" i="22"/>
  <c r="J291" i="22"/>
  <c r="J292" i="22"/>
  <c r="J293" i="22"/>
  <c r="J294" i="22"/>
  <c r="J295" i="22"/>
  <c r="J296" i="22"/>
  <c r="J297" i="22"/>
  <c r="J298" i="22"/>
  <c r="J299" i="22"/>
  <c r="J300" i="22"/>
  <c r="J301" i="22"/>
  <c r="J302" i="22"/>
  <c r="J303" i="22"/>
  <c r="J304" i="22"/>
  <c r="J305" i="22"/>
  <c r="J306" i="22"/>
  <c r="J307" i="22"/>
  <c r="J308" i="22"/>
  <c r="J309" i="22"/>
  <c r="J310" i="22"/>
  <c r="J311" i="22"/>
  <c r="J312" i="22"/>
  <c r="J313" i="22"/>
  <c r="J314" i="22"/>
  <c r="J315" i="22"/>
  <c r="J316" i="22"/>
  <c r="J317" i="22"/>
  <c r="J318" i="22"/>
  <c r="J319" i="22"/>
  <c r="J320" i="22"/>
  <c r="J321" i="22"/>
  <c r="J322" i="22"/>
  <c r="J323" i="22"/>
  <c r="J324" i="22"/>
  <c r="J325" i="22"/>
  <c r="J326" i="22"/>
  <c r="J327" i="22"/>
  <c r="J328" i="22"/>
  <c r="J329" i="22"/>
  <c r="J330" i="22"/>
  <c r="J331" i="22"/>
  <c r="J3" i="22"/>
  <c r="F49" i="23"/>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 i="22"/>
  <c r="F256" i="23"/>
  <c r="F255" i="23"/>
  <c r="F253" i="23"/>
  <c r="F214" i="23"/>
  <c r="F123" i="23"/>
  <c r="F122" i="23"/>
  <c r="F43" i="23"/>
  <c r="F41" i="23"/>
  <c r="F4" i="22"/>
  <c r="G4" i="22" s="1"/>
  <c r="D20" i="13"/>
  <c r="D5" i="13"/>
  <c r="G5" i="13" s="1"/>
  <c r="D11" i="13"/>
  <c r="G11" i="13" s="1"/>
  <c r="K11" i="13" s="1"/>
  <c r="D14" i="13"/>
  <c r="G14" i="13" s="1"/>
  <c r="D15" i="13"/>
  <c r="G15" i="13" s="1"/>
  <c r="D16" i="13"/>
  <c r="G16" i="13" s="1"/>
  <c r="D18" i="13"/>
  <c r="G18" i="13" s="1"/>
  <c r="K18" i="13" s="1"/>
  <c r="D19" i="13"/>
  <c r="G19" i="13" s="1"/>
  <c r="K19" i="13" s="1"/>
  <c r="D22" i="13"/>
  <c r="G22" i="13" s="1"/>
  <c r="D29" i="13"/>
  <c r="D30" i="13"/>
  <c r="G30" i="13" s="1"/>
  <c r="D31" i="13"/>
  <c r="G31" i="13" s="1"/>
  <c r="K31" i="13" s="1"/>
  <c r="D32" i="13"/>
  <c r="G32" i="13" s="1"/>
  <c r="K32" i="13" s="1"/>
  <c r="D33" i="13"/>
  <c r="G33" i="13" s="1"/>
  <c r="K33" i="13" s="1"/>
  <c r="S16" i="21"/>
  <c r="B17" i="14" s="1"/>
  <c r="D17" i="14" s="1"/>
  <c r="E17" i="14" s="1"/>
  <c r="E79" i="21"/>
  <c r="G77" i="21"/>
  <c r="S77" i="21" s="1"/>
  <c r="B16" i="11" s="1"/>
  <c r="D16" i="11" s="1"/>
  <c r="E16" i="11" s="1"/>
  <c r="A3" i="9"/>
  <c r="A3" i="11" s="1"/>
  <c r="S87" i="21"/>
  <c r="B27" i="11" s="1"/>
  <c r="D27" i="11" s="1"/>
  <c r="E27" i="11" s="1"/>
  <c r="S64" i="21"/>
  <c r="AI5" i="17" s="1"/>
  <c r="AI6" i="17" s="1"/>
  <c r="S49" i="21"/>
  <c r="AE5" i="17" s="1"/>
  <c r="AE6" i="17" s="1"/>
  <c r="B48" i="14"/>
  <c r="D48" i="14" s="1"/>
  <c r="E48" i="14" s="1"/>
  <c r="S50" i="21"/>
  <c r="B49" i="14" s="1"/>
  <c r="D49" i="14" s="1"/>
  <c r="E49" i="14" s="1"/>
  <c r="S15" i="21"/>
  <c r="B16" i="14" s="1"/>
  <c r="D16" i="14" s="1"/>
  <c r="E16" i="14" s="1"/>
  <c r="S17" i="21"/>
  <c r="I5" i="17" s="1"/>
  <c r="B18" i="14"/>
  <c r="D18" i="14" s="1"/>
  <c r="E18" i="14" s="1"/>
  <c r="S18" i="21"/>
  <c r="J5" i="17" s="1"/>
  <c r="J6" i="17" s="1"/>
  <c r="B62" i="14"/>
  <c r="D62" i="14" s="1"/>
  <c r="E62" i="14" s="1"/>
  <c r="D5" i="17"/>
  <c r="F95" i="21"/>
  <c r="D4" i="13"/>
  <c r="G4" i="13" s="1"/>
  <c r="K4" i="13" s="1"/>
  <c r="A2" i="14"/>
  <c r="A3" i="16"/>
  <c r="G28" i="13"/>
  <c r="K28" i="13" s="1"/>
  <c r="S110" i="21"/>
  <c r="S109" i="21"/>
  <c r="S108" i="21"/>
  <c r="S107" i="21"/>
  <c r="S97" i="21"/>
  <c r="S96" i="21"/>
  <c r="S94" i="21"/>
  <c r="K75" i="21"/>
  <c r="F75" i="21"/>
  <c r="E75" i="21"/>
  <c r="E85" i="21" s="1"/>
  <c r="E89" i="21" s="1"/>
  <c r="E93" i="21" s="1"/>
  <c r="E98" i="21" s="1"/>
  <c r="E106" i="21" s="1"/>
  <c r="E111" i="21" s="1"/>
  <c r="E65" i="21" s="1"/>
  <c r="E66" i="21" s="1"/>
  <c r="D75" i="21"/>
  <c r="C75" i="21"/>
  <c r="C85" i="21" s="1"/>
  <c r="S74" i="21"/>
  <c r="B13" i="11" s="1"/>
  <c r="D13" i="11" s="1"/>
  <c r="E13" i="11" s="1"/>
  <c r="L75" i="21"/>
  <c r="L85" i="21" s="1"/>
  <c r="L89" i="21" s="1"/>
  <c r="L93" i="21" s="1"/>
  <c r="L98" i="21" s="1"/>
  <c r="L106" i="21" s="1"/>
  <c r="L111" i="21" s="1"/>
  <c r="L65" i="21" s="1"/>
  <c r="J75" i="21"/>
  <c r="J85" i="21"/>
  <c r="J89" i="21" s="1"/>
  <c r="J93" i="21" s="1"/>
  <c r="J98" i="21" s="1"/>
  <c r="S67" i="21"/>
  <c r="S62" i="21"/>
  <c r="B60" i="14" s="1"/>
  <c r="D60" i="14" s="1"/>
  <c r="E60" i="14" s="1"/>
  <c r="S61" i="21"/>
  <c r="S59" i="21"/>
  <c r="S58" i="21"/>
  <c r="B56" i="14" s="1"/>
  <c r="D56" i="14" s="1"/>
  <c r="E56" i="14" s="1"/>
  <c r="S57" i="21"/>
  <c r="R56" i="21"/>
  <c r="L56" i="21"/>
  <c r="K56" i="21"/>
  <c r="K60" i="21" s="1"/>
  <c r="J56" i="21"/>
  <c r="I56" i="21"/>
  <c r="H56" i="21"/>
  <c r="H60" i="21" s="1"/>
  <c r="G56" i="21"/>
  <c r="F56" i="21"/>
  <c r="E56" i="21"/>
  <c r="E60" i="21" s="1"/>
  <c r="D56" i="21"/>
  <c r="C56" i="21"/>
  <c r="S55" i="21"/>
  <c r="B53" i="14" s="1"/>
  <c r="D53" i="14" s="1"/>
  <c r="E53" i="14" s="1"/>
  <c r="S54" i="21"/>
  <c r="S41" i="21"/>
  <c r="S40" i="21"/>
  <c r="B38" i="14" s="1"/>
  <c r="D38" i="14" s="1"/>
  <c r="E38" i="14" s="1"/>
  <c r="S39" i="21"/>
  <c r="B37" i="14" s="1"/>
  <c r="D37" i="14" s="1"/>
  <c r="E37" i="14" s="1"/>
  <c r="C37" i="21"/>
  <c r="S36" i="21"/>
  <c r="B34" i="14" s="1"/>
  <c r="D34" i="14" s="1"/>
  <c r="E34" i="14" s="1"/>
  <c r="S35" i="21"/>
  <c r="B33" i="14" s="1"/>
  <c r="S34" i="21"/>
  <c r="S32" i="21"/>
  <c r="S29" i="21"/>
  <c r="B26" i="14" s="1"/>
  <c r="D26" i="14" s="1"/>
  <c r="E26" i="14" s="1"/>
  <c r="R28" i="21"/>
  <c r="R30" i="21" s="1"/>
  <c r="K28" i="21"/>
  <c r="J28" i="21"/>
  <c r="J30" i="21" s="1"/>
  <c r="I28" i="21"/>
  <c r="I30" i="21" s="1"/>
  <c r="H28" i="21"/>
  <c r="G28" i="21"/>
  <c r="G30" i="21" s="1"/>
  <c r="F28" i="21"/>
  <c r="F30" i="21" s="1"/>
  <c r="F33" i="21" s="1"/>
  <c r="E28" i="21"/>
  <c r="E30" i="21"/>
  <c r="D28" i="21"/>
  <c r="D30" i="21" s="1"/>
  <c r="C28" i="21"/>
  <c r="C30" i="21" s="1"/>
  <c r="C33" i="21" s="1"/>
  <c r="S24" i="21"/>
  <c r="S23" i="21"/>
  <c r="S22" i="21"/>
  <c r="R20" i="21"/>
  <c r="L20" i="21"/>
  <c r="K20" i="21"/>
  <c r="J20" i="21"/>
  <c r="I20" i="21"/>
  <c r="F20" i="21"/>
  <c r="E20" i="21"/>
  <c r="D20" i="21"/>
  <c r="C20" i="21"/>
  <c r="G20" i="21"/>
  <c r="H20" i="21"/>
  <c r="R5" i="17"/>
  <c r="R6" i="17" s="1"/>
  <c r="R22" i="17" s="1"/>
  <c r="S37" i="21"/>
  <c r="L60" i="21"/>
  <c r="S63" i="21"/>
  <c r="B61" i="14" s="1"/>
  <c r="D61" i="14" s="1"/>
  <c r="E61" i="14" s="1"/>
  <c r="F60" i="21"/>
  <c r="S28" i="21"/>
  <c r="H30" i="21"/>
  <c r="H33" i="21"/>
  <c r="R75" i="21"/>
  <c r="R85" i="21" s="1"/>
  <c r="K30" i="21"/>
  <c r="K33" i="21"/>
  <c r="L28" i="21"/>
  <c r="I75" i="21"/>
  <c r="I85" i="21" s="1"/>
  <c r="I89" i="21" s="1"/>
  <c r="I93" i="21" s="1"/>
  <c r="I98" i="21" s="1"/>
  <c r="I106" i="21" s="1"/>
  <c r="I111" i="21" s="1"/>
  <c r="I65" i="21" s="1"/>
  <c r="I66" i="21" s="1"/>
  <c r="L30" i="21"/>
  <c r="L33" i="21" s="1"/>
  <c r="L42" i="21" s="1"/>
  <c r="H42" i="21"/>
  <c r="O58" i="18"/>
  <c r="O52" i="18"/>
  <c r="R53" i="21"/>
  <c r="R60" i="21" s="1"/>
  <c r="L31" i="21"/>
  <c r="S31" i="21" s="1"/>
  <c r="P4" i="18"/>
  <c r="L6" i="17"/>
  <c r="L68" i="17" s="1"/>
  <c r="M6" i="17"/>
  <c r="P53" i="18"/>
  <c r="N21" i="18"/>
  <c r="P21" i="18" s="1"/>
  <c r="P22" i="18" s="1"/>
  <c r="P19" i="18"/>
  <c r="P128" i="18"/>
  <c r="P127" i="18"/>
  <c r="P126" i="18"/>
  <c r="P125" i="18"/>
  <c r="P124" i="18"/>
  <c r="P123" i="18"/>
  <c r="P122" i="18"/>
  <c r="P121" i="18"/>
  <c r="P120" i="18"/>
  <c r="P119" i="18"/>
  <c r="P118" i="18"/>
  <c r="P117" i="18"/>
  <c r="P116" i="18"/>
  <c r="P115" i="18"/>
  <c r="P114" i="18"/>
  <c r="P113" i="18"/>
  <c r="P112" i="18"/>
  <c r="P111" i="18"/>
  <c r="P110" i="18"/>
  <c r="P109" i="18"/>
  <c r="P108" i="18"/>
  <c r="P107" i="18"/>
  <c r="P106" i="18"/>
  <c r="P105" i="18"/>
  <c r="P104" i="18"/>
  <c r="P103" i="18"/>
  <c r="P102" i="18"/>
  <c r="P101" i="18"/>
  <c r="P100" i="18"/>
  <c r="P99" i="18"/>
  <c r="P98" i="18"/>
  <c r="P97" i="18"/>
  <c r="P96" i="18"/>
  <c r="P95" i="18"/>
  <c r="P94" i="18"/>
  <c r="P93" i="18"/>
  <c r="P92" i="18"/>
  <c r="P91" i="18"/>
  <c r="P90" i="18"/>
  <c r="P89" i="18"/>
  <c r="P88" i="18"/>
  <c r="P87" i="18"/>
  <c r="P86" i="18"/>
  <c r="P85" i="18"/>
  <c r="P84" i="18"/>
  <c r="P83" i="18"/>
  <c r="P82" i="18"/>
  <c r="P78" i="18"/>
  <c r="P76" i="18"/>
  <c r="P75" i="18"/>
  <c r="P74" i="18"/>
  <c r="P73" i="18"/>
  <c r="P72" i="18"/>
  <c r="P71" i="18"/>
  <c r="P70" i="18"/>
  <c r="P69" i="18"/>
  <c r="P67" i="18"/>
  <c r="P65" i="18"/>
  <c r="P61" i="18"/>
  <c r="P63" i="18"/>
  <c r="P62" i="18"/>
  <c r="P58" i="18"/>
  <c r="P57" i="18"/>
  <c r="P55" i="18"/>
  <c r="P54" i="18"/>
  <c r="R54" i="18" s="1"/>
  <c r="P52" i="18"/>
  <c r="P51" i="18"/>
  <c r="P50" i="18"/>
  <c r="P48" i="18"/>
  <c r="P47" i="18"/>
  <c r="P46" i="18"/>
  <c r="P45" i="18"/>
  <c r="P44" i="18"/>
  <c r="P42" i="18"/>
  <c r="P41" i="18"/>
  <c r="P40" i="18"/>
  <c r="P39" i="18"/>
  <c r="R37" i="18" s="1"/>
  <c r="P37" i="18"/>
  <c r="P36" i="18"/>
  <c r="P35" i="18"/>
  <c r="P34" i="18"/>
  <c r="P30" i="18"/>
  <c r="P32" i="18"/>
  <c r="P29" i="18"/>
  <c r="P28" i="18"/>
  <c r="P26" i="18"/>
  <c r="P25" i="18"/>
  <c r="P24" i="18"/>
  <c r="P11" i="18"/>
  <c r="P12" i="18"/>
  <c r="P13" i="18"/>
  <c r="P14" i="18"/>
  <c r="R14" i="18" s="1"/>
  <c r="R15" i="18" s="1"/>
  <c r="P15" i="18"/>
  <c r="P16" i="18"/>
  <c r="P17" i="18"/>
  <c r="P18" i="18"/>
  <c r="P20" i="18"/>
  <c r="P10" i="18"/>
  <c r="N56" i="18"/>
  <c r="P56" i="18"/>
  <c r="AQ83" i="17"/>
  <c r="J106" i="21"/>
  <c r="J111" i="21" s="1"/>
  <c r="J65" i="21" s="1"/>
  <c r="J66" i="21" s="1"/>
  <c r="G60" i="21"/>
  <c r="E4" i="17"/>
  <c r="G4" i="17"/>
  <c r="H4" i="17"/>
  <c r="J4" i="17"/>
  <c r="D4" i="17"/>
  <c r="R4" i="17"/>
  <c r="U4" i="17"/>
  <c r="Z4" i="17"/>
  <c r="V4" i="17"/>
  <c r="X4" i="17"/>
  <c r="AE4" i="17"/>
  <c r="C4" i="17"/>
  <c r="P4" i="17"/>
  <c r="O4" i="17"/>
  <c r="O6" i="17" s="1"/>
  <c r="F4" i="17"/>
  <c r="C54" i="14"/>
  <c r="AF4" i="17"/>
  <c r="C25" i="14"/>
  <c r="C35" i="14"/>
  <c r="D44" i="14"/>
  <c r="E44" i="14" s="1"/>
  <c r="AK91" i="17"/>
  <c r="AJ90" i="17"/>
  <c r="AJ89" i="17"/>
  <c r="AI89" i="17"/>
  <c r="B89" i="17" s="1"/>
  <c r="AA88" i="17"/>
  <c r="C87" i="17"/>
  <c r="B83" i="17"/>
  <c r="AU81" i="17"/>
  <c r="AT81" i="17"/>
  <c r="B81" i="17" s="1"/>
  <c r="AS81" i="17"/>
  <c r="Q78" i="17"/>
  <c r="Q91" i="17"/>
  <c r="S77" i="17"/>
  <c r="AN76" i="17"/>
  <c r="B70" i="17"/>
  <c r="B64" i="17"/>
  <c r="B59" i="17"/>
  <c r="AQ53" i="17"/>
  <c r="B53" i="17"/>
  <c r="B36" i="17"/>
  <c r="B35" i="17"/>
  <c r="B29" i="17"/>
  <c r="B26" i="17"/>
  <c r="AB25" i="17"/>
  <c r="B25" i="17"/>
  <c r="B24" i="17"/>
  <c r="B21" i="17"/>
  <c r="B10" i="17"/>
  <c r="AC6" i="17"/>
  <c r="Q6" i="17"/>
  <c r="M42" i="17"/>
  <c r="AA6" i="17"/>
  <c r="AA15" i="17" s="1"/>
  <c r="Q44" i="17"/>
  <c r="B44" i="17" s="1"/>
  <c r="C91" i="17"/>
  <c r="B78" i="17"/>
  <c r="L79" i="17"/>
  <c r="S4" i="17"/>
  <c r="AB4" i="17"/>
  <c r="N4" i="17"/>
  <c r="I4" i="17"/>
  <c r="AH6" i="17"/>
  <c r="AH30" i="17" s="1"/>
  <c r="W4" i="17"/>
  <c r="C51" i="14"/>
  <c r="AH88" i="17"/>
  <c r="G27" i="13"/>
  <c r="D43" i="14"/>
  <c r="E43" i="14" s="1"/>
  <c r="K4" i="17"/>
  <c r="C21" i="14"/>
  <c r="G10" i="13"/>
  <c r="G29" i="13"/>
  <c r="G24" i="13"/>
  <c r="G21" i="13"/>
  <c r="G23" i="13"/>
  <c r="G20" i="13"/>
  <c r="G7" i="13"/>
  <c r="AO6" i="17"/>
  <c r="AO71" i="17" s="1"/>
  <c r="W6" i="17"/>
  <c r="D6" i="17"/>
  <c r="D68" i="17" s="1"/>
  <c r="B23" i="17"/>
  <c r="W13" i="17"/>
  <c r="B43" i="17"/>
  <c r="B38" i="17"/>
  <c r="J74" i="17"/>
  <c r="B58" i="17"/>
  <c r="W68" i="17"/>
  <c r="D91" i="17"/>
  <c r="C58" i="14"/>
  <c r="AE87" i="17"/>
  <c r="B19" i="17"/>
  <c r="AT5" i="25"/>
  <c r="AY5" i="25"/>
  <c r="AT6" i="25"/>
  <c r="AT71" i="25" s="1"/>
  <c r="B37" i="17"/>
  <c r="B52" i="17"/>
  <c r="G9" i="13"/>
  <c r="AJ4" i="17"/>
  <c r="H79" i="21"/>
  <c r="H88" i="21"/>
  <c r="S88" i="21" s="1"/>
  <c r="AU5" i="17" s="1"/>
  <c r="AU6" i="17" s="1"/>
  <c r="D95" i="9"/>
  <c r="F96" i="9" s="1"/>
  <c r="D91" i="21"/>
  <c r="S91" i="21" s="1"/>
  <c r="D48" i="21"/>
  <c r="S48" i="21" s="1"/>
  <c r="AB5" i="17" s="1"/>
  <c r="AB6" i="17" s="1"/>
  <c r="F95" i="9"/>
  <c r="Z14" i="17" l="1"/>
  <c r="Z88" i="17"/>
  <c r="C66" i="17"/>
  <c r="C68" i="17" s="1"/>
  <c r="D89" i="21"/>
  <c r="R33" i="21"/>
  <c r="R42" i="21" s="1"/>
  <c r="I33" i="21"/>
  <c r="I42" i="21" s="1"/>
  <c r="AG5" i="17"/>
  <c r="AG6" i="17" s="1"/>
  <c r="AG51" i="17" s="1"/>
  <c r="D85" i="21"/>
  <c r="U5" i="17"/>
  <c r="U6" i="17" s="1"/>
  <c r="B45" i="14"/>
  <c r="D45" i="14" s="1"/>
  <c r="E45" i="14" s="1"/>
  <c r="P85" i="21"/>
  <c r="P89" i="21" s="1"/>
  <c r="P93" i="21" s="1"/>
  <c r="P98" i="21" s="1"/>
  <c r="P106" i="21" s="1"/>
  <c r="P111" i="21" s="1"/>
  <c r="P65" i="21" s="1"/>
  <c r="P66" i="21" s="1"/>
  <c r="O89" i="21"/>
  <c r="O93" i="21" s="1"/>
  <c r="O98" i="21" s="1"/>
  <c r="O106" i="21" s="1"/>
  <c r="O111" i="21" s="1"/>
  <c r="O65" i="21" s="1"/>
  <c r="O66" i="21" s="1"/>
  <c r="O68" i="21" s="1"/>
  <c r="O70" i="21" s="1"/>
  <c r="V6" i="17"/>
  <c r="B10" i="14"/>
  <c r="D10" i="14" s="1"/>
  <c r="E10" i="14" s="1"/>
  <c r="O20" i="21"/>
  <c r="F85" i="21"/>
  <c r="M68" i="21"/>
  <c r="D33" i="21"/>
  <c r="S79" i="21"/>
  <c r="C42" i="21"/>
  <c r="K42" i="21"/>
  <c r="G75" i="21"/>
  <c r="G85" i="21" s="1"/>
  <c r="G89" i="21" s="1"/>
  <c r="G93" i="21" s="1"/>
  <c r="G98" i="21" s="1"/>
  <c r="G106" i="21" s="1"/>
  <c r="G111" i="21" s="1"/>
  <c r="G65" i="21" s="1"/>
  <c r="G66" i="21" s="1"/>
  <c r="S14" i="21"/>
  <c r="Q42" i="21"/>
  <c r="S30" i="21"/>
  <c r="S33" i="21" s="1"/>
  <c r="K85" i="21"/>
  <c r="K89" i="21" s="1"/>
  <c r="K93" i="21" s="1"/>
  <c r="K98" i="21" s="1"/>
  <c r="K106" i="21" s="1"/>
  <c r="K111" i="21" s="1"/>
  <c r="K65" i="21" s="1"/>
  <c r="S47" i="21"/>
  <c r="N60" i="21"/>
  <c r="O42" i="17"/>
  <c r="O68" i="17"/>
  <c r="Q68" i="17"/>
  <c r="J20" i="17"/>
  <c r="J68" i="17"/>
  <c r="E68" i="21"/>
  <c r="AE16" i="17"/>
  <c r="AK4" i="17"/>
  <c r="R76" i="18"/>
  <c r="B79" i="17"/>
  <c r="L91" i="17"/>
  <c r="N5" i="17"/>
  <c r="N6" i="17" s="1"/>
  <c r="B29" i="14"/>
  <c r="D29" i="14" s="1"/>
  <c r="E29" i="14" s="1"/>
  <c r="AP22" i="17"/>
  <c r="B22" i="17" s="1"/>
  <c r="R77" i="17"/>
  <c r="B77" i="17" s="1"/>
  <c r="AI28" i="17"/>
  <c r="AI68" i="17" s="1"/>
  <c r="Z91" i="17"/>
  <c r="B14" i="17"/>
  <c r="Z68" i="17"/>
  <c r="V57" i="17"/>
  <c r="B57" i="17" s="1"/>
  <c r="G42" i="21"/>
  <c r="G70" i="21" s="1"/>
  <c r="J33" i="21"/>
  <c r="AU16" i="17"/>
  <c r="AU71" i="17"/>
  <c r="AV5" i="17"/>
  <c r="AV6" i="17" s="1"/>
  <c r="B32" i="11"/>
  <c r="D32" i="11" s="1"/>
  <c r="E32" i="11" s="1"/>
  <c r="W88" i="17"/>
  <c r="W91" i="17"/>
  <c r="AH91" i="17"/>
  <c r="AH68" i="17"/>
  <c r="R41" i="18"/>
  <c r="M68" i="17"/>
  <c r="P59" i="18"/>
  <c r="R62" i="18" s="1"/>
  <c r="L66" i="21"/>
  <c r="H68" i="21"/>
  <c r="H70" i="21"/>
  <c r="D53" i="21"/>
  <c r="D60" i="21" s="1"/>
  <c r="D42" i="21"/>
  <c r="S56" i="21"/>
  <c r="AF5" i="17"/>
  <c r="AF6" i="17" s="1"/>
  <c r="C89" i="21"/>
  <c r="C93" i="21" s="1"/>
  <c r="G33" i="21"/>
  <c r="AN5" i="17"/>
  <c r="AN6" i="17" s="1"/>
  <c r="B12" i="11"/>
  <c r="D12" i="11" s="1"/>
  <c r="E12" i="11" s="1"/>
  <c r="G9" i="25"/>
  <c r="G86" i="25"/>
  <c r="C86" i="25" s="1"/>
  <c r="Q68" i="8"/>
  <c r="D93" i="21"/>
  <c r="D98" i="21" s="1"/>
  <c r="D106" i="21" s="1"/>
  <c r="D111" i="21" s="1"/>
  <c r="D65" i="21" s="1"/>
  <c r="D66" i="21" s="1"/>
  <c r="AQ71" i="17"/>
  <c r="AT83" i="25"/>
  <c r="C83" i="25" s="1"/>
  <c r="P27" i="17"/>
  <c r="AA85" i="17"/>
  <c r="AA91" i="17" s="1"/>
  <c r="B28" i="11"/>
  <c r="D28" i="11" s="1"/>
  <c r="E28" i="11" s="1"/>
  <c r="AA68" i="17"/>
  <c r="AC80" i="17"/>
  <c r="B80" i="17" s="1"/>
  <c r="AC16" i="17"/>
  <c r="I68" i="21"/>
  <c r="AT5" i="17"/>
  <c r="AT6" i="17" s="1"/>
  <c r="B19" i="14"/>
  <c r="D19" i="14" s="1"/>
  <c r="E19" i="14" s="1"/>
  <c r="V50" i="21"/>
  <c r="N42" i="21"/>
  <c r="H68" i="25"/>
  <c r="AQ18" i="25"/>
  <c r="C18" i="25" s="1"/>
  <c r="AH51" i="25"/>
  <c r="C51" i="25" s="1"/>
  <c r="C54" i="25" s="1"/>
  <c r="AH68" i="25"/>
  <c r="AP90" i="25"/>
  <c r="T15" i="25"/>
  <c r="T90" i="25" s="1"/>
  <c r="T68" i="25"/>
  <c r="T84" i="25"/>
  <c r="C84" i="25" s="1"/>
  <c r="F89" i="21"/>
  <c r="F93" i="21" s="1"/>
  <c r="F98" i="21" s="1"/>
  <c r="F106" i="21" s="1"/>
  <c r="F111" i="21" s="1"/>
  <c r="F65" i="21" s="1"/>
  <c r="J60" i="21"/>
  <c r="J68" i="21" s="1"/>
  <c r="AR5" i="17"/>
  <c r="AR6" i="17" s="1"/>
  <c r="B22" i="11"/>
  <c r="D22" i="11" s="1"/>
  <c r="E22" i="11" s="1"/>
  <c r="E5" i="17"/>
  <c r="E6" i="17" s="1"/>
  <c r="B11" i="14"/>
  <c r="D11" i="14" s="1"/>
  <c r="E11" i="14" s="1"/>
  <c r="O42" i="21"/>
  <c r="Q75" i="25"/>
  <c r="C75" i="25" s="1"/>
  <c r="Q90" i="25"/>
  <c r="C27" i="25"/>
  <c r="M42" i="8"/>
  <c r="R33" i="8"/>
  <c r="AE68" i="25"/>
  <c r="AE16" i="25"/>
  <c r="R68" i="17"/>
  <c r="M42" i="21"/>
  <c r="Y87" i="25"/>
  <c r="Y9" i="25"/>
  <c r="AG68" i="17"/>
  <c r="G68" i="21"/>
  <c r="I6" i="17"/>
  <c r="G5" i="17"/>
  <c r="G6" i="17" s="1"/>
  <c r="B13" i="14"/>
  <c r="D13" i="14" s="1"/>
  <c r="E13" i="14" s="1"/>
  <c r="N68" i="8"/>
  <c r="AT68" i="25"/>
  <c r="AM5" i="17"/>
  <c r="AM6" i="17" s="1"/>
  <c r="E33" i="21"/>
  <c r="B12" i="14"/>
  <c r="D12" i="14" s="1"/>
  <c r="E12" i="14" s="1"/>
  <c r="F5" i="17"/>
  <c r="F6" i="17" s="1"/>
  <c r="J85" i="25"/>
  <c r="C85" i="25" s="1"/>
  <c r="J68" i="25"/>
  <c r="AK28" i="25"/>
  <c r="AK71" i="25" s="1"/>
  <c r="AK90" i="25" s="1"/>
  <c r="S75" i="21"/>
  <c r="B14" i="11" s="1"/>
  <c r="D14" i="11" s="1"/>
  <c r="E14" i="11" s="1"/>
  <c r="B11" i="11"/>
  <c r="D11" i="11" s="1"/>
  <c r="E11" i="11" s="1"/>
  <c r="AL5" i="17"/>
  <c r="AL6" i="17" s="1"/>
  <c r="C27" i="14"/>
  <c r="AO16" i="17"/>
  <c r="R89" i="21"/>
  <c r="R93" i="21" s="1"/>
  <c r="R98" i="21" s="1"/>
  <c r="R106" i="21" s="1"/>
  <c r="R111" i="21" s="1"/>
  <c r="R65" i="21" s="1"/>
  <c r="R66" i="21" s="1"/>
  <c r="F42" i="21"/>
  <c r="Y5" i="17"/>
  <c r="Y6" i="17" s="1"/>
  <c r="B50" i="14"/>
  <c r="D50" i="14" s="1"/>
  <c r="E50" i="14" s="1"/>
  <c r="AD5" i="17"/>
  <c r="AD6" i="17" s="1"/>
  <c r="B26" i="11"/>
  <c r="D26" i="11" s="1"/>
  <c r="E26" i="11" s="1"/>
  <c r="AS5" i="17"/>
  <c r="AS6" i="17" s="1"/>
  <c r="O42" i="8"/>
  <c r="AB90" i="25"/>
  <c r="Q70" i="8"/>
  <c r="F85" i="8"/>
  <c r="F89" i="8" s="1"/>
  <c r="F93" i="8" s="1"/>
  <c r="F98" i="8" s="1"/>
  <c r="F106" i="8" s="1"/>
  <c r="F111" i="8" s="1"/>
  <c r="F65" i="8" s="1"/>
  <c r="F66" i="8" s="1"/>
  <c r="F68" i="8" s="1"/>
  <c r="R72" i="8"/>
  <c r="R75" i="8" s="1"/>
  <c r="Q85" i="21"/>
  <c r="Q89" i="21" s="1"/>
  <c r="Q93" i="21" s="1"/>
  <c r="Q98" i="21" s="1"/>
  <c r="Q106" i="21" s="1"/>
  <c r="Q111" i="21" s="1"/>
  <c r="Q65" i="21" s="1"/>
  <c r="Q66" i="21" s="1"/>
  <c r="AD68" i="25"/>
  <c r="K68" i="8"/>
  <c r="B42" i="8"/>
  <c r="D89" i="8"/>
  <c r="D93" i="8" s="1"/>
  <c r="D98" i="8" s="1"/>
  <c r="D106" i="8" s="1"/>
  <c r="D111" i="8" s="1"/>
  <c r="D65" i="8" s="1"/>
  <c r="D66" i="8" s="1"/>
  <c r="R12" i="8"/>
  <c r="D30" i="8"/>
  <c r="D33" i="8" s="1"/>
  <c r="M33" i="8"/>
  <c r="H74" i="25"/>
  <c r="H90" i="25" s="1"/>
  <c r="AP71" i="25"/>
  <c r="P30" i="8"/>
  <c r="B21" i="11"/>
  <c r="D21" i="11" s="1"/>
  <c r="E21" i="11" s="1"/>
  <c r="M70" i="21"/>
  <c r="Q68" i="25"/>
  <c r="I68" i="25"/>
  <c r="AM71" i="25"/>
  <c r="AM9" i="25"/>
  <c r="AM90" i="25" s="1"/>
  <c r="AP68" i="25"/>
  <c r="C77" i="25"/>
  <c r="L68" i="8"/>
  <c r="O33" i="8"/>
  <c r="O85" i="8"/>
  <c r="E33" i="8"/>
  <c r="E42" i="8" s="1"/>
  <c r="E70" i="8" s="1"/>
  <c r="C60" i="21"/>
  <c r="F90" i="25"/>
  <c r="B33" i="8"/>
  <c r="H89" i="8"/>
  <c r="H93" i="8" s="1"/>
  <c r="H98" i="8" s="1"/>
  <c r="H106" i="8" s="1"/>
  <c r="H111" i="8" s="1"/>
  <c r="H65" i="8" s="1"/>
  <c r="C33" i="8"/>
  <c r="C42" i="8" s="1"/>
  <c r="C70" i="8" s="1"/>
  <c r="G85" i="8"/>
  <c r="G89" i="8" s="1"/>
  <c r="G93" i="8" s="1"/>
  <c r="G98" i="8" s="1"/>
  <c r="G106" i="8" s="1"/>
  <c r="G111" i="8" s="1"/>
  <c r="G65" i="8" s="1"/>
  <c r="G66" i="8" s="1"/>
  <c r="B89" i="8"/>
  <c r="B93" i="8" s="1"/>
  <c r="B98" i="8" s="1"/>
  <c r="B106" i="8" s="1"/>
  <c r="B111" i="8" s="1"/>
  <c r="C95" i="21" s="1"/>
  <c r="N75" i="21"/>
  <c r="H5" i="17"/>
  <c r="H6" i="17" s="1"/>
  <c r="P42" i="21"/>
  <c r="R68" i="25"/>
  <c r="R17" i="8"/>
  <c r="N20" i="8"/>
  <c r="F33" i="8"/>
  <c r="F42" i="8" s="1"/>
  <c r="AU11" i="25"/>
  <c r="AU90" i="25" s="1"/>
  <c r="H20" i="8"/>
  <c r="H42" i="8" s="1"/>
  <c r="I56" i="8"/>
  <c r="I27" i="23"/>
  <c r="F32" i="23"/>
  <c r="K7" i="13"/>
  <c r="AV15" i="17"/>
  <c r="AV68" i="17" s="1"/>
  <c r="AV71" i="17"/>
  <c r="B25" i="14"/>
  <c r="B27" i="14" s="1"/>
  <c r="S53" i="21"/>
  <c r="B47" i="14"/>
  <c r="D47" i="14" s="1"/>
  <c r="E47" i="14" s="1"/>
  <c r="B35" i="14"/>
  <c r="D35" i="14" s="1"/>
  <c r="E35" i="14" s="1"/>
  <c r="S5" i="17"/>
  <c r="S6" i="17" s="1"/>
  <c r="D33" i="14"/>
  <c r="E33" i="14" s="1"/>
  <c r="AB88" i="17"/>
  <c r="AB15" i="17"/>
  <c r="G8" i="13"/>
  <c r="K29" i="13"/>
  <c r="K5" i="13"/>
  <c r="K13" i="13"/>
  <c r="K20" i="13"/>
  <c r="D23" i="14"/>
  <c r="E23" i="14" s="1"/>
  <c r="K25" i="13"/>
  <c r="Z16" i="25"/>
  <c r="Z68" i="25"/>
  <c r="D66" i="25"/>
  <c r="D68" i="25" s="1"/>
  <c r="K42" i="8"/>
  <c r="K70" i="8" s="1"/>
  <c r="U50" i="8"/>
  <c r="P42" i="25"/>
  <c r="P68" i="25" s="1"/>
  <c r="AJ28" i="25"/>
  <c r="AJ68" i="25" s="1"/>
  <c r="C68" i="8"/>
  <c r="AG87" i="25"/>
  <c r="AG30" i="25"/>
  <c r="AG68" i="25" s="1"/>
  <c r="K19" i="25"/>
  <c r="AA14" i="25"/>
  <c r="AA68" i="25" s="1"/>
  <c r="AA87" i="25"/>
  <c r="AN15" i="25"/>
  <c r="AN90" i="25" s="1"/>
  <c r="AN71" i="25"/>
  <c r="AV16" i="25"/>
  <c r="AV68" i="25" s="1"/>
  <c r="AV71" i="25"/>
  <c r="N42" i="8"/>
  <c r="N70" i="8"/>
  <c r="W57" i="25"/>
  <c r="C57" i="25" s="1"/>
  <c r="E68" i="25"/>
  <c r="E39" i="25"/>
  <c r="C39" i="25" s="1"/>
  <c r="C40" i="25" s="1"/>
  <c r="X13" i="25"/>
  <c r="X68" i="25" s="1"/>
  <c r="AQ71" i="25"/>
  <c r="AS19" i="25"/>
  <c r="AS68" i="25"/>
  <c r="AS71" i="25"/>
  <c r="L86" i="25"/>
  <c r="L13" i="25"/>
  <c r="L68" i="25" s="1"/>
  <c r="AC87" i="25"/>
  <c r="AC15" i="25"/>
  <c r="AO13" i="25"/>
  <c r="AO71" i="25"/>
  <c r="AW15" i="25"/>
  <c r="AW68" i="25" s="1"/>
  <c r="AW71" i="25"/>
  <c r="J66" i="8"/>
  <c r="J68" i="8" s="1"/>
  <c r="V56" i="25"/>
  <c r="C56" i="25" s="1"/>
  <c r="AX71" i="25"/>
  <c r="AX28" i="25"/>
  <c r="AX90" i="25" s="1"/>
  <c r="E66" i="8"/>
  <c r="E68" i="8"/>
  <c r="AI30" i="25"/>
  <c r="R52" i="8"/>
  <c r="R53" i="8" s="1"/>
  <c r="O68" i="25"/>
  <c r="R16" i="8"/>
  <c r="I53" i="8"/>
  <c r="B54" i="14"/>
  <c r="D54" i="14" s="1"/>
  <c r="E54" i="14" s="1"/>
  <c r="AQ22" i="25"/>
  <c r="AQ16" i="25" s="1"/>
  <c r="F68" i="25"/>
  <c r="AL5" i="25"/>
  <c r="AL6" i="25" s="1"/>
  <c r="AL68" i="25" s="1"/>
  <c r="P66" i="8"/>
  <c r="L20" i="8"/>
  <c r="R79" i="8"/>
  <c r="U79" i="8" s="1"/>
  <c r="M85" i="8"/>
  <c r="M89" i="8" s="1"/>
  <c r="M93" i="8" s="1"/>
  <c r="M98" i="8" s="1"/>
  <c r="M106" i="8" s="1"/>
  <c r="M111" i="8" s="1"/>
  <c r="M65" i="8" s="1"/>
  <c r="S76" i="25"/>
  <c r="G68" i="25"/>
  <c r="M53" i="8"/>
  <c r="M60" i="8" s="1"/>
  <c r="F280" i="23"/>
  <c r="J280" i="23"/>
  <c r="K280" i="23" s="1"/>
  <c r="I280" i="23"/>
  <c r="K66" i="21" l="1"/>
  <c r="K70" i="21"/>
  <c r="K68" i="21"/>
  <c r="U68" i="17"/>
  <c r="U56" i="17"/>
  <c r="B56" i="17" s="1"/>
  <c r="B60" i="17"/>
  <c r="S20" i="21"/>
  <c r="S42" i="21" s="1"/>
  <c r="B15" i="14"/>
  <c r="D15" i="14" s="1"/>
  <c r="E15" i="14" s="1"/>
  <c r="K5" i="17"/>
  <c r="K6" i="17" s="1"/>
  <c r="S60" i="21"/>
  <c r="R91" i="17"/>
  <c r="N89" i="21"/>
  <c r="N93" i="21" s="1"/>
  <c r="N98" i="21" s="1"/>
  <c r="N106" i="21" s="1"/>
  <c r="N111" i="21" s="1"/>
  <c r="N65" i="21" s="1"/>
  <c r="I70" i="21"/>
  <c r="P68" i="21"/>
  <c r="P70" i="21" s="1"/>
  <c r="B19" i="11"/>
  <c r="D19" i="11" s="1"/>
  <c r="E19" i="11" s="1"/>
  <c r="AP5" i="17"/>
  <c r="AP6" i="17" s="1"/>
  <c r="AP71" i="17" s="1"/>
  <c r="B21" i="14"/>
  <c r="D21" i="14" s="1"/>
  <c r="E21" i="14" s="1"/>
  <c r="N85" i="21"/>
  <c r="L68" i="21"/>
  <c r="L70" i="21" s="1"/>
  <c r="X5" i="17"/>
  <c r="X6" i="17" s="1"/>
  <c r="B46" i="14"/>
  <c r="D46" i="14" s="1"/>
  <c r="E46" i="14" s="1"/>
  <c r="N66" i="21"/>
  <c r="AQ90" i="25"/>
  <c r="AQ68" i="25"/>
  <c r="D70" i="21"/>
  <c r="C31" i="14"/>
  <c r="C40" i="14" s="1"/>
  <c r="AR71" i="17"/>
  <c r="AR91" i="17" s="1"/>
  <c r="AR68" i="17"/>
  <c r="AP27" i="17"/>
  <c r="AP16" i="17" s="1"/>
  <c r="P91" i="17"/>
  <c r="P76" i="17"/>
  <c r="B76" i="17" s="1"/>
  <c r="G90" i="25"/>
  <c r="AF51" i="17"/>
  <c r="AD51" i="17" s="1"/>
  <c r="B51" i="17" s="1"/>
  <c r="B54" i="17" s="1"/>
  <c r="AU91" i="17"/>
  <c r="V68" i="17"/>
  <c r="C98" i="21"/>
  <c r="C106" i="21" s="1"/>
  <c r="C111" i="21" s="1"/>
  <c r="C65" i="21" s="1"/>
  <c r="C22" i="25"/>
  <c r="D42" i="8"/>
  <c r="D70" i="8" s="1"/>
  <c r="AL9" i="17"/>
  <c r="AL68" i="17" s="1"/>
  <c r="AL71" i="17"/>
  <c r="F9" i="17"/>
  <c r="F87" i="17"/>
  <c r="G74" i="17"/>
  <c r="B74" i="17" s="1"/>
  <c r="G18" i="17"/>
  <c r="G68" i="17" s="1"/>
  <c r="AT11" i="17"/>
  <c r="AT91" i="17" s="1"/>
  <c r="AT71" i="17"/>
  <c r="AM68" i="25"/>
  <c r="D68" i="21"/>
  <c r="AT90" i="25"/>
  <c r="J82" i="17"/>
  <c r="J91" i="17" s="1"/>
  <c r="I20" i="17"/>
  <c r="H66" i="8"/>
  <c r="C9" i="25"/>
  <c r="F66" i="21"/>
  <c r="F68" i="21" s="1"/>
  <c r="R68" i="21"/>
  <c r="R70" i="21" s="1"/>
  <c r="N68" i="17"/>
  <c r="N42" i="17"/>
  <c r="B42" i="17" s="1"/>
  <c r="B45" i="17" s="1"/>
  <c r="AE88" i="17"/>
  <c r="AE91" i="17" s="1"/>
  <c r="B65" i="8"/>
  <c r="B66" i="8" s="1"/>
  <c r="B68" i="8" s="1"/>
  <c r="O89" i="8"/>
  <c r="C24" i="11"/>
  <c r="P33" i="8"/>
  <c r="P42" i="8" s="1"/>
  <c r="Y16" i="17"/>
  <c r="Y68" i="17" s="1"/>
  <c r="AC68" i="17"/>
  <c r="AC91" i="17"/>
  <c r="AN71" i="17"/>
  <c r="AN13" i="17"/>
  <c r="AN91" i="17" s="1"/>
  <c r="J42" i="21"/>
  <c r="J70" i="21" s="1"/>
  <c r="AI71" i="17"/>
  <c r="AI91" i="17"/>
  <c r="AE68" i="17"/>
  <c r="R42" i="8"/>
  <c r="R20" i="8"/>
  <c r="V68" i="25"/>
  <c r="AO90" i="25"/>
  <c r="D68" i="8"/>
  <c r="D27" i="14"/>
  <c r="E27" i="14" s="1"/>
  <c r="Q68" i="21"/>
  <c r="Q70" i="21" s="1"/>
  <c r="AK68" i="25"/>
  <c r="E42" i="21"/>
  <c r="E70" i="21" s="1"/>
  <c r="AE87" i="25"/>
  <c r="AE90" i="25"/>
  <c r="S85" i="21"/>
  <c r="C11" i="25"/>
  <c r="AU68" i="25"/>
  <c r="D35" i="13"/>
  <c r="G35" i="13" s="1"/>
  <c r="K35" i="13" s="1"/>
  <c r="H11" i="17"/>
  <c r="H68" i="17" s="1"/>
  <c r="H87" i="17"/>
  <c r="AM71" i="17"/>
  <c r="AM15" i="17"/>
  <c r="AM68" i="17" s="1"/>
  <c r="Y68" i="25"/>
  <c r="Y90" i="25"/>
  <c r="C42" i="25"/>
  <c r="C45" i="25" s="1"/>
  <c r="C47" i="25" s="1"/>
  <c r="AS84" i="17"/>
  <c r="B84" i="17" s="1"/>
  <c r="AS39" i="17"/>
  <c r="B39" i="17" s="1"/>
  <c r="B40" i="17" s="1"/>
  <c r="B47" i="17" s="1"/>
  <c r="AS68" i="17"/>
  <c r="AS71" i="17"/>
  <c r="AO68" i="17"/>
  <c r="AO91" i="17"/>
  <c r="J90" i="25"/>
  <c r="E9" i="17"/>
  <c r="E68" i="17" s="1"/>
  <c r="AU68" i="17"/>
  <c r="P68" i="17"/>
  <c r="AV91" i="17"/>
  <c r="D25" i="14"/>
  <c r="E25" i="14" s="1"/>
  <c r="S15" i="17"/>
  <c r="S68" i="17" s="1"/>
  <c r="S85" i="17"/>
  <c r="B85" i="17" s="1"/>
  <c r="AB91" i="17"/>
  <c r="AB68" i="17"/>
  <c r="M66" i="8"/>
  <c r="L90" i="25"/>
  <c r="R60" i="8"/>
  <c r="G68" i="8"/>
  <c r="G70" i="8" s="1"/>
  <c r="AG90" i="25"/>
  <c r="AW90" i="25"/>
  <c r="C14" i="25"/>
  <c r="AA90" i="25"/>
  <c r="J70" i="8"/>
  <c r="AO68" i="25"/>
  <c r="W68" i="25"/>
  <c r="C19" i="25"/>
  <c r="K74" i="25"/>
  <c r="C74" i="25" s="1"/>
  <c r="K90" i="25"/>
  <c r="C113" i="21"/>
  <c r="S95" i="21"/>
  <c r="X87" i="25"/>
  <c r="X90" i="25" s="1"/>
  <c r="C76" i="25"/>
  <c r="S90" i="25"/>
  <c r="L42" i="8"/>
  <c r="L70" i="8" s="1"/>
  <c r="AI90" i="25"/>
  <c r="AR30" i="25"/>
  <c r="AR13" i="25" s="1"/>
  <c r="C13" i="25" s="1"/>
  <c r="C17" i="25" s="1"/>
  <c r="AI68" i="25"/>
  <c r="AX68" i="25"/>
  <c r="AV90" i="25"/>
  <c r="K68" i="25"/>
  <c r="R85" i="8"/>
  <c r="R89" i="8" s="1"/>
  <c r="R93" i="8" s="1"/>
  <c r="R98" i="8" s="1"/>
  <c r="R106" i="8" s="1"/>
  <c r="R111" i="8" s="1"/>
  <c r="R65" i="8" s="1"/>
  <c r="R66" i="8" s="1"/>
  <c r="P68" i="8"/>
  <c r="F70" i="8"/>
  <c r="AJ71" i="25"/>
  <c r="C71" i="25" s="1"/>
  <c r="C28" i="25"/>
  <c r="AC90" i="25"/>
  <c r="C15" i="25"/>
  <c r="M68" i="8"/>
  <c r="M70" i="8" s="1"/>
  <c r="C60" i="25"/>
  <c r="C62" i="25" s="1"/>
  <c r="AC68" i="25"/>
  <c r="AS90" i="25"/>
  <c r="AN68" i="25"/>
  <c r="I60" i="8"/>
  <c r="Z87" i="25"/>
  <c r="Z90" i="25"/>
  <c r="C16" i="25"/>
  <c r="B31" i="14" l="1"/>
  <c r="F91" i="17"/>
  <c r="X9" i="17"/>
  <c r="X88" i="17"/>
  <c r="X68" i="17"/>
  <c r="F70" i="21"/>
  <c r="AS91" i="17"/>
  <c r="AT68" i="17"/>
  <c r="B51" i="14"/>
  <c r="D51" i="14" s="1"/>
  <c r="E51" i="14" s="1"/>
  <c r="N68" i="21"/>
  <c r="N70" i="21" s="1"/>
  <c r="K87" i="17"/>
  <c r="K13" i="17"/>
  <c r="K91" i="17" s="1"/>
  <c r="K68" i="17"/>
  <c r="B62" i="17"/>
  <c r="B24" i="11"/>
  <c r="D24" i="11" s="1"/>
  <c r="E24" i="11" s="1"/>
  <c r="S89" i="21"/>
  <c r="AP91" i="17"/>
  <c r="AP68" i="17"/>
  <c r="B20" i="17"/>
  <c r="I82" i="17"/>
  <c r="B82" i="17" s="1"/>
  <c r="R68" i="8"/>
  <c r="E91" i="17"/>
  <c r="B9" i="17"/>
  <c r="B12" i="17" s="1"/>
  <c r="E87" i="17"/>
  <c r="AN68" i="17"/>
  <c r="O93" i="8"/>
  <c r="C30" i="11"/>
  <c r="AL91" i="17"/>
  <c r="AF68" i="17"/>
  <c r="B18" i="17"/>
  <c r="G91" i="17"/>
  <c r="H91" i="17"/>
  <c r="B11" i="17"/>
  <c r="AD30" i="17"/>
  <c r="P70" i="8"/>
  <c r="I13" i="17"/>
  <c r="B27" i="17"/>
  <c r="I68" i="8"/>
  <c r="I70" i="8" s="1"/>
  <c r="AJ90" i="25"/>
  <c r="AM91" i="17"/>
  <c r="Y88" i="17"/>
  <c r="C12" i="25"/>
  <c r="C32" i="25" s="1"/>
  <c r="C66" i="25" s="1"/>
  <c r="C68" i="25" s="1"/>
  <c r="F68" i="17"/>
  <c r="C87" i="25"/>
  <c r="C90" i="25" s="1"/>
  <c r="C92" i="25" s="1"/>
  <c r="H68" i="8"/>
  <c r="H70" i="8" s="1"/>
  <c r="B15" i="17"/>
  <c r="S91" i="17"/>
  <c r="D31" i="14"/>
  <c r="E31" i="14" s="1"/>
  <c r="B40" i="14"/>
  <c r="D40" i="14" s="1"/>
  <c r="E40" i="14" s="1"/>
  <c r="C30" i="25"/>
  <c r="B2" i="24"/>
  <c r="AR68" i="25"/>
  <c r="AR90" i="25"/>
  <c r="C66" i="21"/>
  <c r="C68" i="21" s="1"/>
  <c r="C70" i="21" s="1"/>
  <c r="D34" i="13"/>
  <c r="B70" i="8"/>
  <c r="R70" i="8"/>
  <c r="X91" i="17" l="1"/>
  <c r="B58" i="14"/>
  <c r="D58" i="14" s="1"/>
  <c r="E58" i="14" s="1"/>
  <c r="B87" i="17"/>
  <c r="Y91" i="17"/>
  <c r="AD88" i="17"/>
  <c r="B88" i="17" s="1"/>
  <c r="AQ30" i="17"/>
  <c r="AQ13" i="17" s="1"/>
  <c r="AD68" i="17"/>
  <c r="C34" i="11"/>
  <c r="O98" i="8"/>
  <c r="O106" i="8" s="1"/>
  <c r="O111" i="8" s="1"/>
  <c r="O65" i="8" s="1"/>
  <c r="B30" i="11"/>
  <c r="D30" i="11" s="1"/>
  <c r="E30" i="11" s="1"/>
  <c r="S93" i="21"/>
  <c r="I86" i="17"/>
  <c r="B86" i="17" s="1"/>
  <c r="I91" i="17"/>
  <c r="B13" i="17"/>
  <c r="I68" i="17"/>
  <c r="G34" i="13"/>
  <c r="K34" i="13" s="1"/>
  <c r="K37" i="13" s="1"/>
  <c r="K38" i="13" s="1"/>
  <c r="D37" i="13"/>
  <c r="AQ16" i="17" l="1"/>
  <c r="B16" i="17" s="1"/>
  <c r="B17" i="17" s="1"/>
  <c r="B32" i="17" s="1"/>
  <c r="B66" i="17" s="1"/>
  <c r="B68" i="17" s="1"/>
  <c r="AQ91" i="17"/>
  <c r="AQ68" i="17"/>
  <c r="AD91" i="17"/>
  <c r="B34" i="11"/>
  <c r="D34" i="11" s="1"/>
  <c r="E34" i="11" s="1"/>
  <c r="AW5" i="17"/>
  <c r="B1" i="24"/>
  <c r="B3" i="24" s="1"/>
  <c r="B4" i="24" s="1"/>
  <c r="S98" i="21"/>
  <c r="S106" i="21" s="1"/>
  <c r="S111" i="21" s="1"/>
  <c r="S65" i="21" s="1"/>
  <c r="B30" i="17"/>
  <c r="O66" i="8"/>
  <c r="O68" i="8" s="1"/>
  <c r="O70" i="8" s="1"/>
  <c r="C64" i="14"/>
  <c r="AX5" i="17" l="1"/>
  <c r="AW6" i="17"/>
  <c r="C66" i="14"/>
  <c r="C68" i="14" s="1"/>
  <c r="C70" i="14" s="1"/>
  <c r="AJ5" i="17"/>
  <c r="S66" i="21"/>
  <c r="S68" i="21" s="1"/>
  <c r="S70" i="21" s="1"/>
  <c r="B64" i="14"/>
  <c r="D64" i="14" l="1"/>
  <c r="E64" i="14" s="1"/>
  <c r="B66" i="14"/>
  <c r="D66" i="14" s="1"/>
  <c r="E66" i="14" s="1"/>
  <c r="AK5" i="17"/>
  <c r="AK6" i="17" s="1"/>
  <c r="AK68" i="17" s="1"/>
  <c r="AJ6" i="17"/>
  <c r="AW71" i="17"/>
  <c r="AW28" i="17"/>
  <c r="AW91" i="17" s="1"/>
  <c r="AW68" i="17"/>
  <c r="B68" i="14"/>
  <c r="D68" i="14" s="1"/>
  <c r="E68" i="14" s="1"/>
  <c r="AJ28" i="17" l="1"/>
  <c r="AJ68" i="17"/>
  <c r="B70" i="14"/>
  <c r="AJ71" i="17" l="1"/>
  <c r="B28" i="17"/>
  <c r="B71" i="17" l="1"/>
  <c r="B91" i="17" s="1"/>
  <c r="B93" i="17" s="1"/>
  <c r="AJ9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14" authorId="0" shapeId="0" xr:uid="{00000000-0006-0000-0200-000001000000}">
      <text>
        <r>
          <rPr>
            <b/>
            <sz val="9"/>
            <color indexed="81"/>
            <rFont val="Tahoma"/>
            <family val="2"/>
          </rPr>
          <t>O810+JA7 in O600</t>
        </r>
      </text>
    </comment>
  </commentList>
</comments>
</file>

<file path=xl/sharedStrings.xml><?xml version="1.0" encoding="utf-8"?>
<sst xmlns="http://schemas.openxmlformats.org/spreadsheetml/2006/main" count="3221" uniqueCount="1438">
  <si>
    <t>Company:Nexans Suzhou Cable Solutions Co., Ltd. (“the Company”)</t>
  </si>
  <si>
    <t>Currency: RMB</t>
  </si>
  <si>
    <t>Dr. / (Cr.)</t>
  </si>
  <si>
    <t>Accounts receivable</t>
  </si>
  <si>
    <t>Bad debt provision</t>
  </si>
  <si>
    <t>Other receivables</t>
  </si>
  <si>
    <t>Other current assets</t>
  </si>
  <si>
    <t>Total Current Assets</t>
  </si>
  <si>
    <t>Fixed Assets - cost</t>
  </si>
  <si>
    <t>Leasehold improvement</t>
  </si>
  <si>
    <t>Construction in progress</t>
  </si>
  <si>
    <t>Goodwill</t>
  </si>
  <si>
    <t>Long - term deferred expense</t>
  </si>
  <si>
    <t>Total assets</t>
  </si>
  <si>
    <t>Short-term loans</t>
  </si>
  <si>
    <t>Accrued payroll</t>
  </si>
  <si>
    <t>Total current liabilities</t>
  </si>
  <si>
    <t>Total long-term liabilities</t>
  </si>
  <si>
    <t>Total liabilities</t>
  </si>
  <si>
    <t>Paid-in capital</t>
  </si>
  <si>
    <t>Current profit</t>
  </si>
  <si>
    <t>(Retained profits)/Accumulated losses</t>
  </si>
  <si>
    <t>Total liabilities and investor's equity</t>
  </si>
  <si>
    <t>Operating (profit)/loss</t>
  </si>
  <si>
    <t>Non-operating income</t>
  </si>
  <si>
    <t>Non-operating expenses</t>
  </si>
  <si>
    <t>Taxation</t>
  </si>
  <si>
    <t>Current year profit adj</t>
  </si>
  <si>
    <t>Per M/A under PRC GAAP</t>
    <phoneticPr fontId="6" type="noConversion"/>
  </si>
  <si>
    <t>PRC JA#1</t>
    <phoneticPr fontId="6" type="noConversion"/>
  </si>
  <si>
    <t>PRC JA#3</t>
    <phoneticPr fontId="6" type="noConversion"/>
  </si>
  <si>
    <t>Per Mazars under PRC GAAP</t>
    <phoneticPr fontId="6" type="noConversion"/>
  </si>
  <si>
    <t>Cash at bank and on hand</t>
    <phoneticPr fontId="6" type="noConversion"/>
  </si>
  <si>
    <t>Dividends receivable</t>
    <phoneticPr fontId="6" type="noConversion"/>
  </si>
  <si>
    <t>Prepayments</t>
    <phoneticPr fontId="6" type="noConversion"/>
  </si>
  <si>
    <t>Inventories</t>
    <phoneticPr fontId="6" type="noConversion"/>
  </si>
  <si>
    <t>Inventories provision</t>
    <phoneticPr fontId="6" type="noConversion"/>
  </si>
  <si>
    <t>Long term debt investments</t>
    <phoneticPr fontId="6" type="noConversion"/>
  </si>
  <si>
    <t>Total long-term investments</t>
    <phoneticPr fontId="6" type="noConversion"/>
  </si>
  <si>
    <t>Less: Accumulated depreciation</t>
    <phoneticPr fontId="6" type="noConversion"/>
  </si>
  <si>
    <t>Net book value before provision for impairment</t>
    <phoneticPr fontId="6" type="noConversion"/>
  </si>
  <si>
    <t>Net book value after provision for impairment</t>
    <phoneticPr fontId="6" type="noConversion"/>
  </si>
  <si>
    <t>Total fixed assets</t>
    <phoneticPr fontId="6" type="noConversion"/>
  </si>
  <si>
    <t>Other long-term assets</t>
    <phoneticPr fontId="6" type="noConversion"/>
  </si>
  <si>
    <t>Total intangible assets and other assets</t>
    <phoneticPr fontId="6" type="noConversion"/>
  </si>
  <si>
    <t>Deferred tax assets</t>
    <phoneticPr fontId="6" type="noConversion"/>
  </si>
  <si>
    <t>Notes Payable</t>
    <phoneticPr fontId="6" type="noConversion"/>
  </si>
  <si>
    <t>Accounts payable</t>
    <phoneticPr fontId="6" type="noConversion"/>
  </si>
  <si>
    <t>Deferred income</t>
    <phoneticPr fontId="6" type="noConversion"/>
  </si>
  <si>
    <t>Deferred tax liabilities</t>
    <phoneticPr fontId="6" type="noConversion"/>
  </si>
  <si>
    <t>Capital reserve</t>
    <phoneticPr fontId="6" type="noConversion"/>
  </si>
  <si>
    <t>Surplus reserve</t>
    <phoneticPr fontId="3" type="noConversion"/>
  </si>
  <si>
    <t>Control:</t>
    <phoneticPr fontId="3" type="noConversion"/>
  </si>
  <si>
    <t>Interests payable</t>
    <phoneticPr fontId="6" type="noConversion"/>
  </si>
  <si>
    <t>Taxes payables</t>
    <phoneticPr fontId="6" type="noConversion"/>
  </si>
  <si>
    <t>Other current liabilities</t>
    <phoneticPr fontId="6" type="noConversion"/>
  </si>
  <si>
    <t>Other payables</t>
    <phoneticPr fontId="6" type="noConversion"/>
  </si>
  <si>
    <t>B/S</t>
  </si>
  <si>
    <t>R/E</t>
  </si>
  <si>
    <t>P&amp;L</t>
  </si>
  <si>
    <t>COGS</t>
  </si>
  <si>
    <t>Total</t>
  </si>
  <si>
    <t>Per M/A under PRC GAAP</t>
    <phoneticPr fontId="6" type="noConversion"/>
  </si>
  <si>
    <t>PRC JA#2</t>
    <phoneticPr fontId="6" type="noConversion"/>
  </si>
  <si>
    <t>Prepared by</t>
    <phoneticPr fontId="6" type="noConversion"/>
  </si>
  <si>
    <t>Cash at bank and on hand</t>
    <phoneticPr fontId="6" type="noConversion"/>
  </si>
  <si>
    <t>Short-term investment</t>
    <phoneticPr fontId="6" type="noConversion"/>
  </si>
  <si>
    <t>Bills receivable</t>
    <phoneticPr fontId="6" type="noConversion"/>
  </si>
  <si>
    <t>Interest receivables</t>
    <phoneticPr fontId="6" type="noConversion"/>
  </si>
  <si>
    <t>Inventories</t>
    <phoneticPr fontId="6" type="noConversion"/>
  </si>
  <si>
    <t>Inventories provision</t>
    <phoneticPr fontId="6" type="noConversion"/>
  </si>
  <si>
    <t>Long term equity investments</t>
    <phoneticPr fontId="6" type="noConversion"/>
  </si>
  <si>
    <t>Long term debt investments</t>
    <phoneticPr fontId="6" type="noConversion"/>
  </si>
  <si>
    <t>Total long-term investments</t>
    <phoneticPr fontId="6" type="noConversion"/>
  </si>
  <si>
    <t>Less: Accumulated depreciation</t>
    <phoneticPr fontId="6" type="noConversion"/>
  </si>
  <si>
    <t>Net book value before provision for impairment</t>
    <phoneticPr fontId="6" type="noConversion"/>
  </si>
  <si>
    <t>Less: Provision for impairment of FA</t>
    <phoneticPr fontId="6" type="noConversion"/>
  </si>
  <si>
    <t>Total fixed assets</t>
    <phoneticPr fontId="6" type="noConversion"/>
  </si>
  <si>
    <t>Intangible assets</t>
    <phoneticPr fontId="6" type="noConversion"/>
  </si>
  <si>
    <t>Other long-term assets</t>
    <phoneticPr fontId="6" type="noConversion"/>
  </si>
  <si>
    <t>Deferred tax assets</t>
    <phoneticPr fontId="6" type="noConversion"/>
  </si>
  <si>
    <t>Interests payable</t>
    <phoneticPr fontId="6" type="noConversion"/>
  </si>
  <si>
    <t>Receipt in advance</t>
    <phoneticPr fontId="6" type="noConversion"/>
  </si>
  <si>
    <t>Other current liabilities</t>
    <phoneticPr fontId="6" type="noConversion"/>
  </si>
  <si>
    <t>Capital reserve</t>
    <phoneticPr fontId="6" type="noConversion"/>
  </si>
  <si>
    <t>Total investor's equity</t>
    <phoneticPr fontId="6" type="noConversion"/>
  </si>
  <si>
    <t>Control:</t>
    <phoneticPr fontId="3" type="noConversion"/>
  </si>
  <si>
    <t>Sales from principal activities</t>
    <phoneticPr fontId="6" type="noConversion"/>
  </si>
  <si>
    <t>Cost of Sales from principal activities</t>
    <phoneticPr fontId="6" type="noConversion"/>
  </si>
  <si>
    <t>Business taxes and surcharges</t>
    <phoneticPr fontId="6" type="noConversion"/>
  </si>
  <si>
    <t>(Profit)/loss from principal activities</t>
    <phoneticPr fontId="6" type="noConversion"/>
  </si>
  <si>
    <t>(Profit) / loss from other operations</t>
    <phoneticPr fontId="6" type="noConversion"/>
  </si>
  <si>
    <t>Operating expenses</t>
    <phoneticPr fontId="6" type="noConversion"/>
  </si>
  <si>
    <t>G&amp;A expenses</t>
    <phoneticPr fontId="6" type="noConversion"/>
  </si>
  <si>
    <t>Financial expenses/(income)</t>
    <phoneticPr fontId="6" type="noConversion"/>
  </si>
  <si>
    <t>Impairment losses</t>
    <phoneticPr fontId="6" type="noConversion"/>
  </si>
  <si>
    <t>Gains/(Losses) from changes in fair vaule</t>
    <phoneticPr fontId="6" type="noConversion"/>
  </si>
  <si>
    <t>Investment income/(losses)</t>
    <phoneticPr fontId="6" type="noConversion"/>
  </si>
  <si>
    <t>(Profit)/loss before income tax</t>
    <phoneticPr fontId="6" type="noConversion"/>
  </si>
  <si>
    <t>Net (Profit)/loss</t>
    <phoneticPr fontId="6" type="noConversion"/>
  </si>
  <si>
    <t>RE 
at the beginning of the year per M/A</t>
    <phoneticPr fontId="6" type="noConversion"/>
  </si>
  <si>
    <t>Prior year adjustment</t>
    <phoneticPr fontId="6" type="noConversion"/>
  </si>
  <si>
    <t>KPMG Adjustment for the opening R/E</t>
    <phoneticPr fontId="6" type="noConversion"/>
  </si>
  <si>
    <t>Transferred from surplus reserve</t>
    <phoneticPr fontId="6" type="noConversion"/>
  </si>
  <si>
    <t>Profit available for distribution</t>
    <phoneticPr fontId="6" type="noConversion"/>
  </si>
  <si>
    <t>Surplus reserve:</t>
    <phoneticPr fontId="6" type="noConversion"/>
  </si>
  <si>
    <t>-General reserve fund</t>
    <phoneticPr fontId="6" type="noConversion"/>
  </si>
  <si>
    <t>-Enterprise expansion fund</t>
    <phoneticPr fontId="6" type="noConversion"/>
  </si>
  <si>
    <t>-Staff and workers’ bonus and  
welfare fund</t>
    <phoneticPr fontId="6" type="noConversion"/>
  </si>
  <si>
    <t>Capital repaid out of profits</t>
    <phoneticPr fontId="6" type="noConversion"/>
  </si>
  <si>
    <t>Profit available for distribution to investors</t>
    <phoneticPr fontId="6" type="noConversion"/>
  </si>
  <si>
    <t>Cash dividends appropriated to investors</t>
    <phoneticPr fontId="6" type="noConversion"/>
  </si>
  <si>
    <t>Audit adjustment</t>
    <phoneticPr fontId="6" type="noConversion"/>
  </si>
  <si>
    <t>(Retained profits)/Accumulated losses 
carried forward</t>
    <phoneticPr fontId="6" type="noConversion"/>
  </si>
  <si>
    <t>Check</t>
    <phoneticPr fontId="6" type="noConversion"/>
  </si>
  <si>
    <t>Variance</t>
    <phoneticPr fontId="2" type="noConversion"/>
  </si>
  <si>
    <t>Difference</t>
    <phoneticPr fontId="2" type="noConversion"/>
  </si>
  <si>
    <t>Company:Nexans Suzhou Cable Solutions Co., Ltd. (“the Company”)</t>
    <phoneticPr fontId="6" type="noConversion"/>
  </si>
  <si>
    <t>Ref</t>
    <phoneticPr fontId="6" type="noConversion"/>
  </si>
  <si>
    <t>DTA</t>
    <phoneticPr fontId="6" type="noConversion"/>
  </si>
  <si>
    <t>Income Tax</t>
    <phoneticPr fontId="6" type="noConversion"/>
  </si>
  <si>
    <t>Retained Earings</t>
    <phoneticPr fontId="6" type="noConversion"/>
  </si>
  <si>
    <t>Sales from principal activities</t>
    <phoneticPr fontId="6" type="noConversion"/>
  </si>
  <si>
    <t>Cost of Sales from principal activities</t>
    <phoneticPr fontId="6" type="noConversion"/>
  </si>
  <si>
    <t>Business taxes and surcharges</t>
    <phoneticPr fontId="6" type="noConversion"/>
  </si>
  <si>
    <t>(Profit)/loss from principal activities</t>
    <phoneticPr fontId="6" type="noConversion"/>
  </si>
  <si>
    <t>(Profit) / loss from other operations</t>
    <phoneticPr fontId="6" type="noConversion"/>
  </si>
  <si>
    <t>Operating expenses</t>
    <phoneticPr fontId="6" type="noConversion"/>
  </si>
  <si>
    <t>G&amp;A expenses</t>
    <phoneticPr fontId="6" type="noConversion"/>
  </si>
  <si>
    <t>Financial expenses/(income)</t>
    <phoneticPr fontId="6" type="noConversion"/>
  </si>
  <si>
    <t>Impairment losses</t>
    <phoneticPr fontId="6" type="noConversion"/>
  </si>
  <si>
    <t>Gains/(Losses) from changes in fair vaule</t>
    <phoneticPr fontId="6" type="noConversion"/>
  </si>
  <si>
    <t>Investment income/(losses)</t>
    <phoneticPr fontId="6" type="noConversion"/>
  </si>
  <si>
    <t>(Profit)/loss before income tax</t>
    <phoneticPr fontId="6" type="noConversion"/>
  </si>
  <si>
    <t>Net (Profit)/loss</t>
    <phoneticPr fontId="6" type="noConversion"/>
  </si>
  <si>
    <t>PRC Account</t>
    <phoneticPr fontId="6" type="noConversion"/>
  </si>
  <si>
    <t>Description</t>
    <phoneticPr fontId="6" type="noConversion"/>
  </si>
  <si>
    <t>Group Adjustment</t>
    <phoneticPr fontId="6" type="noConversion"/>
  </si>
  <si>
    <t>Group Account</t>
    <phoneticPr fontId="6" type="noConversion"/>
  </si>
  <si>
    <t>in K RMB</t>
    <phoneticPr fontId="6" type="noConversion"/>
  </si>
  <si>
    <t xml:space="preserve">Group JA#1
</t>
    <phoneticPr fontId="6" type="noConversion"/>
  </si>
  <si>
    <t>IFRS in K RMB</t>
    <phoneticPr fontId="6" type="noConversion"/>
  </si>
  <si>
    <t>Bills receivable</t>
  </si>
  <si>
    <t>PP&amp; E (excl. Investment Property)</t>
  </si>
  <si>
    <t>Total Current Fin. Assets.</t>
  </si>
  <si>
    <t>Inventory &amp; Work in Progress (WIP), Net</t>
  </si>
  <si>
    <t>Less: Provision for impairment of FA</t>
  </si>
  <si>
    <t>Other Intangible Assets, Net</t>
  </si>
  <si>
    <t>Net Financial Interco Receivables CT</t>
    <phoneticPr fontId="6" type="noConversion"/>
  </si>
  <si>
    <t>Deferred Tax Assets</t>
  </si>
  <si>
    <t>(Profit) / loss from other operations</t>
  </si>
  <si>
    <t>Treasury and equivalents, Gross</t>
    <phoneticPr fontId="6" type="noConversion"/>
  </si>
  <si>
    <t>Trade Accounts Receivables, Net</t>
    <phoneticPr fontId="6" type="noConversion"/>
  </si>
  <si>
    <t>Prepayments for FA</t>
    <phoneticPr fontId="6" type="noConversion"/>
  </si>
  <si>
    <t>Financial debts -CT</t>
    <phoneticPr fontId="6" type="noConversion"/>
  </si>
  <si>
    <t>Interest Payable-interco</t>
    <phoneticPr fontId="6" type="noConversion"/>
  </si>
  <si>
    <t>Other current financial liabilities - CT</t>
    <phoneticPr fontId="6" type="noConversion"/>
  </si>
  <si>
    <t>Operating Accounts Payable -CT</t>
    <phoneticPr fontId="6" type="noConversion"/>
  </si>
  <si>
    <t>Receipt in advance</t>
    <phoneticPr fontId="6" type="noConversion"/>
  </si>
  <si>
    <t>Reserves &amp; Retained Earnings</t>
    <phoneticPr fontId="6" type="noConversion"/>
  </si>
  <si>
    <t>Net Income</t>
    <phoneticPr fontId="6" type="noConversion"/>
  </si>
  <si>
    <t>Bills receivable</t>
    <phoneticPr fontId="6" type="noConversion"/>
  </si>
  <si>
    <t>Other receivables</t>
    <phoneticPr fontId="6" type="noConversion"/>
  </si>
  <si>
    <t>Other current assets</t>
    <phoneticPr fontId="6" type="noConversion"/>
  </si>
  <si>
    <t>A</t>
    <phoneticPr fontId="10" type="noConversion"/>
  </si>
  <si>
    <t>B</t>
    <phoneticPr fontId="10" type="noConversion"/>
  </si>
  <si>
    <t>Subject: 2017.12.31  Spreadsheet</t>
    <phoneticPr fontId="6" type="noConversion"/>
  </si>
  <si>
    <t>Long-term loan</t>
    <phoneticPr fontId="6" type="noConversion"/>
  </si>
  <si>
    <t>其他应收款</t>
  </si>
  <si>
    <t>资本公积</t>
    <phoneticPr fontId="2" type="noConversion"/>
  </si>
  <si>
    <t>Capital reserve</t>
  </si>
  <si>
    <t>Reserve Fair value changes Fin. instr.</t>
  </si>
  <si>
    <t>长期借款</t>
    <phoneticPr fontId="2" type="noConversion"/>
  </si>
  <si>
    <t>Long-term loan</t>
  </si>
  <si>
    <t>Other current liabilities</t>
  </si>
  <si>
    <t>其他流动负债</t>
    <phoneticPr fontId="6" type="noConversion"/>
  </si>
  <si>
    <t>Fair Value Hedging instr. - Liab. CT</t>
  </si>
  <si>
    <t>Liabilities related to fixed assets</t>
  </si>
  <si>
    <t>LL</t>
  </si>
  <si>
    <t>JF</t>
  </si>
  <si>
    <t>IP</t>
  </si>
  <si>
    <t>Financial expense</t>
  </si>
  <si>
    <t>To reverse capital reserve based on its nature</t>
  </si>
  <si>
    <t>1</t>
  </si>
  <si>
    <t>2</t>
  </si>
  <si>
    <t>4</t>
  </si>
  <si>
    <t>PRC JA#4</t>
  </si>
  <si>
    <t>PRC JA#5</t>
  </si>
  <si>
    <t>PRC JA#6</t>
  </si>
  <si>
    <t>PRC JA#7</t>
  </si>
  <si>
    <t>Cashflow statement</t>
    <phoneticPr fontId="7" type="noConversion"/>
  </si>
  <si>
    <t>Gross</t>
  </si>
  <si>
    <t>B/D</t>
  </si>
  <si>
    <t>COST</t>
  </si>
  <si>
    <t>Depr.</t>
  </si>
  <si>
    <t>Diff</t>
    <phoneticPr fontId="7" type="noConversion"/>
  </si>
  <si>
    <t>Direct method</t>
  </si>
  <si>
    <t>Net-off B/D with P&amp;L:</t>
    <phoneticPr fontId="7" type="noConversion"/>
  </si>
  <si>
    <t>Net-off Inventory provision with P&amp;L:</t>
  </si>
  <si>
    <t>Net-off L-T defer exp amort with P&amp;L:</t>
    <phoneticPr fontId="7" type="noConversion"/>
  </si>
  <si>
    <t>Net-off IA amortization with P&amp;L:</t>
    <phoneticPr fontId="7" type="noConversion"/>
  </si>
  <si>
    <t>Net-off CIP impairment loss with P&amp;L:</t>
    <phoneticPr fontId="7" type="noConversion"/>
  </si>
  <si>
    <t>Net-off FA impairment loss with P&amp;L:</t>
    <phoneticPr fontId="7" type="noConversion"/>
  </si>
  <si>
    <t>Net off EIT provision with P&amp;L:</t>
  </si>
  <si>
    <t>Net-off depreciation with P&amp;L:</t>
  </si>
  <si>
    <t>Net-off profit with R/E</t>
    <phoneticPr fontId="7" type="noConversion"/>
  </si>
  <si>
    <t>Net-off income appropriation:</t>
    <phoneticPr fontId="7" type="noConversion"/>
  </si>
  <si>
    <t>check</t>
  </si>
  <si>
    <t>净利润润调节</t>
  </si>
  <si>
    <t>以前年度损益调整</t>
  </si>
  <si>
    <t>＋少数股东损益</t>
  </si>
  <si>
    <t>＋转回的资产减值准备</t>
  </si>
  <si>
    <t>＋固定资产折旧</t>
  </si>
  <si>
    <t xml:space="preserve">＋无形资产摊销   </t>
  </si>
  <si>
    <t xml:space="preserve">＋预计负债增加(减：减少) </t>
  </si>
  <si>
    <t xml:space="preserve">＋待摊费用减少(减：增加) </t>
  </si>
  <si>
    <t xml:space="preserve">＋预提费用增加(减：减少) </t>
  </si>
  <si>
    <t>＋处置固定资产、无形资产和长期资产的损失(减：收益)</t>
  </si>
  <si>
    <t xml:space="preserve">＋财务费用     </t>
  </si>
  <si>
    <t>＋投资损失（减：收益）</t>
  </si>
  <si>
    <t>＋递延税款贷项（减：借项）</t>
  </si>
  <si>
    <t>＋存货的减少（减：增加）</t>
  </si>
  <si>
    <t>＋经营性应收项目的减少（减：增加）</t>
  </si>
  <si>
    <t>＋经营性应付项目的增加（减：减少）</t>
  </si>
  <si>
    <t>＋其他</t>
  </si>
  <si>
    <t>check:</t>
  </si>
  <si>
    <t>check:</t>
    <phoneticPr fontId="7" type="noConversion"/>
  </si>
  <si>
    <t>Sales</t>
    <phoneticPr fontId="9" type="noConversion"/>
  </si>
  <si>
    <t>COGS</t>
    <phoneticPr fontId="9" type="noConversion"/>
  </si>
  <si>
    <t>Inventory</t>
  </si>
  <si>
    <t>PRC JA#8</t>
  </si>
  <si>
    <t>PRC JA#9</t>
  </si>
  <si>
    <t xml:space="preserve">G&amp;A Expense </t>
    <phoneticPr fontId="9" type="noConversion"/>
  </si>
  <si>
    <t>Non- operating expense</t>
    <phoneticPr fontId="9" type="noConversion"/>
  </si>
  <si>
    <t>Reclassify the Non-operating expense to G&amp;A expenses and COGS according to its nature</t>
    <phoneticPr fontId="9" type="noConversion"/>
  </si>
  <si>
    <t>O600</t>
    <phoneticPr fontId="9" type="noConversion"/>
  </si>
  <si>
    <t>PRC JA#10</t>
  </si>
  <si>
    <t>Company:Nexans Suzhou Cable Solutions Co., Ltd. (“the Company”)</t>
    <phoneticPr fontId="2" type="noConversion"/>
  </si>
  <si>
    <t>PRC JA#11</t>
  </si>
  <si>
    <t>Other payable</t>
  </si>
  <si>
    <t>SUAD #1</t>
  </si>
  <si>
    <t>O310</t>
  </si>
  <si>
    <t>C100</t>
  </si>
  <si>
    <t>Accounts receivable</t>
    <phoneticPr fontId="6" type="noConversion"/>
  </si>
  <si>
    <t>Bad debt provision</t>
    <phoneticPr fontId="6" type="noConversion"/>
  </si>
  <si>
    <t>Monthly figure</t>
    <phoneticPr fontId="2" type="noConversion"/>
  </si>
  <si>
    <t>Diff</t>
    <phoneticPr fontId="2" type="noConversion"/>
  </si>
  <si>
    <t xml:space="preserve">Group JA#2
</t>
    <phoneticPr fontId="6" type="noConversion"/>
  </si>
  <si>
    <t>货币资金</t>
  </si>
  <si>
    <t>应收票据</t>
  </si>
  <si>
    <t>应收账款</t>
  </si>
  <si>
    <t>预付账款</t>
  </si>
  <si>
    <t>其他流动资产</t>
  </si>
  <si>
    <t>存货</t>
  </si>
  <si>
    <t>固定资产</t>
  </si>
  <si>
    <t>固定资产累计折旧</t>
  </si>
  <si>
    <t>固定资产减值准备</t>
  </si>
  <si>
    <t>在建工程</t>
  </si>
  <si>
    <t>无形资产</t>
  </si>
  <si>
    <t>递延所得税资产</t>
  </si>
  <si>
    <t>短期借款</t>
  </si>
  <si>
    <t>应付利息</t>
  </si>
  <si>
    <t>应付账款</t>
  </si>
  <si>
    <t>预收账款</t>
  </si>
  <si>
    <t>其他应付款</t>
  </si>
  <si>
    <t>应付工资薪酬</t>
  </si>
  <si>
    <t>应交税金</t>
  </si>
  <si>
    <t>实收资本（或股本）</t>
  </si>
  <si>
    <t>未分配利润（年初）</t>
  </si>
  <si>
    <t>当期损益</t>
  </si>
  <si>
    <t>投资收益</t>
  </si>
  <si>
    <t>公司：耐克森（苏州）线缆系统有限公司(“该公司”)</t>
  </si>
  <si>
    <t>WP Ref</t>
  </si>
  <si>
    <t>E100</t>
  </si>
  <si>
    <t>E300</t>
  </si>
  <si>
    <t>B100</t>
  </si>
  <si>
    <t>B400</t>
  </si>
  <si>
    <t>M200</t>
  </si>
  <si>
    <t>G200</t>
  </si>
  <si>
    <t>C200</t>
  </si>
  <si>
    <t>M100</t>
  </si>
  <si>
    <t>D100</t>
  </si>
  <si>
    <t>D300</t>
  </si>
  <si>
    <t>D200</t>
  </si>
  <si>
    <t>L300</t>
  </si>
  <si>
    <t>I100</t>
  </si>
  <si>
    <t>I200</t>
  </si>
  <si>
    <t>G100</t>
  </si>
  <si>
    <t>H100</t>
  </si>
  <si>
    <t>I300</t>
  </si>
  <si>
    <t>L100</t>
  </si>
  <si>
    <t>I400</t>
  </si>
  <si>
    <t>N100</t>
  </si>
  <si>
    <t>J100</t>
  </si>
  <si>
    <t>J200</t>
  </si>
  <si>
    <t>J300</t>
  </si>
  <si>
    <t>L500</t>
  </si>
  <si>
    <t>B700</t>
  </si>
  <si>
    <t>O200</t>
  </si>
  <si>
    <t>O300</t>
  </si>
  <si>
    <t>O400</t>
  </si>
  <si>
    <t>O700</t>
  </si>
  <si>
    <t>O500</t>
  </si>
  <si>
    <t>O600</t>
  </si>
  <si>
    <t>L200</t>
  </si>
  <si>
    <t>For the Year ended 31 October 2018 ("the Period")</t>
  </si>
  <si>
    <t>Per Mazars under PRC GAAP</t>
  </si>
  <si>
    <t>B</t>
  </si>
  <si>
    <t>Subject: Financial highlight-BS</t>
  </si>
  <si>
    <t>Subject: Financial highlight-PL</t>
  </si>
  <si>
    <t>Trading Liabilities</t>
  </si>
  <si>
    <t>NB1</t>
  </si>
  <si>
    <t>Inventories</t>
  </si>
  <si>
    <t>NB2</t>
  </si>
  <si>
    <t>NB3</t>
  </si>
  <si>
    <t>NB4</t>
  </si>
  <si>
    <t>NB5</t>
  </si>
  <si>
    <t>NB6</t>
  </si>
  <si>
    <t>The increase of gross value is mainly caused by the increased sales and the increase of raw materials, which mainly due to NSH has transferred its raw materials of RMB 15,247K to SUZ in Year 2018.</t>
  </si>
  <si>
    <t>The balance is the flucting profit and loss from "华泰期货".</t>
  </si>
  <si>
    <t>NB7</t>
  </si>
  <si>
    <t>NB8</t>
  </si>
  <si>
    <t>Consol. Debit Acc.</t>
  </si>
  <si>
    <t>Group Account Name</t>
  </si>
  <si>
    <t>No.</t>
  </si>
  <si>
    <t>Second Description</t>
  </si>
  <si>
    <t>601100</t>
  </si>
  <si>
    <t>64010110</t>
  </si>
  <si>
    <t>主营业务成本-标准材料</t>
  </si>
  <si>
    <t>64010111</t>
  </si>
  <si>
    <t>主营业务成本-标准材料重分类</t>
  </si>
  <si>
    <t>64010125</t>
  </si>
  <si>
    <t>主营业务成本-其他标准材料</t>
  </si>
  <si>
    <t>64010140</t>
  </si>
  <si>
    <t>主营业务成本-标准费用</t>
  </si>
  <si>
    <t>601140</t>
  </si>
  <si>
    <t>64010121</t>
  </si>
  <si>
    <t>主营业务成本-标准铜</t>
  </si>
  <si>
    <t>601150</t>
  </si>
  <si>
    <t>64010122</t>
  </si>
  <si>
    <t>主营业务成本-标准铝</t>
  </si>
  <si>
    <t>601160</t>
  </si>
  <si>
    <t>Labor SDC</t>
  </si>
  <si>
    <t>64010130</t>
  </si>
  <si>
    <t>主营业务成本-标准人工</t>
  </si>
  <si>
    <t>601200</t>
  </si>
  <si>
    <t>Price Var. of Mat. &amp; Other SDC</t>
  </si>
  <si>
    <t>64010220</t>
  </si>
  <si>
    <t>主营业务成本价格差异-其他材料</t>
  </si>
  <si>
    <t>64010260</t>
  </si>
  <si>
    <t>主营业务成本价格差异-水电</t>
  </si>
  <si>
    <t>601260</t>
  </si>
  <si>
    <t>64010230</t>
  </si>
  <si>
    <t>主营业务成本价格差异-人工</t>
  </si>
  <si>
    <t>603100</t>
  </si>
  <si>
    <t>Manufacturing Var. of Mat. &amp; Other SDC</t>
  </si>
  <si>
    <t>64010320</t>
  </si>
  <si>
    <t>主营业务成本耗量差异-其他材料</t>
  </si>
  <si>
    <t>64010360</t>
  </si>
  <si>
    <t>主营业务成本耗量差异-水电</t>
  </si>
  <si>
    <t>603150</t>
  </si>
  <si>
    <t>Manufacturing Var. of Metal SDC</t>
  </si>
  <si>
    <t>64010310</t>
  </si>
  <si>
    <t>主营业务成本耗量差异-铜</t>
  </si>
  <si>
    <t>64010315</t>
  </si>
  <si>
    <t>主营业务成本耗量差异-铝</t>
  </si>
  <si>
    <t>603160</t>
  </si>
  <si>
    <t>Manufacturing Var. of Labor SDC</t>
  </si>
  <si>
    <t>64010330</t>
  </si>
  <si>
    <t>主营业务成本耗量差异-人工</t>
  </si>
  <si>
    <t>603218</t>
  </si>
  <si>
    <t>64010420</t>
  </si>
  <si>
    <t>主营业务成本-固定费用</t>
  </si>
  <si>
    <t>603400</t>
  </si>
  <si>
    <t>66010700</t>
  </si>
  <si>
    <t>销售费用_运输装卸费</t>
  </si>
  <si>
    <t>603410</t>
  </si>
  <si>
    <t>66011400</t>
  </si>
  <si>
    <t>销售费用_包装费</t>
  </si>
  <si>
    <t>603420</t>
  </si>
  <si>
    <t>66010500</t>
  </si>
  <si>
    <t>销售费用_销售佣金及提成</t>
  </si>
  <si>
    <t>603440</t>
  </si>
  <si>
    <t>Insurance and other credit management costs</t>
  </si>
  <si>
    <t>66010900</t>
  </si>
  <si>
    <t>销售费用_保险费</t>
  </si>
  <si>
    <t>610100</t>
  </si>
  <si>
    <t>66011200</t>
  </si>
  <si>
    <t>销售费用_售后服务费</t>
  </si>
  <si>
    <t>610201</t>
  </si>
  <si>
    <t>Sale of scraps &amp; raw materiels</t>
  </si>
  <si>
    <t>60510100</t>
  </si>
  <si>
    <t>其他业务收入-生产废料收入</t>
  </si>
  <si>
    <t>64020100</t>
  </si>
  <si>
    <t>其他业务成本-生产废料成本</t>
  </si>
  <si>
    <t>610400</t>
  </si>
  <si>
    <t>Indirect Production Costs</t>
  </si>
  <si>
    <t>51020100</t>
  </si>
  <si>
    <t>间接生产成本-工资</t>
  </si>
  <si>
    <t>51020110</t>
  </si>
  <si>
    <t>间接生产成本-四金</t>
  </si>
  <si>
    <t>51020120</t>
  </si>
  <si>
    <t>间接生产成本-福利费</t>
  </si>
  <si>
    <t>51020130</t>
  </si>
  <si>
    <t>间接生产成本-外包劳务费</t>
  </si>
  <si>
    <t>51020301</t>
  </si>
  <si>
    <t>间接生产成本-修理费-建筑物</t>
  </si>
  <si>
    <t>51020302</t>
  </si>
  <si>
    <t>间接生产成本-修理费-车辆</t>
  </si>
  <si>
    <t>51020303</t>
  </si>
  <si>
    <t>间接生产成本-修理费-机器设备</t>
  </si>
  <si>
    <t>51020304</t>
  </si>
  <si>
    <t>间接生产成本-修理费-备件</t>
  </si>
  <si>
    <t>51020305</t>
  </si>
  <si>
    <t>间接生产成本-修理费-其他</t>
  </si>
  <si>
    <t>51020400</t>
  </si>
  <si>
    <t>间接生产成本-物料消耗</t>
  </si>
  <si>
    <t>51020500</t>
  </si>
  <si>
    <t>间接生产成本-低值易耗品摊销</t>
  </si>
  <si>
    <t>51020600</t>
  </si>
  <si>
    <t>间接生产成本-劳动保护费</t>
  </si>
  <si>
    <t>51020900</t>
  </si>
  <si>
    <t>间接生产成本-办公费</t>
  </si>
  <si>
    <t>51021001</t>
  </si>
  <si>
    <t>间接生产成本-差旅费-交通费</t>
  </si>
  <si>
    <t>51021002</t>
  </si>
  <si>
    <t>间接生产成本-差旅费-住宿</t>
  </si>
  <si>
    <t>51021003</t>
  </si>
  <si>
    <t>间接生产成本-差旅费-餐费</t>
  </si>
  <si>
    <t>51022100</t>
  </si>
  <si>
    <t>间接生产成本-市内车费</t>
  </si>
  <si>
    <t>51022200</t>
  </si>
  <si>
    <t>间接生产成本-手机费</t>
  </si>
  <si>
    <t>51022300</t>
  </si>
  <si>
    <t>间接生产成本-固话费</t>
  </si>
  <si>
    <t>51022400</t>
  </si>
  <si>
    <t>间接生产成本-业务招待费</t>
  </si>
  <si>
    <t>51022500</t>
  </si>
  <si>
    <t>间接生产成本-快递费</t>
  </si>
  <si>
    <t>51023100</t>
  </si>
  <si>
    <t>间接生产成本-商检费</t>
  </si>
  <si>
    <t>51023200</t>
  </si>
  <si>
    <t>间接生产成本-仓储费</t>
  </si>
  <si>
    <t>51023300</t>
  </si>
  <si>
    <t>间接生产成本_测试费</t>
  </si>
  <si>
    <t>51023400</t>
  </si>
  <si>
    <t>间接生产成本_测量费</t>
  </si>
  <si>
    <t>51023500</t>
  </si>
  <si>
    <t>间接生产成本_认证费</t>
  </si>
  <si>
    <t>51023600</t>
  </si>
  <si>
    <t>间接生产成本_样品费</t>
  </si>
  <si>
    <t>51023900</t>
  </si>
  <si>
    <t>间接生产成本-其他</t>
  </si>
  <si>
    <t>64030000</t>
  </si>
  <si>
    <t>税金及附加</t>
  </si>
  <si>
    <t>64030100</t>
  </si>
  <si>
    <t>税金及附加-城建税及教育费附加</t>
  </si>
  <si>
    <t>64030200</t>
  </si>
  <si>
    <t>税金及附加-土地税</t>
  </si>
  <si>
    <t>64030300</t>
  </si>
  <si>
    <t>税金及附加-房产税</t>
  </si>
  <si>
    <t>64030400</t>
  </si>
  <si>
    <t>税金及附加-印花税</t>
  </si>
  <si>
    <t>66020701</t>
  </si>
  <si>
    <t>管理费用_保险费-财产保险</t>
  </si>
  <si>
    <t>66020702</t>
  </si>
  <si>
    <t>管理费用_保险费-责任保险</t>
  </si>
  <si>
    <t>620200</t>
  </si>
  <si>
    <t>Admin &amp; General Expenses</t>
  </si>
  <si>
    <t>66020703</t>
  </si>
  <si>
    <t>管理费用_保险费-其它</t>
  </si>
  <si>
    <t>66022201</t>
  </si>
  <si>
    <t>管理费用_开办费_工资</t>
  </si>
  <si>
    <t>66022202</t>
  </si>
  <si>
    <t>管理费用_开办费_四金</t>
  </si>
  <si>
    <t>66022203</t>
  </si>
  <si>
    <t>管理费用_开办费_福利费</t>
  </si>
  <si>
    <t>66022204</t>
  </si>
  <si>
    <t>管理费用_开办费_修理费</t>
  </si>
  <si>
    <t>66022205</t>
  </si>
  <si>
    <t>管理费用_开办费_物料消耗</t>
  </si>
  <si>
    <t>66022206</t>
  </si>
  <si>
    <t>管理费用_开办费_低值易耗品摊销</t>
  </si>
  <si>
    <t>66022207</t>
  </si>
  <si>
    <t>管理费用_开办费_劳动保护费</t>
  </si>
  <si>
    <t>66022208</t>
  </si>
  <si>
    <t>管理费用_开办费_办公费</t>
  </si>
  <si>
    <t>66022209</t>
  </si>
  <si>
    <t>管理费用_开办费_差旅费</t>
  </si>
  <si>
    <t>66022210</t>
  </si>
  <si>
    <t>管理费用_开办费_通讯费</t>
  </si>
  <si>
    <t>66022211</t>
  </si>
  <si>
    <t>管理费用_开办费_咨询费</t>
  </si>
  <si>
    <t>66022212</t>
  </si>
  <si>
    <t>管理费用_开办费_市内交通费</t>
  </si>
  <si>
    <t>66022213</t>
  </si>
  <si>
    <t>管理费用_开办费_手机通讯费</t>
  </si>
  <si>
    <t>66022214</t>
  </si>
  <si>
    <t>管理费用_开办费_业务招待费</t>
  </si>
  <si>
    <t>66022215</t>
  </si>
  <si>
    <t>管理费用_开办费_快递费</t>
  </si>
  <si>
    <t>66022290</t>
  </si>
  <si>
    <t>管理费用_开办费_其他</t>
  </si>
  <si>
    <t>620100</t>
  </si>
  <si>
    <t>Indirect Marketing Expenses</t>
  </si>
  <si>
    <t>66010100</t>
  </si>
  <si>
    <t>销售费用_工资</t>
  </si>
  <si>
    <t>66010110</t>
  </si>
  <si>
    <t>销售费用_四金</t>
  </si>
  <si>
    <t>66010150</t>
  </si>
  <si>
    <t>销售费用_福利费</t>
  </si>
  <si>
    <t>66010160</t>
  </si>
  <si>
    <t>销售费用_外包劳务费</t>
  </si>
  <si>
    <t>66010311</t>
  </si>
  <si>
    <t>销售费用_差旅费_国内_交通</t>
  </si>
  <si>
    <t>66010312</t>
  </si>
  <si>
    <t>销售费用_差旅费_国内_住宿</t>
  </si>
  <si>
    <t>66010313</t>
  </si>
  <si>
    <t>销售费用_差旅费_国内_餐费</t>
  </si>
  <si>
    <t>66010321</t>
  </si>
  <si>
    <t>销售费用_差旅费_国外_交通</t>
  </si>
  <si>
    <t>66010322</t>
  </si>
  <si>
    <t>销售费用_差旅费_国外_住宿</t>
  </si>
  <si>
    <t>66010323</t>
  </si>
  <si>
    <t>销售费用_差旅费_国外_餐费</t>
  </si>
  <si>
    <t>66010400</t>
  </si>
  <si>
    <t>销售费用_市内交通费</t>
  </si>
  <si>
    <t>66010800</t>
  </si>
  <si>
    <t>销售费用_市场促销费</t>
  </si>
  <si>
    <t>66011000</t>
  </si>
  <si>
    <t>销售费用_广告费</t>
  </si>
  <si>
    <t>66011100</t>
  </si>
  <si>
    <t>销售费用_租赁费</t>
  </si>
  <si>
    <t>66011300</t>
  </si>
  <si>
    <t>销售费用_样品费</t>
  </si>
  <si>
    <t>66011500</t>
  </si>
  <si>
    <t>销售费用_交际应酬费</t>
  </si>
  <si>
    <t>66011600</t>
  </si>
  <si>
    <t>销售费用_通讯费</t>
  </si>
  <si>
    <t>66011700</t>
  </si>
  <si>
    <t>销售费用_培训费</t>
  </si>
  <si>
    <t>66011800</t>
  </si>
  <si>
    <t>销售费用_快递费</t>
  </si>
  <si>
    <t>66011900</t>
  </si>
  <si>
    <t>销售费用_办公费</t>
  </si>
  <si>
    <t>66012000</t>
  </si>
  <si>
    <t>销售费用_管理费</t>
  </si>
  <si>
    <t>66012100</t>
  </si>
  <si>
    <t>销售费用_其他</t>
  </si>
  <si>
    <t>66018999</t>
  </si>
  <si>
    <t>销售费用_结转</t>
  </si>
  <si>
    <t>66020100</t>
  </si>
  <si>
    <t>管理费用_工资</t>
  </si>
  <si>
    <t>66020110</t>
  </si>
  <si>
    <t>管理费用_四金</t>
  </si>
  <si>
    <t>66020150</t>
  </si>
  <si>
    <t>管理费用_福利费</t>
  </si>
  <si>
    <t>66020160</t>
  </si>
  <si>
    <t>管理费用_外包劳务费</t>
  </si>
  <si>
    <t>66020311</t>
  </si>
  <si>
    <t>管理费用_差旅费_国内_交通</t>
  </si>
  <si>
    <t>66020312</t>
  </si>
  <si>
    <t>管理费用_差旅费_国内_住宿</t>
  </si>
  <si>
    <t>66020313</t>
  </si>
  <si>
    <t>管理费用_差旅费_国内_餐费</t>
  </si>
  <si>
    <t>66020321</t>
  </si>
  <si>
    <t>管理费用_差旅费_国外_交通</t>
  </si>
  <si>
    <t>66020322</t>
  </si>
  <si>
    <t>管理费用_差旅费_国外_住宿</t>
  </si>
  <si>
    <t>66020323</t>
  </si>
  <si>
    <t>管理费用_差旅费_国外_餐费</t>
  </si>
  <si>
    <t>66020400</t>
  </si>
  <si>
    <t>管理费用_市内交通费</t>
  </si>
  <si>
    <t>66020501</t>
  </si>
  <si>
    <t>管理费用_修理费_建筑物</t>
  </si>
  <si>
    <t>66020502</t>
  </si>
  <si>
    <t>管理费用_修理费_车辆</t>
  </si>
  <si>
    <t>66020503</t>
  </si>
  <si>
    <t>管理费用_修理费_办公设备</t>
  </si>
  <si>
    <t>66020504</t>
  </si>
  <si>
    <t>管理费用_修理费_其他</t>
  </si>
  <si>
    <t>66020601</t>
  </si>
  <si>
    <t>管理费用_办公费_电费</t>
  </si>
  <si>
    <t>66020602</t>
  </si>
  <si>
    <t>管理费用_办公费_水费</t>
  </si>
  <si>
    <t>66020603</t>
  </si>
  <si>
    <t>管理费用_办公费_餐饮费</t>
  </si>
  <si>
    <t>66020604</t>
  </si>
  <si>
    <t>管理费用_办公费_通讯费</t>
  </si>
  <si>
    <t>66020605</t>
  </si>
  <si>
    <t>管理费用_办公费_手机通讯费</t>
  </si>
  <si>
    <t>66020606</t>
  </si>
  <si>
    <t>管理费用_办公费_快递费</t>
  </si>
  <si>
    <t>66020607</t>
  </si>
  <si>
    <t>管理费用_办公费_班车费</t>
  </si>
  <si>
    <t>66020608</t>
  </si>
  <si>
    <t>管理费用_办公费_办公用品费</t>
  </si>
  <si>
    <t>66020609</t>
  </si>
  <si>
    <t>管理费用_办公费_劳动保护费</t>
  </si>
  <si>
    <t>66020610</t>
  </si>
  <si>
    <t>管理费用_办公费_保安</t>
  </si>
  <si>
    <t>66020611</t>
  </si>
  <si>
    <t>管理费用_办公费_保洁</t>
  </si>
  <si>
    <t>66020612</t>
  </si>
  <si>
    <t>管理费用_办公费_租赁</t>
  </si>
  <si>
    <t>66020690</t>
  </si>
  <si>
    <t>管理费用_办公费_其他</t>
  </si>
  <si>
    <t>66020704</t>
  </si>
  <si>
    <t>管理费用_保险费-医疗保险</t>
  </si>
  <si>
    <t>66020900</t>
  </si>
  <si>
    <t>管理费用_顾问费</t>
  </si>
  <si>
    <t>66021000</t>
  </si>
  <si>
    <t>管理费用_招聘费</t>
  </si>
  <si>
    <t>66021100</t>
  </si>
  <si>
    <t>管理费用_审计费</t>
  </si>
  <si>
    <t>66021200</t>
  </si>
  <si>
    <t>管理费用_交际应酬费</t>
  </si>
  <si>
    <t>66021300</t>
  </si>
  <si>
    <t>管理费用_税金</t>
  </si>
  <si>
    <t>66021400</t>
  </si>
  <si>
    <t>管理费用_培训费</t>
  </si>
  <si>
    <t>66021701</t>
  </si>
  <si>
    <t>管理费用_高级管理费用_房屋租赁</t>
  </si>
  <si>
    <t>66021702</t>
  </si>
  <si>
    <t>管理费用_高级管理费用_车辆租赁</t>
  </si>
  <si>
    <t>66021703</t>
  </si>
  <si>
    <t>管理费用_高级管理费用_子女教育费</t>
  </si>
  <si>
    <t>66021704</t>
  </si>
  <si>
    <t>管理费用_高级管理费用_其他</t>
  </si>
  <si>
    <t>66021800</t>
  </si>
  <si>
    <t>管理费用_工会会费</t>
  </si>
  <si>
    <t>66021900</t>
  </si>
  <si>
    <t>管理费用_中方管理费</t>
  </si>
  <si>
    <t>66028900</t>
  </si>
  <si>
    <t>管理费用_其他</t>
  </si>
  <si>
    <t>66029900</t>
  </si>
  <si>
    <t>管理费用_结转</t>
  </si>
  <si>
    <t>620300</t>
  </si>
  <si>
    <t>Miscellaneous Income/(Expense)</t>
  </si>
  <si>
    <t>60510200</t>
  </si>
  <si>
    <t>其他业务收入-其他</t>
  </si>
  <si>
    <t>63010299</t>
  </si>
  <si>
    <t>营业外收入-其他</t>
  </si>
  <si>
    <t>64020299</t>
  </si>
  <si>
    <t>其他业务成本-其他</t>
  </si>
  <si>
    <t>66021500</t>
  </si>
  <si>
    <t>管理费用_技术提成费</t>
  </si>
  <si>
    <t>67010500</t>
  </si>
  <si>
    <t>资产减值损失-其他</t>
  </si>
  <si>
    <t>67010600</t>
  </si>
  <si>
    <t>资产减值损失_结转</t>
  </si>
  <si>
    <t>67110250</t>
  </si>
  <si>
    <t>营业外支出_其他</t>
  </si>
  <si>
    <t>67110300</t>
  </si>
  <si>
    <t>营业外支出_结转</t>
  </si>
  <si>
    <t>651301</t>
  </si>
  <si>
    <t>66010600</t>
  </si>
  <si>
    <t>销售费用_集团佣金</t>
  </si>
  <si>
    <t>651400</t>
  </si>
  <si>
    <t>66021680</t>
  </si>
  <si>
    <t>管理费用_研究开发费_集团返还</t>
  </si>
  <si>
    <t>651500</t>
  </si>
  <si>
    <t>66021601</t>
  </si>
  <si>
    <t>管理费用_研究开发费_工资</t>
  </si>
  <si>
    <t>66021602</t>
  </si>
  <si>
    <t>管理费用_研究开发费_四金</t>
  </si>
  <si>
    <t>66021604</t>
  </si>
  <si>
    <t>管理费用_研究开发费_修理费</t>
  </si>
  <si>
    <t>66021605</t>
  </si>
  <si>
    <t>管理费用_研究开发费_物料消耗</t>
  </si>
  <si>
    <t>66021606</t>
  </si>
  <si>
    <t>管理费用_研究开发费_低值易耗品摊销</t>
  </si>
  <si>
    <t>66021607</t>
  </si>
  <si>
    <t>管理费用_研究开发费_劳动保护费</t>
  </si>
  <si>
    <t>66021608</t>
  </si>
  <si>
    <t>管理费用_研究开发费_办公费</t>
  </si>
  <si>
    <t>66021609</t>
  </si>
  <si>
    <t>管理费用_研究开发费_差旅费</t>
  </si>
  <si>
    <t>66021610</t>
  </si>
  <si>
    <t>管理费用_研究开发费_通讯费</t>
  </si>
  <si>
    <t>66021611</t>
  </si>
  <si>
    <t>管理费用_研究开发费_咨询费</t>
  </si>
  <si>
    <t>66021612</t>
  </si>
  <si>
    <t>管理费用_研究开发费_市内交通费</t>
  </si>
  <si>
    <t>66021613</t>
  </si>
  <si>
    <t>管理费用_研究开发费_手机通讯费</t>
  </si>
  <si>
    <t>66021614</t>
  </si>
  <si>
    <t>管理费用_研究开发费_业务招待费</t>
  </si>
  <si>
    <t>66021615</t>
  </si>
  <si>
    <t>管理费用_研究开发费_快递费</t>
  </si>
  <si>
    <t>66021616</t>
  </si>
  <si>
    <t>管理费用_研究开发费_认证费</t>
  </si>
  <si>
    <t>66021617</t>
  </si>
  <si>
    <t>管理费用_研究开发费_福利费</t>
  </si>
  <si>
    <t>66021690</t>
  </si>
  <si>
    <t>管理费用_研究开发费_其他</t>
  </si>
  <si>
    <t>661000</t>
  </si>
  <si>
    <t>Interest Expense</t>
  </si>
  <si>
    <t>66030100</t>
  </si>
  <si>
    <t>财务费用_利息支出</t>
  </si>
  <si>
    <t>663000</t>
  </si>
  <si>
    <t>66030101</t>
  </si>
  <si>
    <t>财务费用_利息收入_第三方</t>
  </si>
  <si>
    <t>Other Financial Inc.(Exp)</t>
  </si>
  <si>
    <t>66030300</t>
  </si>
  <si>
    <t>财务费用_银行手续费</t>
  </si>
  <si>
    <t>66030400</t>
  </si>
  <si>
    <t>财务费用_贴现利息</t>
  </si>
  <si>
    <t>66030500</t>
  </si>
  <si>
    <t>财务费用_其他</t>
  </si>
  <si>
    <t>66039900</t>
  </si>
  <si>
    <t>财务费用_结转</t>
  </si>
  <si>
    <t>665000</t>
  </si>
  <si>
    <t>61010000</t>
  </si>
  <si>
    <t>公允价值变动损益</t>
  </si>
  <si>
    <t>666000</t>
  </si>
  <si>
    <t>FX - unhedged item revaluation</t>
  </si>
  <si>
    <t>66030203</t>
  </si>
  <si>
    <t>财务费用_未实现汇兑损失</t>
  </si>
  <si>
    <t>66030204</t>
  </si>
  <si>
    <t>财务费用_未实现汇兑收益</t>
  </si>
  <si>
    <t>66030205</t>
  </si>
  <si>
    <t>财务费用_汇兑损益重分类</t>
  </si>
  <si>
    <t>666110</t>
  </si>
  <si>
    <t>FX - hedged item revaluation</t>
  </si>
  <si>
    <t>66030605</t>
  </si>
  <si>
    <t>财务费用_套期保值项目的汇率重估损益</t>
  </si>
  <si>
    <t>666120</t>
  </si>
  <si>
    <t>FX - Effective part deriv. - Unrealized</t>
  </si>
  <si>
    <t>66030601</t>
  </si>
  <si>
    <t>财务费用_套期保值损益未实现有效部分</t>
  </si>
  <si>
    <t>666200</t>
  </si>
  <si>
    <t>FX  - Ineff. part CFH - Unrealized</t>
  </si>
  <si>
    <t>66030603</t>
  </si>
  <si>
    <t>财务费用_套期保值损益未实现未生效部分</t>
  </si>
  <si>
    <t>676000</t>
  </si>
  <si>
    <t>FX- Unhedged item - realized gain &amp; loss</t>
  </si>
  <si>
    <t>66030201</t>
  </si>
  <si>
    <t>财务费用_已实现汇兑损失</t>
  </si>
  <si>
    <t>66030202</t>
  </si>
  <si>
    <t>财务费用_已实现汇兑收益</t>
  </si>
  <si>
    <t>676110</t>
  </si>
  <si>
    <t>FX - Hedged item - realized gain &amp; loss</t>
  </si>
  <si>
    <t>66030606</t>
  </si>
  <si>
    <t>财务费用_套期保值项目的已实现汇兑损益</t>
  </si>
  <si>
    <t>676120</t>
  </si>
  <si>
    <t>FX - Effective part of deriv. - realized</t>
  </si>
  <si>
    <t>66030602</t>
  </si>
  <si>
    <t>财务费用_套期保值损益已实现有效部分</t>
  </si>
  <si>
    <t>676200</t>
  </si>
  <si>
    <t>FX - Ineff. part CFH - Realized</t>
  </si>
  <si>
    <t>66030604</t>
  </si>
  <si>
    <t>财务费用_套期保值损益已实现未生效部分</t>
  </si>
  <si>
    <t>682100</t>
  </si>
  <si>
    <t>Depreciation Charge Tangible Assets</t>
  </si>
  <si>
    <t>64010340</t>
  </si>
  <si>
    <t>主营业务成本耗量差异-折旧</t>
  </si>
  <si>
    <t>66010200</t>
  </si>
  <si>
    <t>销售费用_折旧费</t>
  </si>
  <si>
    <t>66020200</t>
  </si>
  <si>
    <t>管理费用_折旧费</t>
  </si>
  <si>
    <t>66021603</t>
  </si>
  <si>
    <t>管理费用_研究开发费_折旧费</t>
  </si>
  <si>
    <t>682300</t>
  </si>
  <si>
    <t>Depreciation Charge Intangible Assets</t>
  </si>
  <si>
    <t>66020801</t>
  </si>
  <si>
    <t>管理费用_土地使用权摊销</t>
  </si>
  <si>
    <t>66020802</t>
  </si>
  <si>
    <t>管理费用_专有技术摊销</t>
  </si>
  <si>
    <t>66020803</t>
  </si>
  <si>
    <t>管理费用_软件（外购）摊销</t>
  </si>
  <si>
    <t>682400</t>
  </si>
  <si>
    <t>67010300</t>
  </si>
  <si>
    <t>资产减值损失-固定资产</t>
  </si>
  <si>
    <t>682500</t>
  </si>
  <si>
    <t>67010400</t>
  </si>
  <si>
    <t>资产减值损失-无形资产</t>
  </si>
  <si>
    <t>683000</t>
  </si>
  <si>
    <t>Res./ Inventory Depreciations (D)/A</t>
  </si>
  <si>
    <t>66022000</t>
  </si>
  <si>
    <t>管理费用_存货跌价准备</t>
  </si>
  <si>
    <t>67010200</t>
  </si>
  <si>
    <t>资产减值损失-存货</t>
  </si>
  <si>
    <t>684100</t>
  </si>
  <si>
    <t>66022100</t>
  </si>
  <si>
    <t>管理费用_坏账准备</t>
  </si>
  <si>
    <t>67010100</t>
  </si>
  <si>
    <t>资产减值损失-应收帐款</t>
  </si>
  <si>
    <t>687600</t>
  </si>
  <si>
    <t>Restructuring Costs Not Cover</t>
  </si>
  <si>
    <t>67110200</t>
  </si>
  <si>
    <t>营业外支出_重组</t>
  </si>
  <si>
    <t>695000</t>
  </si>
  <si>
    <t>68010100</t>
  </si>
  <si>
    <t>所得税费用-当年</t>
  </si>
  <si>
    <t>696000</t>
  </si>
  <si>
    <t>Income Tax Deferred</t>
  </si>
  <si>
    <t>68010200</t>
  </si>
  <si>
    <t>所得税费用-递延</t>
  </si>
  <si>
    <t>700300</t>
  </si>
  <si>
    <t>Sales Actual Metal Price</t>
  </si>
  <si>
    <t>60010111</t>
  </si>
  <si>
    <t>主营业务收入-内销--第三方-自制产品</t>
  </si>
  <si>
    <t>60010112</t>
  </si>
  <si>
    <t>主营业务收入-内销--第三方-贸易产品</t>
  </si>
  <si>
    <t>60010113</t>
  </si>
  <si>
    <t>主营业务收入-内销--第三方-暂估</t>
  </si>
  <si>
    <t>60010121</t>
  </si>
  <si>
    <t>主营业务收入-内销--关联方-自制产品</t>
  </si>
  <si>
    <t>60010122</t>
  </si>
  <si>
    <t>主营业务收入-内销--关联方-贸易产品</t>
  </si>
  <si>
    <t>60010210</t>
  </si>
  <si>
    <t>主营业务收入-出口-第三方</t>
  </si>
  <si>
    <t>60010211</t>
  </si>
  <si>
    <t>主营业务收入-出口-第三方-自制产品</t>
  </si>
  <si>
    <t>60010212</t>
  </si>
  <si>
    <t>主营业务收入-出口-第三方-贸易产品</t>
  </si>
  <si>
    <t>60010213</t>
  </si>
  <si>
    <t>主营业务收入-出口-第三方-出口转内销</t>
  </si>
  <si>
    <t>60010221</t>
  </si>
  <si>
    <t>主营业务收入-出口-关联方-自制产品</t>
  </si>
  <si>
    <t>60010222</t>
  </si>
  <si>
    <t>主营业务收入-出口-关联方-贸易产品</t>
  </si>
  <si>
    <t>60010230</t>
  </si>
  <si>
    <t>主营业务收入-出口-关联方-出口转内销</t>
  </si>
  <si>
    <t>710510</t>
  </si>
  <si>
    <t>Copper Price Effect</t>
  </si>
  <si>
    <t>64010210</t>
  </si>
  <si>
    <t>主营业务成本价格差异-铜</t>
  </si>
  <si>
    <t>710511</t>
  </si>
  <si>
    <t>64010215</t>
  </si>
  <si>
    <t>主营业务成本价格差异-铝</t>
  </si>
  <si>
    <t>740000</t>
  </si>
  <si>
    <t>61110000</t>
  </si>
  <si>
    <t>751301</t>
  </si>
  <si>
    <t>60510299</t>
  </si>
  <si>
    <t>其他业务收入-集团佣金</t>
  </si>
  <si>
    <t>757000</t>
  </si>
  <si>
    <t>P/L Trading non ferrous metals</t>
  </si>
  <si>
    <t>61110001</t>
  </si>
  <si>
    <t>投资收益_未实现金属套期保值</t>
  </si>
  <si>
    <t>760000</t>
  </si>
  <si>
    <t>66030102</t>
  </si>
  <si>
    <t>财务费用_利息收入_关联方</t>
  </si>
  <si>
    <t>66030103</t>
  </si>
  <si>
    <t>财务费用_利息收入_现金池</t>
  </si>
  <si>
    <t>775501</t>
  </si>
  <si>
    <t>Gross Inc.on Disposal intang.assets&amp;PPE</t>
  </si>
  <si>
    <t>63010100</t>
  </si>
  <si>
    <t>营业外收入-固定资产处置净收入</t>
  </si>
  <si>
    <t>775502</t>
  </si>
  <si>
    <t>NBV disposals assets&amp;PPE</t>
  </si>
  <si>
    <t>67110100</t>
  </si>
  <si>
    <t>营业外支出_固定资产处置净损失</t>
  </si>
  <si>
    <t>67110150</t>
  </si>
  <si>
    <t>营业外支出_无形资产处置净损失</t>
  </si>
  <si>
    <t>90010000</t>
  </si>
  <si>
    <t>50010000</t>
  </si>
  <si>
    <t>生产成本</t>
  </si>
  <si>
    <t>51010100</t>
  </si>
  <si>
    <t>制造费用_工资</t>
  </si>
  <si>
    <t>51010110</t>
  </si>
  <si>
    <t>制造费用_四金</t>
  </si>
  <si>
    <t>51010120</t>
  </si>
  <si>
    <t>制造费用_福利费</t>
  </si>
  <si>
    <t>51010130</t>
  </si>
  <si>
    <t>制造费用_外包劳务费</t>
  </si>
  <si>
    <t>51010200</t>
  </si>
  <si>
    <t>制造费用_折旧费</t>
  </si>
  <si>
    <t>51010301</t>
  </si>
  <si>
    <t>制造费用_修理费_建筑物</t>
  </si>
  <si>
    <t>51010302</t>
  </si>
  <si>
    <t>制造费用_修理费_车辆</t>
  </si>
  <si>
    <t>51010303</t>
  </si>
  <si>
    <t>制造费用_修理费_机器设备</t>
  </si>
  <si>
    <t>51010304</t>
  </si>
  <si>
    <t>制造费用_修理费_备件</t>
  </si>
  <si>
    <t>51010305</t>
  </si>
  <si>
    <t>制造费用_修理费_其他</t>
  </si>
  <si>
    <t>51010400</t>
  </si>
  <si>
    <t>制造费用_物料消耗</t>
  </si>
  <si>
    <t>51010500</t>
  </si>
  <si>
    <t>制造费用_低值易耗品摊销</t>
  </si>
  <si>
    <t>51010600</t>
  </si>
  <si>
    <t>制造费用_劳动保护费</t>
  </si>
  <si>
    <t>51010700</t>
  </si>
  <si>
    <t>制造费用_电费</t>
  </si>
  <si>
    <t>51010800</t>
  </si>
  <si>
    <t>制造费用_水费</t>
  </si>
  <si>
    <t>51010900</t>
  </si>
  <si>
    <t>制造费用_办公费</t>
  </si>
  <si>
    <t>51011001</t>
  </si>
  <si>
    <t>制造费用-差旅费-交通</t>
  </si>
  <si>
    <t>51011002</t>
  </si>
  <si>
    <t>制造费用-差旅费-住宿</t>
  </si>
  <si>
    <t>51011003</t>
  </si>
  <si>
    <t>制造费用-差旅费-餐费</t>
  </si>
  <si>
    <t>51012100</t>
  </si>
  <si>
    <t>制造费用-市内车费</t>
  </si>
  <si>
    <t>51012200</t>
  </si>
  <si>
    <t>制造费用-手机费</t>
  </si>
  <si>
    <t>51012300</t>
  </si>
  <si>
    <t>制造费用-固话费</t>
  </si>
  <si>
    <t>51012400</t>
  </si>
  <si>
    <t>制造费用-业务招待费</t>
  </si>
  <si>
    <t>51012500</t>
  </si>
  <si>
    <t>制造费用-快递费</t>
  </si>
  <si>
    <t>51013000</t>
  </si>
  <si>
    <t>制造费用-运输费</t>
  </si>
  <si>
    <t>51013100</t>
  </si>
  <si>
    <t>制造费用-保险费</t>
  </si>
  <si>
    <t>51013200</t>
  </si>
  <si>
    <t>制造费用-租赁费</t>
  </si>
  <si>
    <t>51013300</t>
  </si>
  <si>
    <t>制造费用-燃气费</t>
  </si>
  <si>
    <t>51013900</t>
  </si>
  <si>
    <t>制造费用_其他</t>
  </si>
  <si>
    <t>51019900</t>
  </si>
  <si>
    <t>制造费用_结转</t>
  </si>
  <si>
    <t>94010010</t>
  </si>
  <si>
    <t>51020200</t>
  </si>
  <si>
    <t>间接生产成本-折旧费</t>
  </si>
  <si>
    <t>51029900</t>
  </si>
  <si>
    <t>间接生产成本-结转</t>
  </si>
  <si>
    <t>64010240</t>
  </si>
  <si>
    <t>主营业务成本价格差异-折旧</t>
  </si>
  <si>
    <t>64010250</t>
  </si>
  <si>
    <t>主营业务成本价格差异-间接成本</t>
  </si>
  <si>
    <t>64010350</t>
  </si>
  <si>
    <t>主营业务成本耗量差异-间接成本</t>
  </si>
  <si>
    <t>64010410</t>
  </si>
  <si>
    <t xml:space="preserve"> 主营业务成本-其他</t>
  </si>
  <si>
    <t>64010430</t>
  </si>
  <si>
    <t>主营业务成本-第三方-暂估</t>
  </si>
  <si>
    <t>99010000</t>
  </si>
  <si>
    <t>69010000</t>
  </si>
  <si>
    <t>999999</t>
  </si>
  <si>
    <t>99999998</t>
  </si>
  <si>
    <t>ESS 中转科目</t>
  </si>
  <si>
    <t>99999999</t>
  </si>
  <si>
    <t>期初余额临时科目</t>
  </si>
  <si>
    <t>Group account</t>
  </si>
  <si>
    <t>PRC account</t>
  </si>
  <si>
    <t>Amount</t>
  </si>
  <si>
    <t>Comments</t>
  </si>
  <si>
    <t>To reclassify other operating income to SALES and COGS according to NEW GAAP</t>
  </si>
  <si>
    <t>Control</t>
  </si>
  <si>
    <t>Retained earnings</t>
  </si>
  <si>
    <t>Sales</t>
  </si>
  <si>
    <t>Taxes payable</t>
  </si>
  <si>
    <t>Cost of sales</t>
  </si>
  <si>
    <t>Reversal accrued sales</t>
  </si>
  <si>
    <t>Mazars adjustment under PRC GAAP</t>
  </si>
  <si>
    <t>PRC JA#3</t>
  </si>
  <si>
    <t>L310</t>
  </si>
  <si>
    <t>5</t>
  </si>
  <si>
    <t>M300</t>
  </si>
  <si>
    <t>Other current asset</t>
  </si>
  <si>
    <t>Other current  liability</t>
  </si>
  <si>
    <t>6</t>
  </si>
  <si>
    <t>L110</t>
  </si>
  <si>
    <t>To adjust the tax refund of December 2018</t>
  </si>
  <si>
    <t>N210</t>
  </si>
  <si>
    <t>G&amp;A expense</t>
  </si>
  <si>
    <t>Diff</t>
  </si>
  <si>
    <t>12/31/18</t>
  </si>
  <si>
    <t>Impairment loss</t>
  </si>
  <si>
    <t>To reclassify the impairment loss</t>
  </si>
  <si>
    <t>To reclassify the negative balance from assets to liabilities</t>
  </si>
  <si>
    <t>Non- operating income</t>
  </si>
  <si>
    <t>3</t>
  </si>
  <si>
    <t xml:space="preserve">Prepayment </t>
  </si>
  <si>
    <t>Accounts payable</t>
  </si>
  <si>
    <t>To net off the double booked balance.</t>
  </si>
  <si>
    <t>资产减值损失</t>
  </si>
  <si>
    <t>应收帐款</t>
  </si>
  <si>
    <t>存货跌价准备</t>
  </si>
  <si>
    <t>预付帐款</t>
  </si>
  <si>
    <t>待摊费用</t>
  </si>
  <si>
    <t>工程物资</t>
  </si>
  <si>
    <t>长期待摊费用</t>
  </si>
  <si>
    <t>应付帐款</t>
  </si>
  <si>
    <t>预收货款</t>
  </si>
  <si>
    <t>应付工资</t>
  </si>
  <si>
    <t>递延所得税负债</t>
  </si>
  <si>
    <t>预提费用</t>
  </si>
  <si>
    <t>其他流动负债</t>
  </si>
  <si>
    <t>一年内到期的长期借款</t>
  </si>
  <si>
    <t>长期借款</t>
  </si>
  <si>
    <t>实收资本</t>
  </si>
  <si>
    <t>资本公积</t>
  </si>
  <si>
    <t>盈余公积</t>
  </si>
  <si>
    <t>留存收益</t>
  </si>
  <si>
    <t>销售收入</t>
  </si>
  <si>
    <t>销售税金</t>
  </si>
  <si>
    <t>销售成本</t>
  </si>
  <si>
    <t>销售费用</t>
  </si>
  <si>
    <t>管理费用</t>
  </si>
  <si>
    <t>财务费用</t>
  </si>
  <si>
    <t>营业外收入</t>
  </si>
  <si>
    <t>营业外支出</t>
  </si>
  <si>
    <t>所得税</t>
  </si>
  <si>
    <t>净利润</t>
  </si>
  <si>
    <t>经营活动产生的现金流量</t>
  </si>
  <si>
    <t>- 销售商品,提供劳务收到的现金</t>
  </si>
  <si>
    <t xml:space="preserve">- 收到的税费返还 </t>
  </si>
  <si>
    <t>- 收到的其他与经营活动有关的现金</t>
  </si>
  <si>
    <t>现金流入小计</t>
  </si>
  <si>
    <t xml:space="preserve">- 购买商品,接受劳务支付的现金 </t>
  </si>
  <si>
    <t>- 支付给职工以及为职工支付的现金</t>
  </si>
  <si>
    <t>- 支付的各项税费</t>
  </si>
  <si>
    <t>- 支付的其他与经营活动有关的现金</t>
  </si>
  <si>
    <t>现金流出小计</t>
  </si>
  <si>
    <t>Net off 预计负债 with COGS</t>
  </si>
  <si>
    <t>经营活动产生的现金流量净额</t>
  </si>
  <si>
    <t>投资活动产生的现金流量</t>
  </si>
  <si>
    <t>- 收回投资所收到的现金</t>
  </si>
  <si>
    <t>- 取得投资收益所收到的现金</t>
  </si>
  <si>
    <t>- 处置固定资产,无形资产和其他长期资产而收到的现金净额</t>
  </si>
  <si>
    <t>- 收到的其他与投资活动有关的现金</t>
  </si>
  <si>
    <t>-购建固定资产,无形资产和其他长期资产所支付的现金</t>
  </si>
  <si>
    <t>- 投资所支付的现金</t>
  </si>
  <si>
    <t>- 支付的其他与投资活动有关的现金</t>
  </si>
  <si>
    <t>投资活动产生的现金流量净额</t>
  </si>
  <si>
    <t>筹资活动产生的现金流量</t>
  </si>
  <si>
    <t>- 吸收投资所收到的现金</t>
  </si>
  <si>
    <t>- 借款所收到的现金</t>
  </si>
  <si>
    <t>- 收到的其他与筹资活动有关的现金</t>
  </si>
  <si>
    <t>- 偿还债务所支付的现金</t>
  </si>
  <si>
    <t>- 分配股利、利润或偿付利息所支付的现金</t>
  </si>
  <si>
    <t>- 支付的其他与筹资活动有关的现金</t>
  </si>
  <si>
    <t>- 其他</t>
  </si>
  <si>
    <t>筹资活动产生的现金流量净额</t>
  </si>
  <si>
    <t>汇率变动对现金的影响额</t>
  </si>
  <si>
    <t>现金及现金等价物净增加额</t>
  </si>
  <si>
    <t>将净利润调节为经营活动的现金流量</t>
  </si>
  <si>
    <t>Reclassify VAT to be deducted</t>
  </si>
  <si>
    <t>PRC JA#12</t>
  </si>
  <si>
    <t>PRC JA#13</t>
  </si>
  <si>
    <t>Net-off  inventory disposal</t>
  </si>
  <si>
    <t>＋存货报废损失</t>
  </si>
  <si>
    <t>Net-off 长期借款汇率变动 with R/E:</t>
  </si>
  <si>
    <t>D310</t>
  </si>
  <si>
    <t>Fixed asset</t>
  </si>
  <si>
    <t>Reclassify the completed project to fixed asset</t>
  </si>
  <si>
    <t>N110</t>
  </si>
  <si>
    <t>Reclassify the payables according to the nature</t>
  </si>
  <si>
    <t>YS</t>
  </si>
  <si>
    <t>51010103</t>
  </si>
  <si>
    <t>51010102</t>
  </si>
  <si>
    <t>51010101</t>
  </si>
  <si>
    <t>51010104</t>
  </si>
  <si>
    <t>51010105</t>
  </si>
  <si>
    <t>51010106</t>
  </si>
  <si>
    <t>51010116</t>
  </si>
  <si>
    <t>51010111</t>
  </si>
  <si>
    <t>51010112</t>
  </si>
  <si>
    <t>51010115</t>
  </si>
  <si>
    <t>51010114</t>
  </si>
  <si>
    <t>51010113</t>
  </si>
  <si>
    <t>66020103</t>
  </si>
  <si>
    <t>66020102</t>
  </si>
  <si>
    <t>66020101</t>
  </si>
  <si>
    <t>66020104</t>
  </si>
  <si>
    <t>66020105</t>
  </si>
  <si>
    <t>66020106</t>
  </si>
  <si>
    <t>66021620</t>
  </si>
  <si>
    <t>66021619</t>
  </si>
  <si>
    <t>66021618</t>
  </si>
  <si>
    <t>66021621</t>
  </si>
  <si>
    <t>66021622</t>
  </si>
  <si>
    <t>66021623</t>
  </si>
  <si>
    <t>66021629</t>
  </si>
  <si>
    <t>66021624</t>
  </si>
  <si>
    <t>66021625</t>
  </si>
  <si>
    <t>66021628</t>
  </si>
  <si>
    <t>66021627</t>
  </si>
  <si>
    <t>66021626</t>
  </si>
  <si>
    <t>66020116</t>
  </si>
  <si>
    <t>66020111</t>
  </si>
  <si>
    <t>66020112</t>
  </si>
  <si>
    <t>66020115</t>
  </si>
  <si>
    <t>66020114</t>
  </si>
  <si>
    <t>66020113</t>
  </si>
  <si>
    <t>66010103</t>
  </si>
  <si>
    <t>66010102</t>
  </si>
  <si>
    <t>66010101</t>
  </si>
  <si>
    <t>66010104</t>
  </si>
  <si>
    <t>66010105</t>
  </si>
  <si>
    <t>66010106</t>
  </si>
  <si>
    <t>66010116</t>
  </si>
  <si>
    <t>66010111</t>
  </si>
  <si>
    <t>66010112</t>
  </si>
  <si>
    <t>66010115</t>
  </si>
  <si>
    <t>66010114</t>
  </si>
  <si>
    <t>66010113</t>
  </si>
  <si>
    <t>51020103</t>
  </si>
  <si>
    <t>51020102</t>
  </si>
  <si>
    <t>51020101</t>
  </si>
  <si>
    <t>51020104</t>
  </si>
  <si>
    <t>51020105</t>
  </si>
  <si>
    <t>51020106</t>
  </si>
  <si>
    <t>51020116</t>
  </si>
  <si>
    <t>51020111</t>
  </si>
  <si>
    <t>51020112</t>
  </si>
  <si>
    <t>51020115</t>
  </si>
  <si>
    <t>51020114</t>
  </si>
  <si>
    <t>51020113</t>
  </si>
  <si>
    <t>制造费用-工资-13薪</t>
  </si>
  <si>
    <t>制造费用-工资-加班工资</t>
  </si>
  <si>
    <t>制造费用-工资-基本工资</t>
  </si>
  <si>
    <t>制造费用-工资-奖金</t>
  </si>
  <si>
    <t>制造费用-工资-房贴</t>
  </si>
  <si>
    <t>制造费用-工资-离职补偿金</t>
  </si>
  <si>
    <t>制造费用-社保-公积金</t>
  </si>
  <si>
    <t>制造费用-社保-养老保险</t>
  </si>
  <si>
    <t>制造费用-社保-医疗保险</t>
  </si>
  <si>
    <t>制造费用-社保-失业保险</t>
  </si>
  <si>
    <t>制造费用-社保-工伤保险</t>
  </si>
  <si>
    <t>制造费用-社保-生育保险</t>
  </si>
  <si>
    <t>管理费用-工资-13薪</t>
  </si>
  <si>
    <t>管理费用-工资-加班工资</t>
  </si>
  <si>
    <t>管理费用-工资-基本工资</t>
  </si>
  <si>
    <t>管理费用-工资-奖金</t>
  </si>
  <si>
    <t>管理费用-工资-房贴</t>
  </si>
  <si>
    <t>管理费用-工资-离职补偿金</t>
  </si>
  <si>
    <t>管理费用-研究开发费-工资-13薪</t>
  </si>
  <si>
    <t>管理费用-研究开发费-工资-加班工资</t>
  </si>
  <si>
    <t>管理费用-研究开发费-工资-基本工资</t>
  </si>
  <si>
    <t>管理费用-研究开发费-工资-奖金</t>
  </si>
  <si>
    <t>管理费用-研究开发费-工资-房贴</t>
  </si>
  <si>
    <t>管理费用-研究开发费-工资-离职补偿金</t>
  </si>
  <si>
    <t>管理费用-研究开发费-社保-公积金</t>
  </si>
  <si>
    <t>管理费用-研究开发费-社保-养老保险</t>
  </si>
  <si>
    <t>管理费用-研究开发费-社保-医疗保险</t>
  </si>
  <si>
    <t>管理费用-研究开发费-社保-失业保险</t>
  </si>
  <si>
    <t>管理费用-研究开发费-社保-工伤保险</t>
  </si>
  <si>
    <t>管理费用-研究开发费-社保-生育保险</t>
  </si>
  <si>
    <t>管理费用-社保-公积金</t>
  </si>
  <si>
    <t>管理费用-社保-养老保险</t>
  </si>
  <si>
    <t>管理费用-社保-医疗保险</t>
  </si>
  <si>
    <t>管理费用-社保-失业保险</t>
  </si>
  <si>
    <t>管理费用-社保-工伤保险</t>
  </si>
  <si>
    <t>管理费用-社保-生育保险</t>
  </si>
  <si>
    <t>销售费用-工资-13薪</t>
  </si>
  <si>
    <t>销售费用-工资-加班工资</t>
  </si>
  <si>
    <t>销售费用-工资-基本工资</t>
  </si>
  <si>
    <t>销售费用-工资-奖金</t>
  </si>
  <si>
    <t>销售费用-工资-房贴</t>
  </si>
  <si>
    <t>销售费用-工资-离职补偿金</t>
  </si>
  <si>
    <t>销售费用-社保-公积金</t>
  </si>
  <si>
    <t>销售费用-社保-养老保险</t>
  </si>
  <si>
    <t>销售费用-社保-医疗保险</t>
  </si>
  <si>
    <t>销售费用-社保-失业保险</t>
  </si>
  <si>
    <t>销售费用-社保-工伤保险</t>
  </si>
  <si>
    <t>销售费用-社保-生育保险</t>
  </si>
  <si>
    <t>间接生产成本-工资-13薪</t>
  </si>
  <si>
    <t>间接生产成本-工资-加班工资</t>
  </si>
  <si>
    <t>间接生产成本-工资-基本工资</t>
  </si>
  <si>
    <t>间接生产成本-工资-奖金</t>
  </si>
  <si>
    <t>间接生产成本-工资-房贴</t>
  </si>
  <si>
    <t>间接生产成本-工资-离职补偿金</t>
  </si>
  <si>
    <t>间接生产成本-社保-公积金</t>
  </si>
  <si>
    <t>间接生产成本-社保-养老保险</t>
  </si>
  <si>
    <t>间接生产成本-社保-医疗保险</t>
  </si>
  <si>
    <t>间接生产成本-社保-失业保险</t>
  </si>
  <si>
    <t>间接生产成本-社保-工伤保险</t>
  </si>
  <si>
    <t>间接生产成本-社保-生育保险</t>
  </si>
  <si>
    <t/>
  </si>
  <si>
    <t>Price Var. of labor SDC</t>
  </si>
  <si>
    <t>Aluminium Price Effect</t>
  </si>
  <si>
    <t>Material and other SDC</t>
  </si>
  <si>
    <t>Fixed costs in inventories net</t>
  </si>
  <si>
    <t>Copper SDC</t>
  </si>
  <si>
    <t>Aluminium SDC</t>
  </si>
  <si>
    <t>Adjustment for fair value</t>
  </si>
  <si>
    <t>Commissions Received Cross Sales</t>
  </si>
  <si>
    <t>Income Tax Current</t>
  </si>
  <si>
    <t>Investments and R&amp;D Grants</t>
  </si>
  <si>
    <t>Res ST Outs Trade Rec (A)R</t>
  </si>
  <si>
    <t>Local Dev. &amp; Assistance Engineering</t>
  </si>
  <si>
    <t>Generic R &amp; D</t>
  </si>
  <si>
    <t>Interest Income on intragroup Loans</t>
  </si>
  <si>
    <t>Impairment on Tangible Assets</t>
  </si>
  <si>
    <t>Impairment on Intangible Assets</t>
  </si>
  <si>
    <t>Packaging</t>
  </si>
  <si>
    <t>Other Direct Marketing Expenses</t>
  </si>
  <si>
    <t>Transport</t>
  </si>
  <si>
    <t>Commissions</t>
  </si>
  <si>
    <t>Commissions Paid Cross Sales</t>
  </si>
  <si>
    <t>DZ</t>
  </si>
  <si>
    <t>JX</t>
  </si>
  <si>
    <t>500T</t>
  </si>
  <si>
    <t>41T</t>
  </si>
  <si>
    <t>26TC</t>
  </si>
  <si>
    <t>263TC</t>
  </si>
  <si>
    <t>Loans &amp; Financial Receivables CT</t>
  </si>
  <si>
    <t>Group Code</t>
  </si>
  <si>
    <t>Tax Payables+Other current liabilities-CT</t>
  </si>
  <si>
    <t>445T+455T</t>
  </si>
  <si>
    <t>450T</t>
  </si>
  <si>
    <t>512T</t>
  </si>
  <si>
    <t>30T</t>
  </si>
  <si>
    <t>211T</t>
  </si>
  <si>
    <t>208T</t>
  </si>
  <si>
    <t>1551T</t>
  </si>
  <si>
    <t>51T</t>
  </si>
  <si>
    <t>161T</t>
  </si>
  <si>
    <t>40T</t>
  </si>
  <si>
    <t>456T</t>
  </si>
  <si>
    <t>405T</t>
  </si>
  <si>
    <t>101000</t>
  </si>
  <si>
    <t>112T</t>
  </si>
  <si>
    <t>106G</t>
  </si>
  <si>
    <t>120000</t>
  </si>
  <si>
    <t>66010117</t>
  </si>
  <si>
    <t>销售费用-社保-残保金</t>
  </si>
  <si>
    <t>Right of utilization, net</t>
  </si>
  <si>
    <t>217T</t>
  </si>
  <si>
    <t>IFRS 16 financial debt NCT</t>
  </si>
  <si>
    <t>IFRS 16 financial debt CT</t>
  </si>
  <si>
    <t>1607T</t>
  </si>
  <si>
    <t>1617T</t>
  </si>
  <si>
    <t>Interest Payable-third party</t>
  </si>
  <si>
    <t>For the Year ended 31 December 2019 ("the Year")</t>
  </si>
  <si>
    <t>2019.12.31</t>
  </si>
  <si>
    <t>2019,1-12</t>
  </si>
  <si>
    <t>2018,1-12</t>
  </si>
  <si>
    <t>CZC</t>
  </si>
  <si>
    <t>Entrusted loan receivable</t>
  </si>
  <si>
    <t>Other current assets-metal</t>
  </si>
  <si>
    <t>委托贷款</t>
  </si>
  <si>
    <t>700300T - Sales actual metal price</t>
  </si>
  <si>
    <t>Per PRC</t>
  </si>
  <si>
    <t>60010500</t>
  </si>
  <si>
    <t>主营业务收入-sales rebate</t>
  </si>
  <si>
    <t>710510-Copper Price Effect</t>
  </si>
  <si>
    <t>601100-Material and other SDC</t>
  </si>
  <si>
    <t>601200-Price Var. of Mat. &amp; Other SDC</t>
    <phoneticPr fontId="3" type="noConversion"/>
  </si>
  <si>
    <t>6031T-Manufacturing variances</t>
  </si>
  <si>
    <t>6032T-Inventory Adjustments</t>
  </si>
  <si>
    <t>6033T-Metal result</t>
  </si>
  <si>
    <t>6034T-Direct Marketing Expenses</t>
    <phoneticPr fontId="3" type="noConversion"/>
  </si>
  <si>
    <t>6820T Total Depreciation</t>
  </si>
  <si>
    <t>6104T Total Indirect Production Costs</t>
  </si>
  <si>
    <t>6840T Operating Reserves</t>
  </si>
  <si>
    <t>6201T Total Indirect Marketing Expenses</t>
  </si>
  <si>
    <t>6202T Total Admin &amp; General Expenses</t>
  </si>
  <si>
    <t>6510T R &amp; D Net</t>
    <phoneticPr fontId="3" type="noConversion"/>
  </si>
  <si>
    <t>6520T Oth Operating Inc/Exp</t>
  </si>
  <si>
    <t>680T - impairment</t>
  </si>
  <si>
    <t>757T P&amp;L No ferrous metals</t>
    <phoneticPr fontId="3" type="noConversion"/>
  </si>
  <si>
    <t>775502 NBV disposals assets&amp;PPE</t>
    <phoneticPr fontId="3" type="noConversion"/>
  </si>
  <si>
    <t>757500 Cancellation of the Res. metal commitmt.</t>
  </si>
  <si>
    <t>6870T - Restructuring costs</t>
  </si>
  <si>
    <t>760T - Net financial result</t>
  </si>
  <si>
    <t>695T - Income tax</t>
  </si>
  <si>
    <t>PL</t>
  </si>
  <si>
    <t>主营业务成本-其他</t>
  </si>
  <si>
    <t>Per Group account</t>
  </si>
  <si>
    <t>PRC account name</t>
  </si>
  <si>
    <t>PRC account No.</t>
  </si>
  <si>
    <t>N/A</t>
  </si>
  <si>
    <t>Tax Payable</t>
  </si>
  <si>
    <t>Adjustment on income tax</t>
  </si>
  <si>
    <t>B110</t>
  </si>
  <si>
    <t>Receipts in Advance</t>
  </si>
  <si>
    <t>Reclassify the negative amount in AR to RIA</t>
  </si>
  <si>
    <t>Sales increased mainly thanks to more direct purchase orders by RMB 120 million (some orders were placed to Nexans NSH and Nexans KAN in 2018) as well as organic business increase by RMB 71 million in 2019:</t>
  </si>
  <si>
    <t>Rolling stocks is the main product of Nexans SUZ. The increased sales is mainly from key customers of CRRC entities, Wuhan Hennan Co., Ltd. and Shanghai Zhequn Co., Ltd..</t>
  </si>
  <si>
    <t>Sales for cabling solution increased mainly due to Nexans KAN and SHANGHAI SUPER INTELLIGENT SYSTEM.</t>
  </si>
  <si>
    <t>Shipbuilding sales decreased mainly caused by Zhuobai Electric Co., Ltd..</t>
  </si>
  <si>
    <t>CRRC entities is the major customer of Nexans SUZ, CRRC entities mainly purchased rolling stocks and contributed 33% of the rolling stocks sales or 19% of the total sales</t>
  </si>
  <si>
    <r>
      <t xml:space="preserve">Wuhan Hennan Co., Ltd. and Shanghai Zhequn Co., Ltd. purchased rolling stocks from Nexans SUZ, </t>
    </r>
    <r>
      <rPr>
        <sz val="9"/>
        <color rgb="FF8E258D"/>
        <rFont val="Times New Roman"/>
        <family val="1"/>
      </rPr>
      <t xml:space="preserve">and </t>
    </r>
    <r>
      <rPr>
        <sz val="9"/>
        <color rgb="FF000000"/>
        <rFont val="Times New Roman"/>
        <family val="1"/>
      </rPr>
      <t xml:space="preserve">contributed 6% of the total sales. </t>
    </r>
  </si>
  <si>
    <t>SHANGHAI SUPER INTELLIGENT SYSTEM was transferred from Nexans KAN and purchased cabling solution.</t>
  </si>
  <si>
    <t>Hensen (HK) Industrial Co., Ltd. was transferred from Nexans NSH and purchased  shipbuilding cables.</t>
  </si>
  <si>
    <t>The GP ratio increased mainly due to the sales of rolling stock with higher GP ratio incrased a lot in Y2019.</t>
  </si>
  <si>
    <t>The increase of operating expenses is due to the following two reasons:</t>
  </si>
  <si>
    <t>1&gt;Along with the business transfer, sales staffs’ cost was transferred from Nexans Shanghai to Nexans SUZ of RMB 16M.</t>
  </si>
  <si>
    <t>2&gt; Other expenses such as transport fee increased in line with sales.</t>
  </si>
  <si>
    <t xml:space="preserve">Furthermore, Nexans NSH provided support service to Nexans SUZ on aspects of HR, purchase, finance and NHQ, charged service fee of RMB 13M. </t>
  </si>
  <si>
    <t>G&amp;A expenses increased mainly due to the following two reasons:</t>
  </si>
  <si>
    <t xml:space="preserve">1&gt;技术提成费 appeared as Nexans NSH charged out its staffs’ cost of RMB 11M to Nexans SUZ since their staffs provided service to the sales of Nexans SUZ. </t>
  </si>
  <si>
    <t>2&gt;From July NSH began charging salary &amp; related labor fees to NSZ.</t>
  </si>
  <si>
    <t>The decrease of financial Expense is mainly due to less short-tern loan borrowed.</t>
  </si>
  <si>
    <t>It's the investment income of copper hedging.</t>
  </si>
  <si>
    <t>It's mainly the gain of LCS invenotries(365K), which was transferred from KAN. And it also includes Steady post subsidies of 169K.</t>
  </si>
  <si>
    <t>It is mainly the disposal of FA.</t>
  </si>
  <si>
    <t>It includes 13M of inventory provisons and 10M of CIP provision.</t>
  </si>
  <si>
    <t>The decrease of cash is mainly due to the decreased loan and cash pooling.</t>
  </si>
  <si>
    <t>Bill receivables incresed mainly due to the increase of sales by 41%.</t>
  </si>
  <si>
    <t>Accounts receivable incresed mainly due to the increase of sales by 41%.</t>
  </si>
  <si>
    <t>The bad debt provision also increased mainly due to the company started to use the bad debt policy in 2019.</t>
  </si>
  <si>
    <t>It is the cash pooling and the company started to lend money instead of borrow from cash pool.</t>
  </si>
  <si>
    <t>The company also pay back all the other bank loans in 2019.</t>
  </si>
  <si>
    <t>The raw material increased by 17% compared with year as at 31 December 2018 because the volunn of sales increased.</t>
  </si>
  <si>
    <t>The decrease of WIP is mainly due that the Company has finished the production cycle of build shipping and delivered to clients.</t>
  </si>
  <si>
    <t>The increase of finsihed goods is due to the following reasons:</t>
  </si>
  <si>
    <t>1. The company accrued 12M sales of the consignment goods in last year while no such case in YTD 2019.</t>
  </si>
  <si>
    <t>2. Kan transferred the LCS line to SUZ and also the related inventories in YTD2019.</t>
  </si>
  <si>
    <t>3. Company prepared and delivered more to meet the demand of increasing sales.</t>
  </si>
  <si>
    <t>The company made an impairment of Aircraft line in CIP of 10M in 2019.</t>
  </si>
  <si>
    <t>The balance consists RMB 62,133K for related party, RMB 12,632 for third party and RMB 14,628K for accrued expense.</t>
  </si>
  <si>
    <t>1&gt;For related party, most of the balance is the cross charge fee and the freight &amp; package.</t>
  </si>
  <si>
    <t>2&gt;For third party, most o the balance is the package and spare parts.</t>
  </si>
  <si>
    <t>3&gt;For accrued expense is mainly the audit fee, landing tax fee, accrued freight, and other operating expense.</t>
  </si>
  <si>
    <t>The increased of OP balance is due to the increase charge fee to related party for RMB 46,090K not paid at year end .</t>
  </si>
  <si>
    <t>The increase balance is due to the increase of COGS according to the demand of production.</t>
  </si>
  <si>
    <t>The Company terminated with samsung and turned to cooperate with Dalian Zhongshihua, which is with lower price and longer credit terms:150 days(+).</t>
  </si>
  <si>
    <t>NB9</t>
  </si>
  <si>
    <t>Subject: 2019.12.31  Spreadsheet</t>
  </si>
  <si>
    <t>PRC JA#2</t>
  </si>
  <si>
    <t>R&amp;D expense</t>
  </si>
  <si>
    <t>Reclassification of R&amp;D expense</t>
  </si>
  <si>
    <t>B130</t>
  </si>
  <si>
    <t>Notes receivable</t>
  </si>
  <si>
    <t>Reclassification of bad debt provision for notes receivable</t>
  </si>
  <si>
    <t>To adjust under stated bad debt provision</t>
  </si>
  <si>
    <t>Prepayments</t>
  </si>
  <si>
    <t>Reclassification from prepayments to CIP</t>
  </si>
  <si>
    <t>G210</t>
  </si>
  <si>
    <t>Long-term loan due within one year</t>
  </si>
  <si>
    <t>Reclassification of long term loans which will be due in 2020</t>
  </si>
  <si>
    <t>R&amp;D expenses</t>
  </si>
  <si>
    <t xml:space="preserve">Cost of sales </t>
  </si>
  <si>
    <t>Receipt in advance</t>
  </si>
  <si>
    <t>C110</t>
  </si>
  <si>
    <t>Adjustment on sales of scraps</t>
  </si>
  <si>
    <t>Other payables-NSH</t>
  </si>
  <si>
    <t>A: 12/31/19</t>
  </si>
  <si>
    <t>12/31/19</t>
  </si>
  <si>
    <t>1-12/2019</t>
  </si>
  <si>
    <t>12</t>
  </si>
  <si>
    <t>Reclassify entrusted loans in cash pool according to New GAAP</t>
  </si>
  <si>
    <t>Investment income</t>
  </si>
  <si>
    <t>Reclassify the interest expense for cash pooling</t>
  </si>
  <si>
    <t>PRC JA#14</t>
  </si>
  <si>
    <t>PRC JA#15</t>
  </si>
  <si>
    <t>Net profit for the year</t>
  </si>
  <si>
    <t>Retained earnings at the beginning of the year</t>
  </si>
  <si>
    <t>Surplus reserve per Mazars</t>
  </si>
  <si>
    <t>Adjustment on reserve funds</t>
  </si>
  <si>
    <t>Cashflow statement</t>
    <phoneticPr fontId="7" type="noConversion"/>
  </si>
  <si>
    <t>A: 12/31/18</t>
  </si>
  <si>
    <t>12/31/17</t>
  </si>
  <si>
    <t>Diff</t>
    <phoneticPr fontId="7" type="noConversion"/>
  </si>
  <si>
    <t>1-12/2017</t>
  </si>
  <si>
    <t>1-12/2018</t>
  </si>
  <si>
    <t>Net-off B/D with P&amp;L:</t>
    <phoneticPr fontId="7" type="noConversion"/>
  </si>
  <si>
    <t>Net-off L-T defer exp amort with P&amp;L:</t>
    <phoneticPr fontId="7" type="noConversion"/>
  </si>
  <si>
    <t>Net-off IA amortization with P&amp;L:</t>
    <phoneticPr fontId="7" type="noConversion"/>
  </si>
  <si>
    <t>Net-off CIP impairment loss with P&amp;L:</t>
    <phoneticPr fontId="7" type="noConversion"/>
  </si>
  <si>
    <t>Net-off FA impairment loss with P&amp;L:</t>
    <phoneticPr fontId="7" type="noConversion"/>
  </si>
  <si>
    <t>Net-off profit with R/E</t>
    <phoneticPr fontId="7" type="noConversion"/>
  </si>
  <si>
    <t>Net-off income appropriation:</t>
    <phoneticPr fontId="7" type="noConversion"/>
  </si>
  <si>
    <t>check:</t>
    <phoneticPr fontId="7" type="noConversion"/>
  </si>
  <si>
    <t>Accounts receivable-bad debt provision</t>
  </si>
  <si>
    <t>+ 在建工程减值准备</t>
  </si>
  <si>
    <t>To adjust under accrued 13th salary and bonus</t>
  </si>
  <si>
    <t>SUAD #2</t>
  </si>
  <si>
    <t>Operating expenses</t>
  </si>
  <si>
    <t>G&amp;A Expenses</t>
  </si>
  <si>
    <t>Surplus reserve</t>
  </si>
  <si>
    <t>Company:Nexans Suzhou Cable Solutions Co., Ltd. (“the Company”)</t>
    <phoneticPr fontId="2" type="noConversion"/>
  </si>
  <si>
    <t>Per M/A under PRC GAAP</t>
    <phoneticPr fontId="6" type="noConversion"/>
  </si>
  <si>
    <t>PRC JA#1</t>
    <phoneticPr fontId="6" type="noConversion"/>
  </si>
  <si>
    <t>Cash at bank and on hand</t>
    <phoneticPr fontId="6" type="noConversion"/>
  </si>
  <si>
    <t>Bills receivable</t>
    <phoneticPr fontId="6" type="noConversion"/>
  </si>
  <si>
    <t>Prepayments</t>
    <phoneticPr fontId="6" type="noConversion"/>
  </si>
  <si>
    <t>Interest receivables</t>
    <phoneticPr fontId="6" type="noConversion"/>
  </si>
  <si>
    <t>Inventories provision</t>
    <phoneticPr fontId="6" type="noConversion"/>
  </si>
  <si>
    <t>Long term equity investments</t>
    <phoneticPr fontId="6" type="noConversion"/>
  </si>
  <si>
    <t>Long term debt investments</t>
    <phoneticPr fontId="6" type="noConversion"/>
  </si>
  <si>
    <t>Total long-term investments</t>
    <phoneticPr fontId="6" type="noConversion"/>
  </si>
  <si>
    <t>Less: Accumulated depreciation</t>
    <phoneticPr fontId="6" type="noConversion"/>
  </si>
  <si>
    <t>Net book value before provision for impairment</t>
    <phoneticPr fontId="6" type="noConversion"/>
  </si>
  <si>
    <t>Less: Provision for impairment of FA</t>
    <phoneticPr fontId="6" type="noConversion"/>
  </si>
  <si>
    <t>Total fixed assets</t>
    <phoneticPr fontId="6" type="noConversion"/>
  </si>
  <si>
    <t>Intangible assets</t>
    <phoneticPr fontId="6" type="noConversion"/>
  </si>
  <si>
    <t>Deferred tax assets</t>
    <phoneticPr fontId="6" type="noConversion"/>
  </si>
  <si>
    <t>Accounts payable</t>
    <phoneticPr fontId="6" type="noConversion"/>
  </si>
  <si>
    <t>Receipt in advance</t>
    <phoneticPr fontId="6" type="noConversion"/>
  </si>
  <si>
    <t>Other current liabilities</t>
    <phoneticPr fontId="6" type="noConversion"/>
  </si>
  <si>
    <t>Long-term loan</t>
    <phoneticPr fontId="6" type="noConversion"/>
  </si>
  <si>
    <t>Sales from principal activities</t>
    <phoneticPr fontId="6" type="noConversion"/>
  </si>
  <si>
    <t>Cost of Sales from principal activities</t>
    <phoneticPr fontId="6" type="noConversion"/>
  </si>
  <si>
    <t>Business taxes and surcharges</t>
    <phoneticPr fontId="6" type="noConversion"/>
  </si>
  <si>
    <t>(Profit) / loss from other operations</t>
    <phoneticPr fontId="6" type="noConversion"/>
  </si>
  <si>
    <t>Operating expenses</t>
    <phoneticPr fontId="6" type="noConversion"/>
  </si>
  <si>
    <t>G&amp;A expenses</t>
    <phoneticPr fontId="6" type="noConversion"/>
  </si>
  <si>
    <t>Gains/(Losses) from changes in fair vaule</t>
    <phoneticPr fontId="6" type="noConversion"/>
  </si>
  <si>
    <t>Investment income/(losses)</t>
    <phoneticPr fontId="6" type="noConversion"/>
  </si>
  <si>
    <t>(Profit)/loss before income tax</t>
    <phoneticPr fontId="6" type="noConversion"/>
  </si>
  <si>
    <t>Net (Profit)/loss</t>
    <phoneticPr fontId="6" type="noConversion"/>
  </si>
  <si>
    <t>RE 
at the beginning of the year per M/A</t>
    <phoneticPr fontId="6" type="noConversion"/>
  </si>
  <si>
    <t>Transferred from surplus reserve</t>
    <phoneticPr fontId="6" type="noConversion"/>
  </si>
  <si>
    <t>Profit available for distribution</t>
    <phoneticPr fontId="6" type="noConversion"/>
  </si>
  <si>
    <t>Surplus reserve:</t>
    <phoneticPr fontId="6" type="noConversion"/>
  </si>
  <si>
    <t>-General reserve fund</t>
    <phoneticPr fontId="6" type="noConversion"/>
  </si>
  <si>
    <t>-Enterprise expansion fund</t>
    <phoneticPr fontId="6" type="noConversion"/>
  </si>
  <si>
    <t>-Staff and workers’ bonus and  
welfare fund</t>
    <phoneticPr fontId="6" type="noConversion"/>
  </si>
  <si>
    <t>Capital repaid out of profits</t>
    <phoneticPr fontId="6" type="noConversion"/>
  </si>
  <si>
    <t>Audit adjustment</t>
    <phoneticPr fontId="6" type="noConversion"/>
  </si>
  <si>
    <t>(Retained profits)/Accumulated losses 
carried forward</t>
    <phoneticPr fontId="6" type="noConversion"/>
  </si>
  <si>
    <t>Short-term loan</t>
  </si>
  <si>
    <t>Interest receivables</t>
  </si>
  <si>
    <t>应收利息</t>
  </si>
  <si>
    <t>688200 Non-current operating expenses</t>
  </si>
  <si>
    <t>675705 Year End Transfer Pricing Adjustment paid</t>
  </si>
  <si>
    <t>620300 Miscellaneous Income/(Expense)</t>
  </si>
  <si>
    <t>601140-Copper SDC</t>
  </si>
  <si>
    <t>601160-Labor SDC</t>
  </si>
  <si>
    <t>间接生产成本-高级管理费-工资</t>
  </si>
  <si>
    <t>疫情相关的成本</t>
  </si>
  <si>
    <t>603212 Realized metal result</t>
  </si>
  <si>
    <t>603215 Result on Metal commitments</t>
  </si>
  <si>
    <t>For the Period ended 30 June 2020 ("the Period")</t>
  </si>
  <si>
    <t>2020.6.30</t>
  </si>
  <si>
    <t>　</t>
  </si>
  <si>
    <t>Subject: 2020.6.30  Spreadsheet</t>
  </si>
  <si>
    <t>51024999</t>
  </si>
  <si>
    <t>2019.1-6</t>
  </si>
  <si>
    <t>Diff 2</t>
  </si>
  <si>
    <t>Diff 1</t>
  </si>
  <si>
    <t>Variance</t>
  </si>
  <si>
    <t>FZ</t>
  </si>
  <si>
    <t>Capital Stock</t>
  </si>
  <si>
    <t>610201-Sale of scraps &amp; raw materiels</t>
  </si>
  <si>
    <t>SUAD #3</t>
  </si>
  <si>
    <t>n/a</t>
  </si>
  <si>
    <t>To adjust current tax</t>
  </si>
  <si>
    <t>Income Tax</t>
  </si>
  <si>
    <t>其中关联方的部分今年要求列在620300中</t>
  </si>
  <si>
    <t>疫情相关费用要求列入688200，与T6104有重分类</t>
  </si>
  <si>
    <r>
      <rPr>
        <sz val="10"/>
        <color theme="1"/>
        <rFont val="宋体"/>
        <family val="3"/>
        <charset val="134"/>
      </rPr>
      <t>差异为</t>
    </r>
    <r>
      <rPr>
        <sz val="10"/>
        <color theme="1"/>
        <rFont val="Times New Roman"/>
        <family val="1"/>
      </rPr>
      <t>IRFS16</t>
    </r>
    <r>
      <rPr>
        <sz val="10"/>
        <color theme="1"/>
        <rFont val="宋体"/>
        <family val="3"/>
        <charset val="134"/>
      </rPr>
      <t>的</t>
    </r>
    <r>
      <rPr>
        <sz val="10"/>
        <color theme="1"/>
        <rFont val="Times New Roman"/>
        <family val="1"/>
      </rPr>
      <t xml:space="preserve">Rental </t>
    </r>
    <r>
      <rPr>
        <sz val="10"/>
        <color theme="1"/>
        <rFont val="宋体"/>
        <family val="3"/>
        <charset val="134"/>
      </rPr>
      <t>重分类至该科目</t>
    </r>
    <phoneticPr fontId="2" type="noConversion"/>
  </si>
  <si>
    <t>Code</t>
  </si>
  <si>
    <t>Account Name</t>
  </si>
  <si>
    <t>1601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</si>
</sst>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 * #,##0.00_ ;_ * \-#,##0.00_ ;_ * &quot;-&quot;??_ ;_ @_ "/>
    <numFmt numFmtId="165" formatCode="[$€-2]\ #,##0.00000_);[Red]\([$€-2]\ #,##0.00000\)"/>
    <numFmt numFmtId="166" formatCode="0.00_);[Red]\(0.00\)"/>
    <numFmt numFmtId="167" formatCode="yyyy/mm/dd;@"/>
    <numFmt numFmtId="168" formatCode="_ * #,##0.00_ ;_ * \(#,##0.00\)_ ;_ * &quot;-&quot;??_ ;_ @_ "/>
    <numFmt numFmtId="169" formatCode="_ * #,##0_ ;_ * \-#,##0_ ;_ * &quot;-&quot;??_ ;_ @_ "/>
    <numFmt numFmtId="170" formatCode="_([$€-2]* #,##0.00_);_([$€-2]* \(#,##0.00\);_([$€-2]* &quot;-&quot;??_)"/>
    <numFmt numFmtId="171" formatCode="#,##0.00;\(#,##0.00\)"/>
    <numFmt numFmtId="172" formatCode="[$-409]mmm/yy;@"/>
    <numFmt numFmtId="173" formatCode="_([$€-2]\ * #,##0.00_);_([$€-2]\ * \(#,##0.00\);_([$€-2]\ * &quot;-&quot;??_);_(@_)"/>
    <numFmt numFmtId="174" formatCode="[$€-2]\ #,##0_);[Red]\([$€-2]\ #,##0\)"/>
    <numFmt numFmtId="175" formatCode="[$-F800]dddd\,\ mmmm\ dd\,\ yyyy"/>
    <numFmt numFmtId="176" formatCode="#,##0;\(#,##0\)"/>
  </numFmts>
  <fonts count="45">
    <font>
      <sz val="11"/>
      <color theme="1"/>
      <name val="Calibri"/>
      <family val="2"/>
      <scheme val="minor"/>
    </font>
    <font>
      <sz val="11"/>
      <color theme="1"/>
      <name val="Calibri"/>
      <family val="2"/>
      <scheme val="minor"/>
    </font>
    <font>
      <sz val="9"/>
      <name val="Calibri"/>
      <family val="3"/>
      <charset val="134"/>
      <scheme val="minor"/>
    </font>
    <font>
      <sz val="12"/>
      <name val="Times New Roman"/>
      <family val="1"/>
    </font>
    <font>
      <sz val="10"/>
      <name val="Arial"/>
      <family val="2"/>
    </font>
    <font>
      <sz val="12"/>
      <name val="宋体"/>
      <family val="3"/>
      <charset val="134"/>
    </font>
    <font>
      <sz val="9"/>
      <name val="宋体"/>
      <family val="3"/>
      <charset val="134"/>
    </font>
    <font>
      <b/>
      <sz val="10"/>
      <name val="楷体"/>
      <family val="3"/>
      <charset val="134"/>
    </font>
    <font>
      <sz val="11"/>
      <color theme="1"/>
      <name val="Calibri"/>
      <family val="3"/>
      <charset val="134"/>
      <scheme val="minor"/>
    </font>
    <font>
      <b/>
      <i/>
      <u/>
      <sz val="10"/>
      <name val="Arial"/>
      <family val="2"/>
    </font>
    <font>
      <sz val="9"/>
      <name val="Calibri"/>
      <family val="2"/>
      <charset val="134"/>
      <scheme val="minor"/>
    </font>
    <font>
      <sz val="11"/>
      <color indexed="8"/>
      <name val="宋体"/>
      <family val="3"/>
      <charset val="134"/>
    </font>
    <font>
      <sz val="10"/>
      <color indexed="8"/>
      <name val="Times New Roman"/>
      <family val="1"/>
    </font>
    <font>
      <b/>
      <sz val="10"/>
      <color theme="1"/>
      <name val="Times New Roman"/>
      <family val="1"/>
    </font>
    <font>
      <sz val="10"/>
      <name val="Times New Roman"/>
      <family val="1"/>
    </font>
    <font>
      <sz val="10"/>
      <color theme="1"/>
      <name val="Times New Roman"/>
      <family val="1"/>
    </font>
    <font>
      <b/>
      <sz val="10"/>
      <name val="Times New Roman"/>
      <family val="1"/>
    </font>
    <font>
      <b/>
      <sz val="10"/>
      <color rgb="FFFF0000"/>
      <name val="Times New Roman"/>
      <family val="1"/>
    </font>
    <font>
      <b/>
      <i/>
      <u/>
      <sz val="10"/>
      <name val="Times New Roman"/>
      <family val="1"/>
    </font>
    <font>
      <b/>
      <u/>
      <sz val="10"/>
      <name val="Times New Roman"/>
      <family val="1"/>
    </font>
    <font>
      <b/>
      <sz val="10"/>
      <color indexed="10"/>
      <name val="Times New Roman"/>
      <family val="1"/>
    </font>
    <font>
      <i/>
      <sz val="10"/>
      <name val="Times New Roman"/>
      <family val="1"/>
    </font>
    <font>
      <i/>
      <sz val="10"/>
      <color rgb="FFFF0000"/>
      <name val="Times New Roman"/>
      <family val="1"/>
    </font>
    <font>
      <sz val="10"/>
      <color rgb="FFFF0000"/>
      <name val="Times New Roman"/>
      <family val="1"/>
    </font>
    <font>
      <u/>
      <sz val="10"/>
      <color theme="1"/>
      <name val="Times New Roman"/>
      <family val="1"/>
    </font>
    <font>
      <b/>
      <i/>
      <sz val="10"/>
      <name val="Times New Roman"/>
      <family val="1"/>
    </font>
    <font>
      <b/>
      <i/>
      <u/>
      <sz val="10"/>
      <color rgb="FFFF0000"/>
      <name val="Times New Roman"/>
      <family val="1"/>
    </font>
    <font>
      <b/>
      <u/>
      <sz val="10"/>
      <color rgb="FFFF0000"/>
      <name val="Times New Roman"/>
      <family val="1"/>
    </font>
    <font>
      <b/>
      <i/>
      <sz val="10"/>
      <color rgb="FFFF0000"/>
      <name val="Times New Roman"/>
      <family val="1"/>
    </font>
    <font>
      <b/>
      <sz val="10"/>
      <color indexed="8"/>
      <name val="Times New Roman"/>
      <family val="1"/>
    </font>
    <font>
      <i/>
      <u/>
      <sz val="10"/>
      <name val="Times New Roman"/>
      <family val="1"/>
    </font>
    <font>
      <u val="singleAccounting"/>
      <sz val="10"/>
      <name val="Times New Roman"/>
      <family val="1"/>
    </font>
    <font>
      <i/>
      <sz val="10"/>
      <color theme="1"/>
      <name val="Times New Roman"/>
      <family val="1"/>
    </font>
    <font>
      <b/>
      <u/>
      <sz val="10"/>
      <color indexed="10"/>
      <name val="Times New Roman"/>
      <family val="1"/>
    </font>
    <font>
      <sz val="10"/>
      <color indexed="10"/>
      <name val="Times New Roman"/>
      <family val="1"/>
    </font>
    <font>
      <sz val="11"/>
      <color indexed="8"/>
      <name val="Calibri"/>
      <family val="2"/>
    </font>
    <font>
      <sz val="9"/>
      <name val="Arial"/>
      <family val="2"/>
    </font>
    <font>
      <sz val="9"/>
      <color rgb="FF000000"/>
      <name val="Times New Roman"/>
      <family val="1"/>
    </font>
    <font>
      <sz val="11"/>
      <color theme="1"/>
      <name val="Calibri"/>
      <family val="2"/>
      <charset val="134"/>
      <scheme val="minor"/>
    </font>
    <font>
      <sz val="9"/>
      <color rgb="FF8E258D"/>
      <name val="Times New Roman"/>
      <family val="1"/>
    </font>
    <font>
      <sz val="11"/>
      <color theme="1"/>
      <name val="Times New Roman"/>
      <family val="2"/>
    </font>
    <font>
      <b/>
      <sz val="9"/>
      <color indexed="81"/>
      <name val="Tahoma"/>
      <family val="2"/>
    </font>
    <font>
      <u/>
      <sz val="11"/>
      <color theme="1"/>
      <name val="Times New Roman"/>
      <family val="1"/>
    </font>
    <font>
      <u/>
      <sz val="11"/>
      <color rgb="FF000000"/>
      <name val="Times New Roman"/>
      <family val="1"/>
    </font>
    <font>
      <sz val="10"/>
      <color theme="1"/>
      <name val="宋体"/>
      <family val="3"/>
      <charset val="134"/>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9" tint="0.39997558519241921"/>
        <bgColor indexed="64"/>
      </patternFill>
    </fill>
  </fills>
  <borders count="12">
    <border>
      <left/>
      <right/>
      <top/>
      <bottom/>
      <diagonal/>
    </border>
    <border>
      <left/>
      <right/>
      <top style="thin">
        <color indexed="64"/>
      </top>
      <bottom style="dashed">
        <color indexed="64"/>
      </bottom>
      <diagonal/>
    </border>
    <border>
      <left/>
      <right/>
      <top/>
      <bottom style="dashed">
        <color indexed="64"/>
      </bottom>
      <diagonal/>
    </border>
    <border>
      <left/>
      <right/>
      <top/>
      <bottom style="thin">
        <color indexed="64"/>
      </bottom>
      <diagonal/>
    </border>
    <border>
      <left/>
      <right/>
      <top/>
      <bottom style="double">
        <color indexed="64"/>
      </bottom>
      <diagonal/>
    </border>
    <border>
      <left/>
      <right/>
      <top/>
      <bottom style="dashDot">
        <color indexed="64"/>
      </bottom>
      <diagonal/>
    </border>
    <border>
      <left/>
      <right/>
      <top style="medium">
        <color indexed="64"/>
      </top>
      <bottom/>
      <diagonal/>
    </border>
    <border>
      <left/>
      <right/>
      <top style="thin">
        <color indexed="64"/>
      </top>
      <bottom style="double">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s>
  <cellStyleXfs count="31">
    <xf numFmtId="165" fontId="0" fillId="0" borderId="0"/>
    <xf numFmtId="164" fontId="1" fillId="0" borderId="0" applyFont="0" applyFill="0" applyBorder="0" applyAlignment="0" applyProtection="0">
      <alignment vertical="center"/>
    </xf>
    <xf numFmtId="9" fontId="1" fillId="0" borderId="0" applyFont="0" applyFill="0" applyBorder="0" applyAlignment="0" applyProtection="0">
      <alignment vertical="center"/>
    </xf>
    <xf numFmtId="165" fontId="4" fillId="0" borderId="0"/>
    <xf numFmtId="165" fontId="5" fillId="0" borderId="0"/>
    <xf numFmtId="165" fontId="3" fillId="0" borderId="0">
      <protection locked="0"/>
    </xf>
    <xf numFmtId="165" fontId="3" fillId="0" borderId="0" applyFont="0" applyFill="0" applyBorder="0" applyAlignment="0" applyProtection="0"/>
    <xf numFmtId="9" fontId="3" fillId="0" borderId="0" applyFont="0" applyFill="0" applyBorder="0" applyAlignment="0" applyProtection="0"/>
    <xf numFmtId="165" fontId="8" fillId="0" borderId="0"/>
    <xf numFmtId="165" fontId="3" fillId="0" borderId="0">
      <protection locked="0"/>
    </xf>
    <xf numFmtId="165" fontId="3" fillId="0" borderId="0" applyFont="0" applyFill="0" applyBorder="0" applyAlignment="0" applyProtection="0"/>
    <xf numFmtId="170" fontId="3" fillId="0" borderId="0">
      <protection locked="0"/>
    </xf>
    <xf numFmtId="43" fontId="5" fillId="0" borderId="0" applyFont="0" applyFill="0" applyBorder="0" applyAlignment="0" applyProtection="0">
      <alignment vertical="center"/>
    </xf>
    <xf numFmtId="0" fontId="4" fillId="0" borderId="0">
      <protection locked="0"/>
    </xf>
    <xf numFmtId="164" fontId="4" fillId="0" borderId="0" applyFont="0" applyFill="0" applyBorder="0" applyAlignment="0" applyProtection="0"/>
    <xf numFmtId="0" fontId="3" fillId="0" borderId="0" applyFont="0" applyFill="0" applyBorder="0" applyAlignment="0" applyProtection="0"/>
    <xf numFmtId="170" fontId="11" fillId="0" borderId="0"/>
    <xf numFmtId="172" fontId="4" fillId="0" borderId="0">
      <protection locked="0"/>
    </xf>
    <xf numFmtId="0" fontId="4" fillId="0" borderId="0"/>
    <xf numFmtId="164" fontId="4" fillId="0" borderId="0" applyFont="0" applyFill="0" applyBorder="0" applyAlignment="0" applyProtection="0"/>
    <xf numFmtId="173" fontId="5" fillId="0" borderId="0"/>
    <xf numFmtId="43" fontId="1" fillId="0" borderId="0" applyFont="0" applyFill="0" applyBorder="0" applyAlignment="0" applyProtection="0">
      <alignment vertical="center"/>
    </xf>
    <xf numFmtId="43" fontId="4" fillId="0" borderId="0" applyFont="0" applyFill="0" applyBorder="0" applyAlignment="0" applyProtection="0"/>
    <xf numFmtId="164" fontId="4" fillId="0" borderId="0" applyFont="0" applyFill="0" applyBorder="0" applyAlignment="0" applyProtection="0"/>
    <xf numFmtId="43" fontId="35" fillId="0" borderId="0" applyFont="0" applyFill="0" applyBorder="0" applyAlignment="0" applyProtection="0"/>
    <xf numFmtId="175" fontId="5" fillId="0" borderId="0"/>
    <xf numFmtId="164" fontId="38" fillId="0" borderId="0" applyFont="0" applyFill="0" applyBorder="0" applyAlignment="0" applyProtection="0">
      <alignment vertical="center"/>
    </xf>
    <xf numFmtId="170" fontId="4" fillId="0" borderId="0"/>
    <xf numFmtId="173" fontId="40" fillId="0" borderId="0"/>
    <xf numFmtId="0" fontId="5" fillId="0" borderId="0"/>
    <xf numFmtId="43" fontId="4" fillId="0" borderId="0" applyFont="0" applyFill="0" applyBorder="0" applyAlignment="0" applyProtection="0"/>
  </cellStyleXfs>
  <cellXfs count="336">
    <xf numFmtId="165" fontId="0" fillId="0" borderId="0" xfId="0"/>
    <xf numFmtId="0" fontId="13" fillId="0" borderId="0" xfId="18" applyFont="1" applyFill="1" applyBorder="1"/>
    <xf numFmtId="164" fontId="13" fillId="0" borderId="0" xfId="19" applyFont="1" applyFill="1" applyBorder="1"/>
    <xf numFmtId="0" fontId="14" fillId="0" borderId="0" xfId="18" applyFont="1" applyFill="1" applyBorder="1"/>
    <xf numFmtId="0" fontId="15" fillId="0" borderId="0" xfId="18" applyFont="1" applyFill="1" applyBorder="1"/>
    <xf numFmtId="164" fontId="14" fillId="0" borderId="0" xfId="19" applyFont="1" applyFill="1" applyBorder="1"/>
    <xf numFmtId="0" fontId="14" fillId="0" borderId="0" xfId="18" applyFont="1" applyFill="1" applyBorder="1" applyAlignment="1" applyProtection="1">
      <alignment vertical="center"/>
      <protection locked="0"/>
    </xf>
    <xf numFmtId="0" fontId="14" fillId="0" borderId="0" xfId="18" applyFont="1" applyFill="1" applyBorder="1" applyAlignment="1"/>
    <xf numFmtId="165" fontId="16" fillId="0" borderId="0" xfId="5" applyFont="1" applyFill="1">
      <protection locked="0"/>
    </xf>
    <xf numFmtId="165" fontId="16" fillId="0" borderId="0" xfId="6" applyFont="1" applyFill="1" applyAlignment="1">
      <alignment horizontal="right"/>
    </xf>
    <xf numFmtId="165" fontId="17" fillId="0" borderId="0" xfId="5" applyFont="1" applyFill="1" applyAlignment="1">
      <alignment horizontal="left"/>
      <protection locked="0"/>
    </xf>
    <xf numFmtId="165" fontId="16" fillId="0" borderId="0" xfId="5" applyFont="1" applyFill="1" applyAlignment="1">
      <alignment horizontal="left"/>
      <protection locked="0"/>
    </xf>
    <xf numFmtId="164" fontId="14" fillId="0" borderId="0" xfId="1" applyFont="1" applyFill="1" applyAlignment="1" applyProtection="1">
      <protection locked="0"/>
    </xf>
    <xf numFmtId="165" fontId="14" fillId="0" borderId="0" xfId="5" applyFont="1" applyFill="1">
      <protection locked="0"/>
    </xf>
    <xf numFmtId="1" fontId="16" fillId="0" borderId="0" xfId="4" applyNumberFormat="1" applyFont="1" applyFill="1" applyAlignment="1">
      <alignment vertical="center"/>
    </xf>
    <xf numFmtId="14" fontId="16" fillId="0" borderId="0" xfId="6" applyNumberFormat="1" applyFont="1" applyFill="1" applyAlignment="1">
      <alignment horizontal="right"/>
    </xf>
    <xf numFmtId="49" fontId="16" fillId="0" borderId="0" xfId="6" applyNumberFormat="1" applyFont="1" applyFill="1"/>
    <xf numFmtId="165" fontId="14" fillId="0" borderId="0" xfId="6" applyFont="1" applyFill="1"/>
    <xf numFmtId="49" fontId="18" fillId="0" borderId="0" xfId="6" applyNumberFormat="1" applyFont="1" applyFill="1"/>
    <xf numFmtId="165" fontId="14" fillId="0" borderId="0" xfId="6" applyFont="1" applyFill="1" applyAlignment="1">
      <alignment horizontal="right"/>
    </xf>
    <xf numFmtId="49" fontId="16" fillId="0" borderId="0" xfId="6" applyNumberFormat="1" applyFont="1" applyFill="1" applyAlignment="1">
      <alignment horizontal="center"/>
    </xf>
    <xf numFmtId="167" fontId="16" fillId="0" borderId="0" xfId="5" applyNumberFormat="1" applyFont="1" applyFill="1" applyAlignment="1">
      <alignment horizontal="center"/>
      <protection locked="0"/>
    </xf>
    <xf numFmtId="49" fontId="14" fillId="0" borderId="0" xfId="6" applyNumberFormat="1" applyFont="1" applyFill="1" applyAlignment="1">
      <alignment horizontal="center" wrapText="1"/>
    </xf>
    <xf numFmtId="167" fontId="19" fillId="0" borderId="0" xfId="5" applyNumberFormat="1" applyFont="1" applyFill="1" applyAlignment="1">
      <alignment horizontal="center" vertical="center" wrapText="1"/>
      <protection locked="0"/>
    </xf>
    <xf numFmtId="167" fontId="16" fillId="0" borderId="0" xfId="5" applyNumberFormat="1" applyFont="1" applyFill="1" applyBorder="1" applyAlignment="1">
      <alignment horizontal="center" vertical="center"/>
      <protection locked="0"/>
    </xf>
    <xf numFmtId="166" fontId="16" fillId="0" borderId="0" xfId="5" applyNumberFormat="1" applyFont="1" applyFill="1" applyBorder="1" applyAlignment="1">
      <alignment horizontal="center" vertical="center"/>
      <protection locked="0"/>
    </xf>
    <xf numFmtId="167" fontId="17" fillId="0" borderId="0" xfId="5" applyNumberFormat="1" applyFont="1" applyFill="1" applyBorder="1" applyAlignment="1">
      <alignment horizontal="left" vertical="center"/>
      <protection locked="0"/>
    </xf>
    <xf numFmtId="167" fontId="16" fillId="0" borderId="0" xfId="5" applyNumberFormat="1" applyFont="1" applyFill="1" applyBorder="1" applyAlignment="1">
      <alignment horizontal="left" vertical="center"/>
      <protection locked="0"/>
    </xf>
    <xf numFmtId="49" fontId="20" fillId="0" borderId="0" xfId="6" applyNumberFormat="1" applyFont="1" applyFill="1" applyAlignment="1">
      <alignment horizontal="center"/>
    </xf>
    <xf numFmtId="165" fontId="20" fillId="0" borderId="0" xfId="6" applyFont="1" applyFill="1" applyAlignment="1">
      <alignment horizontal="center"/>
    </xf>
    <xf numFmtId="49" fontId="14" fillId="0" borderId="0" xfId="6" applyNumberFormat="1" applyFont="1" applyFill="1"/>
    <xf numFmtId="164" fontId="14" fillId="0" borderId="0" xfId="1" applyFont="1" applyFill="1" applyBorder="1" applyAlignment="1">
      <alignment horizontal="right"/>
    </xf>
    <xf numFmtId="168" fontId="14" fillId="0" borderId="0" xfId="6" applyNumberFormat="1" applyFont="1" applyFill="1" applyBorder="1" applyAlignment="1">
      <alignment horizontal="right"/>
    </xf>
    <xf numFmtId="49" fontId="14" fillId="0" borderId="0" xfId="6" applyNumberFormat="1" applyFont="1" applyFill="1" applyAlignment="1">
      <alignment wrapText="1"/>
    </xf>
    <xf numFmtId="168" fontId="14" fillId="0" borderId="0" xfId="6" applyNumberFormat="1" applyFont="1" applyFill="1" applyAlignment="1">
      <alignment horizontal="right"/>
    </xf>
    <xf numFmtId="164" fontId="16" fillId="0" borderId="1" xfId="1" applyFont="1" applyFill="1" applyBorder="1" applyAlignment="1">
      <alignment horizontal="right"/>
    </xf>
    <xf numFmtId="168" fontId="16" fillId="0" borderId="1" xfId="6" applyNumberFormat="1" applyFont="1" applyFill="1" applyBorder="1" applyAlignment="1">
      <alignment horizontal="right"/>
    </xf>
    <xf numFmtId="164" fontId="16" fillId="0" borderId="0" xfId="1" applyFont="1" applyFill="1" applyAlignment="1">
      <alignment horizontal="right"/>
    </xf>
    <xf numFmtId="164" fontId="16" fillId="0" borderId="2" xfId="1" applyFont="1" applyFill="1" applyBorder="1" applyAlignment="1">
      <alignment horizontal="right"/>
    </xf>
    <xf numFmtId="164" fontId="14" fillId="0" borderId="0" xfId="1" applyFont="1" applyFill="1" applyAlignment="1">
      <alignment horizontal="right"/>
    </xf>
    <xf numFmtId="164" fontId="14" fillId="0" borderId="3" xfId="1" applyFont="1" applyFill="1" applyBorder="1" applyAlignment="1">
      <alignment horizontal="right"/>
    </xf>
    <xf numFmtId="168" fontId="14" fillId="0" borderId="3" xfId="6" applyNumberFormat="1" applyFont="1" applyFill="1" applyBorder="1" applyAlignment="1">
      <alignment horizontal="right"/>
    </xf>
    <xf numFmtId="49" fontId="21" fillId="0" borderId="0" xfId="6" applyNumberFormat="1" applyFont="1" applyFill="1"/>
    <xf numFmtId="164" fontId="21" fillId="0" borderId="0" xfId="1" applyFont="1" applyFill="1" applyBorder="1" applyAlignment="1">
      <alignment horizontal="right"/>
    </xf>
    <xf numFmtId="49" fontId="14" fillId="0" borderId="0" xfId="6" applyNumberFormat="1" applyFont="1" applyFill="1" applyBorder="1"/>
    <xf numFmtId="164" fontId="16" fillId="0" borderId="4" xfId="1" applyFont="1" applyFill="1" applyBorder="1" applyAlignment="1">
      <alignment horizontal="right"/>
    </xf>
    <xf numFmtId="168" fontId="16" fillId="0" borderId="4" xfId="6" applyNumberFormat="1" applyFont="1" applyFill="1" applyBorder="1" applyAlignment="1">
      <alignment horizontal="right"/>
    </xf>
    <xf numFmtId="164" fontId="16" fillId="0" borderId="0" xfId="1" applyFont="1" applyFill="1" applyBorder="1" applyAlignment="1">
      <alignment horizontal="right"/>
    </xf>
    <xf numFmtId="168" fontId="16" fillId="0" borderId="0" xfId="6" applyNumberFormat="1" applyFont="1" applyFill="1" applyBorder="1" applyAlignment="1">
      <alignment horizontal="right"/>
    </xf>
    <xf numFmtId="164" fontId="14" fillId="0" borderId="2" xfId="1" applyFont="1" applyFill="1" applyBorder="1" applyAlignment="1">
      <alignment horizontal="right"/>
    </xf>
    <xf numFmtId="164" fontId="21" fillId="0" borderId="0" xfId="1" applyFont="1" applyFill="1" applyAlignment="1">
      <alignment horizontal="right"/>
    </xf>
    <xf numFmtId="164" fontId="16" fillId="0" borderId="5" xfId="1" applyFont="1" applyFill="1" applyBorder="1" applyAlignment="1">
      <alignment horizontal="right"/>
    </xf>
    <xf numFmtId="165" fontId="23" fillId="0" borderId="0" xfId="5" applyFont="1" applyFill="1">
      <protection locked="0"/>
    </xf>
    <xf numFmtId="164" fontId="17" fillId="0" borderId="0" xfId="1" applyFont="1" applyFill="1" applyAlignment="1">
      <alignment horizontal="right"/>
    </xf>
    <xf numFmtId="49" fontId="14" fillId="0" borderId="0" xfId="6" applyNumberFormat="1" applyFont="1" applyFill="1" applyAlignment="1"/>
    <xf numFmtId="49" fontId="16" fillId="0" borderId="0" xfId="6" applyNumberFormat="1" applyFont="1" applyFill="1" applyAlignment="1">
      <alignment wrapText="1"/>
    </xf>
    <xf numFmtId="49" fontId="25" fillId="0" borderId="0" xfId="6" applyNumberFormat="1" applyFont="1" applyFill="1" applyAlignment="1">
      <alignment wrapText="1"/>
    </xf>
    <xf numFmtId="164" fontId="25" fillId="0" borderId="0" xfId="1" applyFont="1" applyFill="1" applyBorder="1" applyAlignment="1">
      <alignment horizontal="right"/>
    </xf>
    <xf numFmtId="167" fontId="16" fillId="0" borderId="3" xfId="5" applyNumberFormat="1" applyFont="1" applyFill="1" applyBorder="1" applyAlignment="1">
      <alignment horizontal="center" vertical="center"/>
      <protection locked="0"/>
    </xf>
    <xf numFmtId="9" fontId="16" fillId="0" borderId="0" xfId="2" applyFont="1" applyFill="1" applyAlignment="1">
      <alignment horizontal="right"/>
    </xf>
    <xf numFmtId="1" fontId="17" fillId="0" borderId="0" xfId="4" applyNumberFormat="1" applyFont="1" applyFill="1" applyAlignment="1">
      <alignment vertical="center"/>
    </xf>
    <xf numFmtId="9" fontId="14" fillId="0" borderId="0" xfId="2" applyFont="1" applyFill="1" applyAlignment="1"/>
    <xf numFmtId="9" fontId="14" fillId="0" borderId="0" xfId="2" applyFont="1" applyFill="1" applyAlignment="1">
      <alignment horizontal="right"/>
    </xf>
    <xf numFmtId="9" fontId="16" fillId="0" borderId="0" xfId="2" applyFont="1" applyFill="1" applyAlignment="1" applyProtection="1">
      <alignment horizontal="center"/>
      <protection locked="0"/>
    </xf>
    <xf numFmtId="49" fontId="17" fillId="0" borderId="0" xfId="6" applyNumberFormat="1" applyFont="1" applyFill="1" applyAlignment="1">
      <alignment horizontal="center"/>
    </xf>
    <xf numFmtId="9" fontId="19" fillId="0" borderId="0" xfId="2" applyFont="1" applyFill="1" applyAlignment="1" applyProtection="1">
      <alignment horizontal="center" vertical="center" wrapText="1"/>
      <protection locked="0"/>
    </xf>
    <xf numFmtId="171" fontId="19" fillId="0" borderId="0" xfId="11" applyNumberFormat="1" applyFont="1" applyFill="1" applyAlignment="1">
      <alignment horizontal="center"/>
      <protection locked="0"/>
    </xf>
    <xf numFmtId="9" fontId="19" fillId="0" borderId="0" xfId="2" applyFont="1" applyFill="1" applyAlignment="1" applyProtection="1">
      <alignment horizontal="center"/>
      <protection locked="0"/>
    </xf>
    <xf numFmtId="164" fontId="14" fillId="0" borderId="0" xfId="1" applyFont="1" applyFill="1" applyAlignment="1"/>
    <xf numFmtId="9" fontId="17" fillId="0" borderId="0" xfId="2" applyFont="1" applyFill="1" applyAlignment="1"/>
    <xf numFmtId="164" fontId="16" fillId="0" borderId="0" xfId="1" applyFont="1" applyFill="1" applyAlignment="1"/>
    <xf numFmtId="9" fontId="16" fillId="0" borderId="0" xfId="2" applyFont="1" applyFill="1" applyAlignment="1"/>
    <xf numFmtId="164" fontId="21" fillId="0" borderId="0" xfId="1" applyFont="1" applyFill="1" applyAlignment="1"/>
    <xf numFmtId="9" fontId="21" fillId="0" borderId="0" xfId="2" applyFont="1" applyFill="1" applyAlignment="1"/>
    <xf numFmtId="164" fontId="14" fillId="0" borderId="0" xfId="1" applyFont="1" applyFill="1" applyBorder="1" applyAlignment="1"/>
    <xf numFmtId="9" fontId="14" fillId="0" borderId="0" xfId="2" applyFont="1" applyFill="1" applyBorder="1" applyAlignment="1"/>
    <xf numFmtId="165" fontId="15" fillId="0" borderId="0" xfId="0" applyFont="1" applyFill="1"/>
    <xf numFmtId="164" fontId="15" fillId="0" borderId="0" xfId="1" applyFont="1" applyFill="1" applyAlignment="1"/>
    <xf numFmtId="9" fontId="14" fillId="0" borderId="0" xfId="2" applyFont="1" applyFill="1" applyBorder="1" applyAlignment="1">
      <alignment horizontal="right"/>
    </xf>
    <xf numFmtId="9" fontId="16" fillId="0" borderId="0" xfId="2" applyFont="1" applyFill="1" applyBorder="1" applyAlignment="1">
      <alignment horizontal="right"/>
    </xf>
    <xf numFmtId="9" fontId="16" fillId="0" borderId="4" xfId="2" applyFont="1" applyFill="1" applyBorder="1" applyAlignment="1">
      <alignment horizontal="right"/>
    </xf>
    <xf numFmtId="165" fontId="17" fillId="0" borderId="0" xfId="5" applyFont="1" applyFill="1">
      <protection locked="0"/>
    </xf>
    <xf numFmtId="165" fontId="16" fillId="0" borderId="0" xfId="3" applyFont="1" applyFill="1"/>
    <xf numFmtId="165" fontId="17" fillId="0" borderId="0" xfId="3" applyFont="1" applyFill="1"/>
    <xf numFmtId="49" fontId="17" fillId="0" borderId="0" xfId="6" applyNumberFormat="1" applyFont="1" applyFill="1"/>
    <xf numFmtId="49" fontId="26" fillId="0" borderId="0" xfId="6" applyNumberFormat="1" applyFont="1" applyFill="1"/>
    <xf numFmtId="167" fontId="27" fillId="0" borderId="0" xfId="5" applyNumberFormat="1" applyFont="1" applyFill="1" applyAlignment="1">
      <alignment horizontal="center" vertical="center" wrapText="1"/>
      <protection locked="0"/>
    </xf>
    <xf numFmtId="165" fontId="15" fillId="0" borderId="0" xfId="0" applyFont="1"/>
    <xf numFmtId="9" fontId="17" fillId="0" borderId="0" xfId="2" applyFont="1" applyFill="1" applyAlignment="1">
      <alignment horizontal="right"/>
    </xf>
    <xf numFmtId="165" fontId="17" fillId="0" borderId="0" xfId="0" applyFont="1" applyFill="1"/>
    <xf numFmtId="9" fontId="17" fillId="0" borderId="0" xfId="2" applyFont="1" applyAlignment="1"/>
    <xf numFmtId="165" fontId="17" fillId="0" borderId="0" xfId="0" applyFont="1"/>
    <xf numFmtId="9" fontId="17" fillId="0" borderId="0" xfId="2" applyFont="1" applyBorder="1" applyAlignment="1"/>
    <xf numFmtId="9" fontId="15" fillId="0" borderId="0" xfId="2" applyFont="1" applyAlignment="1"/>
    <xf numFmtId="164" fontId="15" fillId="0" borderId="0" xfId="1" applyFont="1" applyAlignment="1"/>
    <xf numFmtId="172" fontId="14" fillId="0" borderId="0" xfId="17" applyFont="1" applyFill="1" applyProtection="1">
      <protection locked="0"/>
    </xf>
    <xf numFmtId="172" fontId="23" fillId="0" borderId="0" xfId="17" applyFont="1" applyFill="1" applyProtection="1">
      <protection locked="0"/>
    </xf>
    <xf numFmtId="172" fontId="14" fillId="0" borderId="0" xfId="17" applyFont="1" applyFill="1" applyBorder="1" applyProtection="1">
      <protection locked="0"/>
    </xf>
    <xf numFmtId="172" fontId="14" fillId="0" borderId="0" xfId="17" applyFont="1" applyBorder="1" applyProtection="1">
      <protection locked="0"/>
    </xf>
    <xf numFmtId="168" fontId="16" fillId="0" borderId="3" xfId="6" applyNumberFormat="1" applyFont="1" applyFill="1" applyBorder="1" applyAlignment="1">
      <alignment horizontal="right"/>
    </xf>
    <xf numFmtId="164" fontId="16" fillId="0" borderId="0" xfId="1" applyFont="1" applyFill="1" applyAlignment="1" applyProtection="1">
      <protection locked="0"/>
    </xf>
    <xf numFmtId="168" fontId="16" fillId="0" borderId="8" xfId="6" applyNumberFormat="1" applyFont="1" applyFill="1" applyBorder="1" applyAlignment="1">
      <alignment horizontal="right"/>
    </xf>
    <xf numFmtId="167" fontId="16" fillId="3" borderId="0" xfId="5" applyNumberFormat="1" applyFont="1" applyFill="1" applyBorder="1" applyAlignment="1">
      <alignment horizontal="left" vertical="center"/>
      <protection locked="0"/>
    </xf>
    <xf numFmtId="165" fontId="14" fillId="3" borderId="0" xfId="5" applyFont="1" applyFill="1">
      <protection locked="0"/>
    </xf>
    <xf numFmtId="165" fontId="15" fillId="3" borderId="0" xfId="0" applyFont="1" applyFill="1"/>
    <xf numFmtId="49" fontId="25" fillId="0" borderId="0" xfId="6" applyNumberFormat="1" applyFont="1" applyFill="1"/>
    <xf numFmtId="164" fontId="25" fillId="0" borderId="0" xfId="1" applyFont="1" applyFill="1" applyAlignment="1"/>
    <xf numFmtId="9" fontId="25" fillId="0" borderId="0" xfId="2" applyFont="1" applyFill="1" applyAlignment="1"/>
    <xf numFmtId="165" fontId="17" fillId="0" borderId="0" xfId="5" applyFont="1" applyFill="1" applyAlignment="1">
      <alignment horizontal="center"/>
      <protection locked="0"/>
    </xf>
    <xf numFmtId="1" fontId="17" fillId="0" borderId="0" xfId="4" applyNumberFormat="1" applyFont="1" applyFill="1" applyAlignment="1">
      <alignment horizontal="center" vertical="center"/>
    </xf>
    <xf numFmtId="49" fontId="26" fillId="0" borderId="0" xfId="6" applyNumberFormat="1" applyFont="1" applyFill="1" applyAlignment="1">
      <alignment horizontal="center"/>
    </xf>
    <xf numFmtId="9" fontId="17" fillId="0" borderId="0" xfId="2" applyFont="1" applyFill="1" applyAlignment="1">
      <alignment horizontal="center"/>
    </xf>
    <xf numFmtId="9" fontId="28" fillId="0" borderId="0" xfId="2" applyFont="1" applyFill="1" applyAlignment="1">
      <alignment horizontal="center"/>
    </xf>
    <xf numFmtId="9" fontId="17" fillId="0" borderId="0" xfId="2" applyFont="1" applyFill="1" applyBorder="1" applyAlignment="1">
      <alignment horizontal="center"/>
    </xf>
    <xf numFmtId="164" fontId="15" fillId="0" borderId="0" xfId="1" applyFont="1" applyFill="1" applyAlignment="1">
      <alignment horizontal="justify" vertical="center"/>
    </xf>
    <xf numFmtId="164" fontId="24" fillId="0" borderId="0" xfId="1" applyFont="1" applyFill="1" applyAlignment="1">
      <alignment horizontal="justify" vertical="center"/>
    </xf>
    <xf numFmtId="165" fontId="14" fillId="0" borderId="0" xfId="6" applyFont="1" applyFill="1" applyAlignment="1">
      <alignment horizontal="left"/>
    </xf>
    <xf numFmtId="165" fontId="14" fillId="0" borderId="0" xfId="9" applyFont="1">
      <protection locked="0"/>
    </xf>
    <xf numFmtId="39" fontId="14" fillId="0" borderId="0" xfId="9" applyNumberFormat="1" applyFont="1">
      <protection locked="0"/>
    </xf>
    <xf numFmtId="169" fontId="14" fillId="0" borderId="0" xfId="1" applyNumberFormat="1" applyFont="1" applyAlignment="1" applyProtection="1">
      <protection locked="0"/>
    </xf>
    <xf numFmtId="0" fontId="14" fillId="0" borderId="0" xfId="9" applyNumberFormat="1" applyFont="1">
      <protection locked="0"/>
    </xf>
    <xf numFmtId="164" fontId="14" fillId="0" borderId="0" xfId="1" applyFont="1" applyAlignment="1" applyProtection="1">
      <protection locked="0"/>
    </xf>
    <xf numFmtId="14" fontId="29" fillId="5" borderId="9" xfId="9" applyNumberFormat="1" applyFont="1" applyFill="1" applyBorder="1" applyAlignment="1" applyProtection="1">
      <alignment horizontal="center" wrapText="1"/>
    </xf>
    <xf numFmtId="165" fontId="16" fillId="2" borderId="9" xfId="9" applyFont="1" applyFill="1" applyBorder="1" applyAlignment="1">
      <alignment horizontal="center"/>
      <protection locked="0"/>
    </xf>
    <xf numFmtId="14" fontId="29" fillId="5" borderId="10" xfId="9" applyNumberFormat="1" applyFont="1" applyFill="1" applyBorder="1" applyAlignment="1" applyProtection="1">
      <alignment horizontal="center" wrapText="1"/>
    </xf>
    <xf numFmtId="14" fontId="29" fillId="2" borderId="10" xfId="9" applyNumberFormat="1" applyFont="1" applyFill="1" applyBorder="1" applyAlignment="1" applyProtection="1">
      <alignment horizontal="center" wrapText="1"/>
    </xf>
    <xf numFmtId="169" fontId="29" fillId="5" borderId="10" xfId="1" applyNumberFormat="1" applyFont="1" applyFill="1" applyBorder="1" applyAlignment="1" applyProtection="1">
      <alignment horizontal="center" wrapText="1"/>
    </xf>
    <xf numFmtId="165" fontId="15" fillId="0" borderId="0" xfId="9" applyFont="1" applyBorder="1" applyAlignment="1" applyProtection="1">
      <alignment horizontal="center" vertical="center"/>
    </xf>
    <xf numFmtId="169" fontId="15" fillId="0" borderId="0" xfId="1" applyNumberFormat="1" applyFont="1" applyBorder="1" applyAlignment="1" applyProtection="1">
      <alignment horizontal="center" vertical="center"/>
    </xf>
    <xf numFmtId="164" fontId="15" fillId="0" borderId="0" xfId="1" applyFont="1" applyBorder="1" applyAlignment="1" applyProtection="1">
      <alignment horizontal="center" vertical="center"/>
    </xf>
    <xf numFmtId="0" fontId="14" fillId="0" borderId="0" xfId="9" applyNumberFormat="1" applyFont="1" applyFill="1" applyAlignment="1">
      <alignment horizontal="left" vertical="center"/>
      <protection locked="0"/>
    </xf>
    <xf numFmtId="49" fontId="14" fillId="0" borderId="0" xfId="10" applyNumberFormat="1" applyFont="1" applyFill="1"/>
    <xf numFmtId="169" fontId="14" fillId="0" borderId="0" xfId="1" applyNumberFormat="1" applyFont="1" applyFill="1" applyAlignment="1" applyProtection="1">
      <protection locked="0"/>
    </xf>
    <xf numFmtId="39" fontId="14" fillId="0" borderId="0" xfId="9" applyNumberFormat="1" applyFont="1" applyFill="1">
      <protection locked="0"/>
    </xf>
    <xf numFmtId="0" fontId="14" fillId="0" borderId="0" xfId="9" applyNumberFormat="1" applyFont="1" applyFill="1">
      <protection locked="0"/>
    </xf>
    <xf numFmtId="165" fontId="14" fillId="0" borderId="0" xfId="9" applyFont="1" applyFill="1">
      <protection locked="0"/>
    </xf>
    <xf numFmtId="0" fontId="14" fillId="0" borderId="0" xfId="1" applyNumberFormat="1" applyFont="1" applyFill="1" applyAlignment="1" applyProtection="1">
      <protection locked="0"/>
    </xf>
    <xf numFmtId="39" fontId="14" fillId="0" borderId="0" xfId="10" applyNumberFormat="1" applyFont="1" applyFill="1" applyProtection="1">
      <protection locked="0"/>
    </xf>
    <xf numFmtId="0" fontId="14" fillId="0" borderId="0" xfId="9" applyNumberFormat="1" applyFont="1" applyAlignment="1">
      <alignment horizontal="left" vertical="center"/>
      <protection locked="0"/>
    </xf>
    <xf numFmtId="165" fontId="16" fillId="0" borderId="0" xfId="3" applyNumberFormat="1" applyFont="1" applyFill="1" applyAlignment="1">
      <alignment horizontal="left" vertical="center"/>
    </xf>
    <xf numFmtId="1" fontId="16" fillId="0" borderId="0" xfId="4" applyNumberFormat="1" applyFont="1" applyFill="1" applyAlignment="1">
      <alignment horizontal="left" vertical="center"/>
    </xf>
    <xf numFmtId="165" fontId="14" fillId="0" borderId="0" xfId="5" applyFont="1" applyFill="1" applyAlignment="1">
      <alignment horizontal="center"/>
      <protection locked="0"/>
    </xf>
    <xf numFmtId="39" fontId="14" fillId="0" borderId="0" xfId="5" applyNumberFormat="1" applyFont="1" applyFill="1" applyAlignment="1" applyProtection="1">
      <alignment horizontal="left" vertical="center"/>
    </xf>
    <xf numFmtId="164" fontId="14" fillId="0" borderId="0" xfId="1" applyFont="1" applyFill="1" applyAlignment="1" applyProtection="1">
      <alignment horizontal="left" vertical="center"/>
    </xf>
    <xf numFmtId="165" fontId="14" fillId="0" borderId="0" xfId="5" applyFont="1" applyFill="1" applyAlignment="1" applyProtection="1">
      <alignment horizontal="left" vertical="center"/>
    </xf>
    <xf numFmtId="49" fontId="15" fillId="0" borderId="0" xfId="5" applyNumberFormat="1" applyFont="1" applyFill="1" applyAlignment="1" applyProtection="1">
      <alignment horizontal="center" vertical="center"/>
    </xf>
    <xf numFmtId="165" fontId="15" fillId="0" borderId="0" xfId="5" applyNumberFormat="1" applyFont="1" applyFill="1" applyAlignment="1" applyProtection="1">
      <alignment horizontal="center" vertical="center"/>
    </xf>
    <xf numFmtId="165" fontId="14" fillId="0" borderId="0" xfId="5" applyFont="1" applyFill="1" applyBorder="1" applyAlignment="1" applyProtection="1">
      <alignment horizontal="left" vertical="center"/>
    </xf>
    <xf numFmtId="164" fontId="14" fillId="0" borderId="0" xfId="1" applyFont="1" applyFill="1" applyBorder="1" applyAlignment="1" applyProtection="1">
      <alignment horizontal="left" vertical="center"/>
    </xf>
    <xf numFmtId="165" fontId="23" fillId="0" borderId="0" xfId="5" applyNumberFormat="1" applyFont="1" applyFill="1" applyAlignment="1" applyProtection="1">
      <alignment horizontal="center" vertical="center"/>
    </xf>
    <xf numFmtId="39" fontId="23" fillId="0" borderId="0" xfId="6" applyNumberFormat="1" applyFont="1" applyFill="1" applyBorder="1" applyAlignment="1" applyProtection="1">
      <alignment vertical="center"/>
    </xf>
    <xf numFmtId="165" fontId="14" fillId="0" borderId="0" xfId="0" applyFont="1" applyFill="1" applyAlignment="1" applyProtection="1">
      <alignment horizontal="left" vertical="center"/>
    </xf>
    <xf numFmtId="165" fontId="14" fillId="0" borderId="0" xfId="5" applyFont="1" applyFill="1" applyBorder="1" applyAlignment="1">
      <alignment horizontal="center"/>
      <protection locked="0"/>
    </xf>
    <xf numFmtId="165" fontId="16" fillId="0" borderId="0" xfId="5" applyNumberFormat="1" applyFont="1" applyFill="1" applyAlignment="1">
      <alignment horizontal="left" vertical="center"/>
      <protection locked="0"/>
    </xf>
    <xf numFmtId="165" fontId="13" fillId="0" borderId="0" xfId="5" applyNumberFormat="1" applyFont="1" applyFill="1" applyAlignment="1" applyProtection="1">
      <alignment horizontal="center" vertical="center" wrapText="1"/>
    </xf>
    <xf numFmtId="165" fontId="13" fillId="0" borderId="0" xfId="5" applyFont="1" applyFill="1" applyAlignment="1" applyProtection="1">
      <alignment horizontal="center" vertical="center"/>
    </xf>
    <xf numFmtId="165" fontId="13" fillId="0" borderId="0" xfId="5" applyFont="1" applyFill="1" applyAlignment="1" applyProtection="1">
      <alignment vertical="center" wrapText="1"/>
    </xf>
    <xf numFmtId="165" fontId="15" fillId="0" borderId="0" xfId="5" applyNumberFormat="1" applyFont="1" applyFill="1" applyAlignment="1" applyProtection="1">
      <alignment horizontal="center"/>
    </xf>
    <xf numFmtId="165" fontId="15" fillId="0" borderId="0" xfId="5" applyFont="1" applyFill="1" applyAlignment="1" applyProtection="1">
      <alignment horizontal="center"/>
    </xf>
    <xf numFmtId="165" fontId="15" fillId="0" borderId="0" xfId="5" applyFont="1" applyFill="1" applyProtection="1"/>
    <xf numFmtId="165" fontId="13" fillId="0" borderId="6" xfId="5" applyFont="1" applyFill="1" applyBorder="1" applyAlignment="1" applyProtection="1">
      <alignment horizontal="center" vertical="center"/>
    </xf>
    <xf numFmtId="165" fontId="13" fillId="0" borderId="0" xfId="5" applyFont="1" applyFill="1" applyAlignment="1" applyProtection="1">
      <alignment horizontal="center"/>
    </xf>
    <xf numFmtId="39" fontId="14" fillId="0" borderId="0" xfId="5" applyNumberFormat="1" applyFont="1" applyFill="1">
      <protection locked="0"/>
    </xf>
    <xf numFmtId="165" fontId="14" fillId="0" borderId="0" xfId="5" applyNumberFormat="1" applyFont="1" applyFill="1" applyBorder="1" applyAlignment="1">
      <alignment horizontal="center"/>
      <protection locked="0"/>
    </xf>
    <xf numFmtId="165" fontId="13" fillId="0" borderId="0" xfId="5" applyFont="1" applyFill="1" applyBorder="1" applyAlignment="1" applyProtection="1">
      <alignment vertical="center"/>
    </xf>
    <xf numFmtId="39" fontId="13" fillId="0" borderId="0" xfId="5" applyNumberFormat="1" applyFont="1" applyFill="1" applyBorder="1" applyAlignment="1" applyProtection="1">
      <alignment horizontal="right" vertical="center"/>
    </xf>
    <xf numFmtId="165" fontId="14" fillId="0" borderId="0" xfId="5" applyNumberFormat="1" applyFont="1" applyFill="1" applyAlignment="1">
      <alignment horizontal="center"/>
      <protection locked="0"/>
    </xf>
    <xf numFmtId="164" fontId="14" fillId="3" borderId="0" xfId="1" applyFont="1" applyFill="1" applyAlignment="1" applyProtection="1">
      <protection locked="0"/>
    </xf>
    <xf numFmtId="165" fontId="31" fillId="0" borderId="0" xfId="5" applyFont="1" applyFill="1" applyAlignment="1" applyProtection="1">
      <alignment horizontal="left" vertical="center"/>
    </xf>
    <xf numFmtId="165" fontId="23" fillId="0" borderId="0" xfId="5" applyFont="1" applyFill="1" applyBorder="1" applyAlignment="1" applyProtection="1">
      <alignment horizontal="left" vertical="center"/>
    </xf>
    <xf numFmtId="165" fontId="31" fillId="0" borderId="0" xfId="0" applyFont="1" applyFill="1" applyAlignment="1" applyProtection="1">
      <alignment horizontal="left" vertical="center"/>
    </xf>
    <xf numFmtId="167" fontId="16" fillId="0" borderId="0" xfId="5" applyNumberFormat="1" applyFont="1" applyFill="1" applyAlignment="1">
      <protection locked="0"/>
    </xf>
    <xf numFmtId="164" fontId="22" fillId="0" borderId="0" xfId="1" applyFont="1" applyFill="1" applyAlignment="1">
      <alignment horizontal="right"/>
    </xf>
    <xf numFmtId="43" fontId="21" fillId="0" borderId="0" xfId="6" applyNumberFormat="1" applyFont="1" applyFill="1" applyAlignment="1">
      <alignment horizontal="right"/>
    </xf>
    <xf numFmtId="49" fontId="22" fillId="0" borderId="0" xfId="6" applyNumberFormat="1" applyFont="1" applyFill="1"/>
    <xf numFmtId="164" fontId="23" fillId="0" borderId="0" xfId="1" applyFont="1" applyFill="1" applyAlignment="1" applyProtection="1">
      <protection locked="0"/>
    </xf>
    <xf numFmtId="164" fontId="16" fillId="0" borderId="0" xfId="1" applyFont="1" applyFill="1" applyBorder="1" applyAlignment="1" applyProtection="1">
      <alignment horizontal="left" vertical="center"/>
      <protection locked="0"/>
    </xf>
    <xf numFmtId="165" fontId="28" fillId="0" borderId="0" xfId="5" applyFont="1" applyFill="1" applyAlignment="1">
      <alignment horizontal="left"/>
      <protection locked="0"/>
    </xf>
    <xf numFmtId="165" fontId="25" fillId="0" borderId="0" xfId="5" applyFont="1" applyFill="1" applyAlignment="1">
      <alignment horizontal="left"/>
      <protection locked="0"/>
    </xf>
    <xf numFmtId="164" fontId="21" fillId="0" borderId="0" xfId="1" applyFont="1" applyFill="1" applyAlignment="1" applyProtection="1">
      <protection locked="0"/>
    </xf>
    <xf numFmtId="165" fontId="21" fillId="0" borderId="0" xfId="5" applyFont="1" applyFill="1">
      <protection locked="0"/>
    </xf>
    <xf numFmtId="167" fontId="16" fillId="0" borderId="0" xfId="5" applyNumberFormat="1" applyFont="1" applyFill="1" applyAlignment="1">
      <alignment horizontal="center"/>
      <protection locked="0"/>
    </xf>
    <xf numFmtId="164" fontId="17" fillId="0" borderId="0" xfId="1" applyFont="1" applyFill="1" applyBorder="1" applyAlignment="1" applyProtection="1">
      <alignment horizontal="left" vertical="center"/>
      <protection locked="0"/>
    </xf>
    <xf numFmtId="165" fontId="30" fillId="0" borderId="0" xfId="5" applyFont="1" applyFill="1" applyAlignment="1">
      <alignment horizontal="left"/>
      <protection locked="0"/>
    </xf>
    <xf numFmtId="165" fontId="21" fillId="0" borderId="0" xfId="5" applyFont="1" applyFill="1" applyAlignment="1">
      <alignment horizontal="left"/>
      <protection locked="0"/>
    </xf>
    <xf numFmtId="49" fontId="14" fillId="0" borderId="0" xfId="5" applyNumberFormat="1" applyFont="1" applyFill="1" applyBorder="1" applyAlignment="1">
      <alignment horizontal="center"/>
      <protection locked="0"/>
    </xf>
    <xf numFmtId="165" fontId="21" fillId="0" borderId="0" xfId="5" applyFont="1" applyFill="1" applyBorder="1">
      <protection locked="0"/>
    </xf>
    <xf numFmtId="165" fontId="14" fillId="0" borderId="0" xfId="5" applyFont="1" applyFill="1" applyBorder="1">
      <protection locked="0"/>
    </xf>
    <xf numFmtId="164" fontId="14" fillId="0" borderId="0" xfId="1" applyFont="1" applyFill="1" applyBorder="1" applyAlignment="1" applyProtection="1">
      <protection locked="0"/>
    </xf>
    <xf numFmtId="165" fontId="28" fillId="0" borderId="0" xfId="5" applyFont="1" applyFill="1" applyAlignment="1">
      <alignment horizontal="center"/>
      <protection locked="0"/>
    </xf>
    <xf numFmtId="164" fontId="13" fillId="0" borderId="6" xfId="1" applyFont="1" applyFill="1" applyBorder="1" applyAlignment="1" applyProtection="1">
      <alignment horizontal="center" vertical="center"/>
    </xf>
    <xf numFmtId="165" fontId="17" fillId="0" borderId="0" xfId="5" applyFont="1" applyFill="1" applyAlignment="1" applyProtection="1">
      <alignment horizontal="center" vertical="center"/>
    </xf>
    <xf numFmtId="165" fontId="16" fillId="0" borderId="0" xfId="5" applyNumberFormat="1" applyFont="1" applyFill="1" applyAlignment="1">
      <alignment horizontal="center"/>
      <protection locked="0"/>
    </xf>
    <xf numFmtId="165" fontId="21" fillId="0" borderId="0" xfId="5" applyNumberFormat="1" applyFont="1" applyFill="1" applyAlignment="1">
      <alignment horizontal="center"/>
      <protection locked="0"/>
    </xf>
    <xf numFmtId="43" fontId="14" fillId="0" borderId="0" xfId="1" applyNumberFormat="1" applyFont="1" applyFill="1" applyBorder="1" applyAlignment="1">
      <alignment horizontal="right"/>
    </xf>
    <xf numFmtId="39" fontId="14" fillId="0" borderId="0" xfId="12" applyNumberFormat="1" applyFont="1" applyFill="1" applyBorder="1" applyAlignment="1"/>
    <xf numFmtId="39" fontId="14" fillId="0" borderId="0" xfId="14" applyNumberFormat="1" applyFont="1" applyFill="1" applyBorder="1" applyAlignment="1">
      <alignment horizontal="center"/>
    </xf>
    <xf numFmtId="39" fontId="14" fillId="0" borderId="0" xfId="12" applyNumberFormat="1" applyFont="1" applyFill="1" applyAlignment="1"/>
    <xf numFmtId="39" fontId="14" fillId="0" borderId="0" xfId="12" quotePrefix="1" applyNumberFormat="1" applyFont="1" applyFill="1" applyAlignment="1">
      <alignment horizontal="center"/>
    </xf>
    <xf numFmtId="39" fontId="14" fillId="0" borderId="0" xfId="12" applyNumberFormat="1" applyFont="1" applyFill="1" applyAlignment="1">
      <alignment horizontal="right"/>
    </xf>
    <xf numFmtId="164" fontId="14" fillId="0" borderId="0" xfId="1" applyFont="1" applyFill="1" applyAlignment="1">
      <alignment horizontal="center"/>
    </xf>
    <xf numFmtId="39" fontId="14" fillId="0" borderId="0" xfId="12" applyNumberFormat="1" applyFont="1" applyFill="1" applyAlignment="1">
      <alignment horizontal="center"/>
    </xf>
    <xf numFmtId="39" fontId="14" fillId="0" borderId="0" xfId="14" applyNumberFormat="1" applyFont="1" applyFill="1" applyAlignment="1">
      <alignment horizontal="center"/>
    </xf>
    <xf numFmtId="39" fontId="16" fillId="0" borderId="0" xfId="12" applyNumberFormat="1" applyFont="1" applyFill="1" applyAlignment="1">
      <alignment vertical="center"/>
    </xf>
    <xf numFmtId="39" fontId="16" fillId="0" borderId="0" xfId="12" quotePrefix="1" applyNumberFormat="1" applyFont="1" applyFill="1" applyAlignment="1">
      <alignment horizontal="right"/>
    </xf>
    <xf numFmtId="39" fontId="33" fillId="0" borderId="0" xfId="12" applyNumberFormat="1" applyFont="1" applyFill="1" applyAlignment="1">
      <alignment vertical="center"/>
    </xf>
    <xf numFmtId="39" fontId="14" fillId="0" borderId="0" xfId="12" quotePrefix="1" applyNumberFormat="1" applyFont="1" applyFill="1" applyAlignment="1">
      <alignment horizontal="left" vertical="center"/>
    </xf>
    <xf numFmtId="39" fontId="16" fillId="0" borderId="0" xfId="12" applyNumberFormat="1" applyFont="1" applyFill="1" applyAlignment="1">
      <alignment horizontal="left" vertical="center"/>
    </xf>
    <xf numFmtId="39" fontId="16" fillId="0" borderId="11" xfId="12" applyNumberFormat="1" applyFont="1" applyFill="1" applyBorder="1" applyAlignment="1"/>
    <xf numFmtId="39" fontId="14" fillId="0" borderId="0" xfId="12" applyNumberFormat="1" applyFont="1" applyFill="1" applyAlignment="1">
      <alignment horizontal="left" vertical="center"/>
    </xf>
    <xf numFmtId="39" fontId="16" fillId="0" borderId="7" xfId="12" applyNumberFormat="1" applyFont="1" applyFill="1" applyBorder="1" applyAlignment="1"/>
    <xf numFmtId="39" fontId="34" fillId="0" borderId="0" xfId="12" applyNumberFormat="1" applyFont="1" applyFill="1" applyAlignment="1">
      <alignment vertical="center"/>
    </xf>
    <xf numFmtId="39" fontId="33" fillId="0" borderId="0" xfId="12" quotePrefix="1" applyNumberFormat="1" applyFont="1" applyFill="1" applyAlignment="1">
      <alignment horizontal="left" vertical="center"/>
    </xf>
    <xf numFmtId="39" fontId="14" fillId="0" borderId="0" xfId="12" applyNumberFormat="1" applyFont="1" applyFill="1" applyAlignment="1">
      <alignment vertical="center"/>
    </xf>
    <xf numFmtId="39" fontId="14" fillId="0" borderId="11" xfId="12" applyNumberFormat="1" applyFont="1" applyFill="1" applyBorder="1" applyAlignment="1"/>
    <xf numFmtId="39" fontId="14" fillId="0" borderId="7" xfId="12" applyNumberFormat="1" applyFont="1" applyFill="1" applyBorder="1" applyAlignment="1"/>
    <xf numFmtId="164" fontId="14" fillId="0" borderId="11" xfId="1" applyFont="1" applyFill="1" applyBorder="1" applyAlignment="1">
      <alignment horizontal="center"/>
    </xf>
    <xf numFmtId="39" fontId="16" fillId="0" borderId="0" xfId="12" applyNumberFormat="1" applyFont="1" applyFill="1" applyBorder="1" applyAlignment="1"/>
    <xf numFmtId="39" fontId="12" fillId="0" borderId="0" xfId="12" applyNumberFormat="1" applyFont="1" applyFill="1" applyAlignment="1">
      <alignment vertical="center"/>
    </xf>
    <xf numFmtId="164" fontId="14" fillId="0" borderId="0" xfId="1" applyFont="1" applyFill="1" applyBorder="1" applyAlignment="1">
      <alignment horizontal="center"/>
    </xf>
    <xf numFmtId="39" fontId="14" fillId="0" borderId="0" xfId="14" applyNumberFormat="1" applyFont="1" applyFill="1" applyAlignment="1">
      <alignment horizontal="right"/>
    </xf>
    <xf numFmtId="164" fontId="16" fillId="0" borderId="0" xfId="1" applyFont="1" applyFill="1" applyBorder="1" applyAlignment="1" applyProtection="1">
      <alignment horizontal="center" vertical="center"/>
      <protection locked="0"/>
    </xf>
    <xf numFmtId="164" fontId="20" fillId="0" borderId="0" xfId="1" applyFont="1" applyFill="1" applyAlignment="1">
      <alignment horizontal="center"/>
    </xf>
    <xf numFmtId="167" fontId="16" fillId="0" borderId="0" xfId="1" applyNumberFormat="1" applyFont="1" applyFill="1" applyAlignment="1" applyProtection="1">
      <alignment horizontal="center"/>
      <protection locked="0"/>
    </xf>
    <xf numFmtId="164" fontId="14" fillId="4" borderId="0" xfId="1" applyFont="1" applyFill="1" applyAlignment="1">
      <alignment horizontal="center"/>
    </xf>
    <xf numFmtId="39" fontId="14" fillId="4" borderId="0" xfId="12" applyNumberFormat="1" applyFont="1" applyFill="1" applyAlignment="1"/>
    <xf numFmtId="39" fontId="14" fillId="4" borderId="0" xfId="12" quotePrefix="1" applyNumberFormat="1" applyFont="1" applyFill="1" applyAlignment="1">
      <alignment horizontal="left" vertical="center"/>
    </xf>
    <xf numFmtId="49" fontId="14" fillId="3" borderId="0" xfId="6" applyNumberFormat="1" applyFont="1" applyFill="1"/>
    <xf numFmtId="164" fontId="14" fillId="3" borderId="0" xfId="1" applyFont="1" applyFill="1" applyBorder="1" applyAlignment="1">
      <alignment horizontal="right"/>
    </xf>
    <xf numFmtId="167" fontId="16" fillId="0" borderId="0" xfId="5" applyNumberFormat="1" applyFont="1" applyFill="1" applyAlignment="1">
      <alignment horizontal="center"/>
      <protection locked="0"/>
    </xf>
    <xf numFmtId="164" fontId="14" fillId="3" borderId="3" xfId="1" applyFont="1" applyFill="1" applyBorder="1" applyAlignment="1">
      <alignment horizontal="right"/>
    </xf>
    <xf numFmtId="165" fontId="14" fillId="3" borderId="0" xfId="6" applyFont="1" applyFill="1" applyAlignment="1">
      <alignment horizontal="right"/>
    </xf>
    <xf numFmtId="164" fontId="14" fillId="3" borderId="0" xfId="1" applyFont="1" applyFill="1" applyAlignment="1">
      <alignment horizontal="right"/>
    </xf>
    <xf numFmtId="164" fontId="14" fillId="0" borderId="0" xfId="1" applyFont="1" applyFill="1" applyAlignment="1" applyProtection="1">
      <alignment wrapText="1"/>
      <protection locked="0"/>
    </xf>
    <xf numFmtId="167" fontId="16" fillId="0" borderId="0" xfId="5" applyNumberFormat="1" applyFont="1" applyFill="1" applyAlignment="1">
      <alignment horizontal="center"/>
      <protection locked="0"/>
    </xf>
    <xf numFmtId="165" fontId="17" fillId="0" borderId="0" xfId="5" applyNumberFormat="1" applyFont="1" applyFill="1" applyAlignment="1" applyProtection="1">
      <alignment horizontal="left"/>
    </xf>
    <xf numFmtId="49" fontId="14" fillId="0" borderId="0" xfId="10" applyNumberFormat="1" applyFont="1" applyFill="1" applyBorder="1"/>
    <xf numFmtId="174" fontId="16" fillId="0" borderId="0" xfId="6" applyNumberFormat="1" applyFont="1" applyFill="1" applyAlignment="1">
      <alignment horizontal="right"/>
    </xf>
    <xf numFmtId="37" fontId="14" fillId="0" borderId="0" xfId="9" applyNumberFormat="1" applyFont="1" applyFill="1">
      <protection locked="0"/>
    </xf>
    <xf numFmtId="169" fontId="16" fillId="0" borderId="0" xfId="1" applyNumberFormat="1" applyFont="1" applyFill="1" applyAlignment="1">
      <alignment horizontal="right"/>
    </xf>
    <xf numFmtId="4" fontId="14" fillId="0" borderId="0" xfId="19" applyNumberFormat="1" applyFont="1" applyFill="1" applyBorder="1"/>
    <xf numFmtId="43" fontId="14" fillId="0" borderId="0" xfId="18" applyNumberFormat="1" applyFont="1" applyFill="1" applyBorder="1"/>
    <xf numFmtId="164" fontId="17" fillId="0" borderId="0" xfId="1" applyFont="1" applyFill="1" applyAlignment="1">
      <alignment horizontal="center"/>
    </xf>
    <xf numFmtId="169" fontId="14" fillId="0" borderId="0" xfId="9" applyNumberFormat="1" applyFont="1" applyFill="1">
      <protection locked="0"/>
    </xf>
    <xf numFmtId="175" fontId="36" fillId="0" borderId="0" xfId="25" applyFont="1" applyAlignment="1">
      <alignment horizontal="left"/>
    </xf>
    <xf numFmtId="164" fontId="14" fillId="3" borderId="0" xfId="1" applyFont="1" applyFill="1" applyBorder="1" applyAlignment="1"/>
    <xf numFmtId="165" fontId="0" fillId="0" borderId="0" xfId="0" applyFill="1"/>
    <xf numFmtId="0" fontId="15" fillId="3" borderId="0" xfId="18" applyFont="1" applyFill="1" applyBorder="1"/>
    <xf numFmtId="0" fontId="14" fillId="3" borderId="0" xfId="18" applyFont="1" applyFill="1" applyBorder="1" applyAlignment="1" applyProtection="1">
      <alignment vertical="center"/>
      <protection locked="0"/>
    </xf>
    <xf numFmtId="0" fontId="14" fillId="3" borderId="0" xfId="18" applyFont="1" applyFill="1" applyBorder="1"/>
    <xf numFmtId="165" fontId="14" fillId="3" borderId="0" xfId="18" applyNumberFormat="1" applyFont="1" applyFill="1" applyBorder="1"/>
    <xf numFmtId="165" fontId="0" fillId="3" borderId="0" xfId="0" applyFill="1"/>
    <xf numFmtId="169" fontId="14" fillId="0" borderId="0" xfId="1" applyNumberFormat="1" applyFont="1" applyFill="1" applyBorder="1" applyAlignment="1">
      <alignment horizontal="left" vertical="center" wrapText="1"/>
    </xf>
    <xf numFmtId="165" fontId="15" fillId="0" borderId="0" xfId="0" applyFont="1" applyBorder="1"/>
    <xf numFmtId="165" fontId="15" fillId="0" borderId="0" xfId="0" applyFont="1" applyFill="1" applyAlignment="1">
      <alignment horizontal="center"/>
    </xf>
    <xf numFmtId="169" fontId="16" fillId="0" borderId="0" xfId="1" applyNumberFormat="1" applyFont="1" applyFill="1" applyBorder="1" applyAlignment="1">
      <alignment horizontal="left" vertical="center" wrapText="1"/>
    </xf>
    <xf numFmtId="165" fontId="13" fillId="0" borderId="0" xfId="0" applyFont="1" applyFill="1"/>
    <xf numFmtId="164" fontId="16" fillId="0" borderId="0" xfId="1" applyFont="1" applyFill="1" applyBorder="1" applyAlignment="1"/>
    <xf numFmtId="164" fontId="14" fillId="0" borderId="0" xfId="18" applyNumberFormat="1" applyFont="1" applyFill="1" applyBorder="1"/>
    <xf numFmtId="49" fontId="15" fillId="0" borderId="0" xfId="5" applyNumberFormat="1" applyFont="1" applyFill="1" applyAlignment="1">
      <alignment horizontal="center"/>
      <protection locked="0"/>
    </xf>
    <xf numFmtId="49" fontId="14" fillId="0" borderId="0" xfId="5" applyNumberFormat="1" applyFont="1" applyFill="1" applyAlignment="1">
      <alignment horizontal="center"/>
      <protection locked="0"/>
    </xf>
    <xf numFmtId="49" fontId="15" fillId="0" borderId="0" xfId="5" quotePrefix="1" applyNumberFormat="1" applyFont="1" applyFill="1" applyAlignment="1" applyProtection="1">
      <alignment horizontal="center" vertical="center"/>
    </xf>
    <xf numFmtId="165" fontId="32" fillId="0" borderId="0" xfId="5" applyNumberFormat="1" applyFont="1" applyFill="1" applyAlignment="1" applyProtection="1">
      <alignment horizontal="center" vertical="center"/>
    </xf>
    <xf numFmtId="165" fontId="21" fillId="0" borderId="0" xfId="5" applyFont="1" applyFill="1" applyBorder="1" applyAlignment="1" applyProtection="1">
      <alignment horizontal="left" vertical="center"/>
    </xf>
    <xf numFmtId="39" fontId="14" fillId="0" borderId="0" xfId="6" applyNumberFormat="1" applyFont="1" applyFill="1" applyBorder="1" applyAlignment="1" applyProtection="1">
      <alignment vertical="center"/>
    </xf>
    <xf numFmtId="164" fontId="14" fillId="0" borderId="0" xfId="1" applyFont="1" applyFill="1" applyBorder="1" applyAlignment="1" applyProtection="1">
      <alignment vertical="center"/>
    </xf>
    <xf numFmtId="165" fontId="21" fillId="0" borderId="0" xfId="0" applyFont="1" applyFill="1" applyAlignment="1" applyProtection="1">
      <alignment horizontal="left" vertical="center"/>
    </xf>
    <xf numFmtId="165" fontId="15" fillId="0" borderId="0" xfId="5" applyNumberFormat="1" applyFont="1" applyFill="1" applyBorder="1" applyAlignment="1" applyProtection="1">
      <alignment horizontal="center" vertical="center"/>
    </xf>
    <xf numFmtId="165" fontId="17" fillId="0" borderId="0" xfId="5" applyFont="1" applyFill="1" applyBorder="1" applyAlignment="1">
      <alignment horizontal="center"/>
      <protection locked="0"/>
    </xf>
    <xf numFmtId="165" fontId="31" fillId="0" borderId="0" xfId="0" applyFont="1" applyFill="1" applyBorder="1" applyAlignment="1" applyProtection="1">
      <alignment horizontal="left" vertical="center"/>
    </xf>
    <xf numFmtId="165" fontId="31" fillId="0" borderId="0" xfId="5" applyFont="1" applyFill="1" applyBorder="1" applyAlignment="1" applyProtection="1">
      <alignment horizontal="left" vertical="center"/>
    </xf>
    <xf numFmtId="164" fontId="14" fillId="0" borderId="0" xfId="1" applyFont="1" applyFill="1" applyBorder="1" applyAlignment="1" applyProtection="1">
      <alignment horizontal="center"/>
      <protection locked="0"/>
    </xf>
    <xf numFmtId="165" fontId="14" fillId="0" borderId="0" xfId="0" applyFont="1" applyFill="1" applyBorder="1" applyAlignment="1" applyProtection="1">
      <alignment horizontal="left" vertical="center"/>
    </xf>
    <xf numFmtId="165" fontId="21" fillId="0" borderId="0" xfId="0" applyFont="1" applyFill="1" applyBorder="1" applyAlignment="1" applyProtection="1">
      <alignment horizontal="left" vertical="center"/>
    </xf>
    <xf numFmtId="165" fontId="14" fillId="0" borderId="0" xfId="0" applyFont="1" applyFill="1" applyBorder="1"/>
    <xf numFmtId="165" fontId="21" fillId="0" borderId="0" xfId="0" applyFont="1" applyFill="1" applyBorder="1"/>
    <xf numFmtId="49" fontId="14" fillId="0" borderId="0" xfId="5" applyNumberFormat="1" applyFont="1" applyFill="1" applyAlignment="1" applyProtection="1">
      <alignment horizontal="center" vertical="center"/>
    </xf>
    <xf numFmtId="165" fontId="16" fillId="0" borderId="0" xfId="5" applyFont="1" applyFill="1" applyAlignment="1">
      <alignment horizontal="center"/>
      <protection locked="0"/>
    </xf>
    <xf numFmtId="165" fontId="14" fillId="0" borderId="0" xfId="5" applyNumberFormat="1" applyFont="1" applyFill="1" applyAlignment="1" applyProtection="1">
      <alignment horizontal="center" vertical="center"/>
    </xf>
    <xf numFmtId="0" fontId="15" fillId="0" borderId="0" xfId="5" applyNumberFormat="1" applyFont="1" applyFill="1" applyAlignment="1" applyProtection="1">
      <alignment horizontal="center" vertical="center"/>
    </xf>
    <xf numFmtId="0" fontId="15" fillId="0" borderId="0" xfId="5" applyNumberFormat="1" applyFont="1" applyFill="1" applyBorder="1" applyAlignment="1" applyProtection="1">
      <alignment horizontal="center" vertical="center"/>
    </xf>
    <xf numFmtId="0" fontId="15" fillId="0" borderId="0" xfId="5" quotePrefix="1" applyNumberFormat="1" applyFont="1" applyFill="1" applyAlignment="1" applyProtection="1">
      <alignment horizontal="center" vertical="center"/>
    </xf>
    <xf numFmtId="0" fontId="32" fillId="0" borderId="0" xfId="5" applyNumberFormat="1" applyFont="1" applyFill="1" applyAlignment="1" applyProtection="1">
      <alignment horizontal="center" vertical="center"/>
    </xf>
    <xf numFmtId="49" fontId="14" fillId="0" borderId="0" xfId="6" applyNumberFormat="1" applyFont="1" applyFill="1" applyAlignment="1">
      <alignment vertical="center"/>
    </xf>
    <xf numFmtId="168" fontId="14" fillId="0" borderId="0" xfId="6" applyNumberFormat="1" applyFont="1" applyFill="1" applyBorder="1" applyAlignment="1">
      <alignment horizontal="right" vertical="center"/>
    </xf>
    <xf numFmtId="164" fontId="14" fillId="0" borderId="0" xfId="1" applyFont="1" applyFill="1" applyBorder="1" applyAlignment="1">
      <alignment horizontal="right" vertical="center"/>
    </xf>
    <xf numFmtId="164" fontId="14" fillId="0" borderId="0" xfId="1" applyFont="1" applyFill="1" applyBorder="1" applyAlignment="1" applyProtection="1">
      <alignment horizontal="left" vertical="center"/>
      <protection locked="0"/>
    </xf>
    <xf numFmtId="167" fontId="16" fillId="0" borderId="0" xfId="5" applyNumberFormat="1" applyFont="1" applyFill="1" applyAlignment="1">
      <alignment horizontal="center"/>
      <protection locked="0"/>
    </xf>
    <xf numFmtId="39" fontId="16" fillId="0" borderId="0" xfId="13" applyNumberFormat="1" applyFont="1" applyFill="1" applyAlignment="1" applyProtection="1"/>
    <xf numFmtId="39" fontId="16" fillId="0" borderId="0" xfId="12" applyNumberFormat="1" applyFont="1" applyFill="1" applyAlignment="1"/>
    <xf numFmtId="39" fontId="14" fillId="0" borderId="0" xfId="12" applyNumberFormat="1" applyFont="1" applyFill="1" applyBorder="1" applyAlignment="1">
      <alignment horizontal="center"/>
    </xf>
    <xf numFmtId="39" fontId="14" fillId="0" borderId="0" xfId="12" applyNumberFormat="1" applyFont="1" applyFill="1" applyBorder="1" applyAlignment="1">
      <alignment horizontal="center" wrapText="1"/>
    </xf>
    <xf numFmtId="39" fontId="14" fillId="0" borderId="0" xfId="12" applyNumberFormat="1" applyFont="1" applyFill="1" applyBorder="1" applyAlignment="1">
      <alignment horizontal="centerContinuous"/>
    </xf>
    <xf numFmtId="164" fontId="14" fillId="0" borderId="0" xfId="1" applyFont="1" applyFill="1" applyAlignment="1">
      <alignment vertical="center"/>
    </xf>
    <xf numFmtId="0" fontId="16" fillId="0" borderId="0" xfId="29" applyFont="1" applyFill="1" applyAlignment="1">
      <alignment horizontal="left" vertical="center" wrapText="1"/>
    </xf>
    <xf numFmtId="176" fontId="14" fillId="0" borderId="0" xfId="0" applyNumberFormat="1" applyFont="1" applyFill="1" applyBorder="1" applyAlignment="1" applyProtection="1">
      <alignment wrapText="1"/>
      <protection locked="0"/>
    </xf>
    <xf numFmtId="176" fontId="16" fillId="0" borderId="0" xfId="0" applyNumberFormat="1" applyFont="1" applyFill="1" applyBorder="1" applyAlignment="1" applyProtection="1">
      <alignment wrapText="1"/>
      <protection locked="0"/>
    </xf>
    <xf numFmtId="165" fontId="15" fillId="0" borderId="0" xfId="0" applyFont="1" applyAlignment="1">
      <alignment wrapText="1"/>
    </xf>
    <xf numFmtId="164" fontId="14" fillId="0" borderId="0" xfId="29" applyNumberFormat="1" applyFont="1" applyFill="1" applyAlignment="1">
      <alignment vertical="center"/>
    </xf>
    <xf numFmtId="164" fontId="14" fillId="0" borderId="0" xfId="29" applyNumberFormat="1" applyFont="1" applyFill="1" applyAlignment="1">
      <alignment horizontal="left" vertical="center" wrapText="1"/>
    </xf>
    <xf numFmtId="164" fontId="14" fillId="4" borderId="0" xfId="1" applyFont="1" applyFill="1" applyAlignment="1"/>
    <xf numFmtId="39" fontId="14" fillId="4" borderId="0" xfId="12" applyNumberFormat="1" applyFont="1" applyFill="1" applyAlignment="1">
      <alignment horizontal="left" vertical="center"/>
    </xf>
    <xf numFmtId="164" fontId="14" fillId="4" borderId="0" xfId="1" applyFont="1" applyFill="1" applyBorder="1" applyAlignment="1">
      <alignment horizontal="right"/>
    </xf>
    <xf numFmtId="39" fontId="14" fillId="4" borderId="0" xfId="12" applyNumberFormat="1" applyFont="1" applyFill="1" applyAlignment="1">
      <alignment vertical="center"/>
    </xf>
    <xf numFmtId="39" fontId="14" fillId="4" borderId="0" xfId="12" applyNumberFormat="1" applyFont="1" applyFill="1" applyBorder="1" applyAlignment="1"/>
    <xf numFmtId="39" fontId="14" fillId="0" borderId="0" xfId="12" quotePrefix="1" applyNumberFormat="1" applyFont="1" applyFill="1" applyAlignment="1">
      <alignment vertical="center"/>
    </xf>
    <xf numFmtId="43" fontId="14" fillId="0" borderId="0" xfId="22" applyFont="1" applyFill="1"/>
    <xf numFmtId="164" fontId="14" fillId="4" borderId="0" xfId="1" applyFont="1" applyFill="1" applyBorder="1" applyAlignment="1" applyProtection="1">
      <alignment horizontal="left" vertical="center"/>
    </xf>
    <xf numFmtId="43" fontId="14" fillId="4" borderId="0" xfId="22" applyFont="1" applyFill="1"/>
    <xf numFmtId="168" fontId="14" fillId="4" borderId="0" xfId="6" applyNumberFormat="1" applyFont="1" applyFill="1" applyBorder="1" applyAlignment="1">
      <alignment horizontal="right"/>
    </xf>
    <xf numFmtId="164" fontId="14" fillId="4" borderId="0" xfId="1" applyFont="1" applyFill="1" applyBorder="1" applyAlignment="1" applyProtection="1">
      <protection locked="0"/>
    </xf>
    <xf numFmtId="167" fontId="16" fillId="0" borderId="0" xfId="5" applyNumberFormat="1" applyFont="1" applyFill="1" applyAlignment="1">
      <alignment horizontal="center"/>
      <protection locked="0"/>
    </xf>
    <xf numFmtId="165" fontId="42" fillId="0" borderId="0" xfId="0" applyFont="1" applyAlignment="1">
      <alignment horizontal="left" vertical="center"/>
    </xf>
    <xf numFmtId="165" fontId="43" fillId="0" borderId="0" xfId="0" applyFont="1" applyAlignment="1">
      <alignment horizontal="left" vertical="center"/>
    </xf>
    <xf numFmtId="164" fontId="14" fillId="3" borderId="0" xfId="1" applyFont="1" applyFill="1" applyBorder="1" applyAlignment="1" applyProtection="1">
      <alignment horizontal="left" vertical="center"/>
    </xf>
    <xf numFmtId="167" fontId="16" fillId="0" borderId="0" xfId="5" applyNumberFormat="1" applyFont="1" applyFill="1" applyAlignment="1">
      <alignment horizontal="center"/>
      <protection locked="0"/>
    </xf>
    <xf numFmtId="164" fontId="14" fillId="0" borderId="0" xfId="1" applyFont="1" applyFill="1" applyAlignment="1">
      <alignment horizontal="right" wrapText="1"/>
    </xf>
    <xf numFmtId="167" fontId="16" fillId="0" borderId="0" xfId="5" applyNumberFormat="1" applyFont="1" applyFill="1" applyAlignment="1">
      <alignment horizontal="center"/>
      <protection locked="0"/>
    </xf>
    <xf numFmtId="4" fontId="14" fillId="0" borderId="3" xfId="1" applyNumberFormat="1" applyFont="1" applyFill="1" applyBorder="1" applyAlignment="1">
      <alignment horizontal="right"/>
    </xf>
    <xf numFmtId="9" fontId="15" fillId="0" borderId="0" xfId="2" applyFont="1" applyAlignment="1">
      <alignment horizontal="right"/>
    </xf>
    <xf numFmtId="165" fontId="15" fillId="7" borderId="0" xfId="0" applyFont="1" applyFill="1"/>
    <xf numFmtId="165" fontId="15" fillId="7" borderId="0" xfId="0" applyFont="1" applyFill="1" applyAlignment="1">
      <alignment horizontal="center"/>
    </xf>
    <xf numFmtId="9" fontId="15" fillId="0" borderId="0" xfId="2" applyFont="1" applyFill="1" applyAlignment="1">
      <alignment horizontal="right"/>
    </xf>
    <xf numFmtId="167" fontId="16" fillId="0" borderId="0" xfId="5" applyNumberFormat="1" applyFont="1" applyFill="1" applyAlignment="1">
      <alignment horizontal="center"/>
      <protection locked="0"/>
    </xf>
    <xf numFmtId="39" fontId="14" fillId="0" borderId="0" xfId="12" applyNumberFormat="1" applyFont="1" applyFill="1" applyBorder="1" applyAlignment="1">
      <alignment horizontal="center"/>
    </xf>
    <xf numFmtId="14" fontId="13" fillId="0" borderId="0" xfId="5" applyNumberFormat="1" applyFont="1" applyFill="1" applyAlignment="1" applyProtection="1">
      <alignment horizontal="center" vertical="center"/>
    </xf>
    <xf numFmtId="14" fontId="29" fillId="2" borderId="8" xfId="9" applyNumberFormat="1" applyFont="1" applyFill="1" applyBorder="1" applyAlignment="1" applyProtection="1">
      <alignment horizontal="center" vertical="center" wrapText="1"/>
    </xf>
    <xf numFmtId="14" fontId="29" fillId="2" borderId="3" xfId="9" applyNumberFormat="1" applyFont="1" applyFill="1" applyBorder="1" applyAlignment="1" applyProtection="1">
      <alignment horizontal="center" vertical="center" wrapText="1"/>
    </xf>
    <xf numFmtId="0" fontId="29" fillId="2" borderId="8" xfId="9" applyNumberFormat="1" applyFont="1" applyFill="1" applyBorder="1" applyAlignment="1" applyProtection="1">
      <alignment horizontal="center" vertical="center" wrapText="1"/>
    </xf>
    <xf numFmtId="0" fontId="29" fillId="2" borderId="3" xfId="9" applyNumberFormat="1" applyFont="1" applyFill="1" applyBorder="1" applyAlignment="1" applyProtection="1">
      <alignment horizontal="center" vertical="center" wrapText="1"/>
    </xf>
    <xf numFmtId="0" fontId="16" fillId="0" borderId="0" xfId="18" applyFont="1" applyFill="1" applyBorder="1" applyAlignment="1">
      <alignment horizontal="center"/>
    </xf>
    <xf numFmtId="165" fontId="15" fillId="6" borderId="0" xfId="0" applyFont="1" applyFill="1" applyAlignment="1">
      <alignment horizontal="center"/>
    </xf>
    <xf numFmtId="169" fontId="14" fillId="6" borderId="0" xfId="1" applyNumberFormat="1" applyFont="1" applyFill="1" applyBorder="1" applyAlignment="1">
      <alignment horizontal="center" vertical="center" wrapText="1"/>
    </xf>
    <xf numFmtId="164" fontId="14" fillId="0" borderId="0" xfId="1" applyFont="1" applyFill="1" applyBorder="1" applyAlignment="1">
      <alignment horizontal="center" vertical="center"/>
    </xf>
    <xf numFmtId="165" fontId="17" fillId="0" borderId="0" xfId="5" quotePrefix="1" applyFont="1" applyFill="1" applyAlignment="1">
      <alignment horizontal="center"/>
      <protection locked="0"/>
    </xf>
    <xf numFmtId="165" fontId="14" fillId="0" borderId="0" xfId="5" quotePrefix="1" applyFont="1" applyFill="1">
      <protection locked="0"/>
    </xf>
  </cellXfs>
  <cellStyles count="31">
    <cellStyle name="_x0007_ 2 2" xfId="13" xr:uid="{00000000-0005-0000-0000-000000000000}"/>
    <cellStyle name="0,0_x000a__x000a_NA_x000a__x000a_" xfId="11" xr:uid="{00000000-0005-0000-0000-000001000000}"/>
    <cellStyle name="0,0_x000a__x000a_NA_x000a__x000a_ 2" xfId="20" xr:uid="{00000000-0005-0000-0000-000002000000}"/>
    <cellStyle name="Comma" xfId="1" builtinId="3"/>
    <cellStyle name="Comma 10 5" xfId="22" xr:uid="{00000000-0005-0000-0000-000004000000}"/>
    <cellStyle name="Comma 18" xfId="23" xr:uid="{00000000-0005-0000-0000-000005000000}"/>
    <cellStyle name="Comma 2" xfId="6" xr:uid="{00000000-0005-0000-0000-000006000000}"/>
    <cellStyle name="Comma 2 10" xfId="24" xr:uid="{00000000-0005-0000-0000-000007000000}"/>
    <cellStyle name="Comma 2 15" xfId="30" xr:uid="{00000000-0005-0000-0000-000008000000}"/>
    <cellStyle name="Comma 3" xfId="10" xr:uid="{00000000-0005-0000-0000-000009000000}"/>
    <cellStyle name="Comma 3 2" xfId="12" xr:uid="{00000000-0005-0000-0000-00000A000000}"/>
    <cellStyle name="Comma 4" xfId="19" xr:uid="{00000000-0005-0000-0000-00000B000000}"/>
    <cellStyle name="Comma 48" xfId="21" xr:uid="{00000000-0005-0000-0000-00000C000000}"/>
    <cellStyle name="Comma 83" xfId="15" xr:uid="{00000000-0005-0000-0000-00000D000000}"/>
    <cellStyle name="Comma 89" xfId="26" xr:uid="{00000000-0005-0000-0000-00000E000000}"/>
    <cellStyle name="Comma_Cashflow PWC" xfId="14" xr:uid="{00000000-0005-0000-0000-00000F000000}"/>
    <cellStyle name="Nor}al 2" xfId="27" xr:uid="{00000000-0005-0000-0000-000010000000}"/>
    <cellStyle name="Normal" xfId="0" builtinId="0"/>
    <cellStyle name="Normal 12" xfId="3" xr:uid="{00000000-0005-0000-0000-000012000000}"/>
    <cellStyle name="Normal 2" xfId="5" xr:uid="{00000000-0005-0000-0000-000013000000}"/>
    <cellStyle name="Normal 3" xfId="9" xr:uid="{00000000-0005-0000-0000-000014000000}"/>
    <cellStyle name="Normal 30 2 2" xfId="8" xr:uid="{00000000-0005-0000-0000-000015000000}"/>
    <cellStyle name="Normal 4" xfId="18" xr:uid="{00000000-0005-0000-0000-000016000000}"/>
    <cellStyle name="Normal 4 2" xfId="17" xr:uid="{00000000-0005-0000-0000-000017000000}"/>
    <cellStyle name="Normal 7" xfId="28" xr:uid="{00000000-0005-0000-0000-000018000000}"/>
    <cellStyle name="Normal_SST_2010 12 31_alex-v7" xfId="25" xr:uid="{00000000-0005-0000-0000-000019000000}"/>
    <cellStyle name="Normal_Working papers-Andy" xfId="29" xr:uid="{00000000-0005-0000-0000-00001A000000}"/>
    <cellStyle name="Percent" xfId="2" builtinId="5"/>
    <cellStyle name="Percent 2" xfId="7" xr:uid="{00000000-0005-0000-0000-00001C000000}"/>
    <cellStyle name="常规 2" xfId="16" xr:uid="{00000000-0005-0000-0000-00001D000000}"/>
    <cellStyle name="常规_Sheet1" xfId="4" xr:uid="{00000000-0005-0000-0000-00001E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externalLink" Target="externalLinks/externalLink7.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0</xdr:rowOff>
    </xdr:from>
    <xdr:to>
      <xdr:col>2</xdr:col>
      <xdr:colOff>974562</xdr:colOff>
      <xdr:row>43</xdr:row>
      <xdr:rowOff>31696</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6143625"/>
          <a:ext cx="3974937" cy="841321"/>
        </a:xfrm>
        <a:prstGeom prst="rect">
          <a:avLst/>
        </a:prstGeom>
      </xdr:spPr>
    </xdr:pic>
    <xdr:clientData/>
  </xdr:twoCellAnchor>
  <xdr:twoCellAnchor editAs="oneCell">
    <xdr:from>
      <xdr:col>0</xdr:col>
      <xdr:colOff>0</xdr:colOff>
      <xdr:row>46</xdr:row>
      <xdr:rowOff>0</xdr:rowOff>
    </xdr:from>
    <xdr:to>
      <xdr:col>2</xdr:col>
      <xdr:colOff>1007900</xdr:colOff>
      <xdr:row>55</xdr:row>
      <xdr:rowOff>93755</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7439025"/>
          <a:ext cx="4008275" cy="15510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ld1025\irene\EXCEL\JANET\ESSILAB\FEB98RP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Work\Audit%20work\Nexans\2018\2018-12-31\Nexans%20SUZ\Nexans%20SUZ%20WP%20v0308\Nexans%20SUZ%20Spreadsheet-2018.12.31-V0409.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yori.sheng\Desktop\1920%20Nexans\SUZ%201231\PBC\GL\V0113\Chart%20of%20Accounts201912-SUZ.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yori.sheng\Desktop\2021%20Nexans\Group\Database_Nexans%20SUZ-20200630-v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yori.sheng\Desktop\1920%20Nexans\SUZ%201231\YS\Nexans%20SUZ%20Spreadsheet-2019.12.31-YS-V05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idor_treves\Calidad\tci\SODIMATEX\TCDEC\SYNTHES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job\WP\lesaffre\2010\2010.10.31\interim%20ref\WP\Interim\Lesaffre\Lesaffre%20wp-2009.12.31\Lesaffre%20wp-2009.12.31\Mazars\Company%20(audit)\Essilor\Essilor%202009\2009%20Final\FIN\BUDGET97\BS969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job\WP\lesaffre\2010\2010.10.31\interim%20ref\WP\Interim\Lesaffre\Lesaffre%20wp-2009.12.31\Lesaffre%20wp-2009.12.31\Mazars\Company%20(audit)\Essilor\Essilor%202009\2009%20Final\FIN\BUDGET97\BS969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Areva-RCM\PBC%20RITZ%20r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reva-RCM\PBC%20RITZ%20r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Worksheet%20in%20(C)%206240%20Accrued%20Expense"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1\feng_e\LOCALS~1\Temp\Budget%20Division%202006%20V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DOCUME~1\feng_e\LOCALS~1\Temp\Budget%20Division%202006%20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00000"/>
      <sheetName val="ManilaGL-TB"/>
      <sheetName val="cebuGL-TB"/>
      <sheetName val="PDF2"/>
      <sheetName val="cogs"/>
      <sheetName val="IntBalheet"/>
      <sheetName val="Q4"/>
      <sheetName val="List"/>
      <sheetName val="4"/>
      <sheetName val="PKH-Income"/>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C Spreadsheet-2018.12.31"/>
      <sheetName val="PRC JA list"/>
      <sheetName val="SUAD"/>
      <sheetName val="Cash flow"/>
      <sheetName val="PRC Spreadsheet 20171231"/>
      <sheetName val="Financial Highlight_BS"/>
      <sheetName val="Financial Highlight_PL"/>
      <sheetName val="Mapping BS"/>
      <sheetName val="Mapping PL"/>
    </sheetNames>
    <sheetDataSet>
      <sheetData sheetId="0">
        <row r="9">
          <cell r="M9">
            <v>20122076.329999998</v>
          </cell>
        </row>
        <row r="10">
          <cell r="M10">
            <v>15614057.98</v>
          </cell>
        </row>
        <row r="11">
          <cell r="M11">
            <v>123259547.58</v>
          </cell>
        </row>
        <row r="12">
          <cell r="M12">
            <v>-378262.26</v>
          </cell>
        </row>
        <row r="13">
          <cell r="M13">
            <v>28023466.039999999</v>
          </cell>
        </row>
        <row r="14">
          <cell r="M14">
            <v>4270124.46</v>
          </cell>
        </row>
        <row r="16">
          <cell r="M16">
            <v>132224913.48</v>
          </cell>
        </row>
        <row r="17">
          <cell r="M17">
            <v>-10609636.16</v>
          </cell>
        </row>
        <row r="18">
          <cell r="M18">
            <v>1976370.43</v>
          </cell>
        </row>
        <row r="25">
          <cell r="M25">
            <v>392209454.44</v>
          </cell>
        </row>
        <row r="26">
          <cell r="M26">
            <v>-57227922.909999996</v>
          </cell>
        </row>
        <row r="31">
          <cell r="M31">
            <v>18031636.299999997</v>
          </cell>
        </row>
        <row r="35">
          <cell r="M35">
            <v>49578023.5</v>
          </cell>
        </row>
        <row r="41">
          <cell r="M41">
            <v>14321919.17</v>
          </cell>
        </row>
        <row r="45">
          <cell r="M45">
            <v>-144704415.18000001</v>
          </cell>
        </row>
        <row r="47">
          <cell r="M47">
            <v>-83524630.030000001</v>
          </cell>
        </row>
        <row r="48">
          <cell r="M48">
            <v>-6619298.9000000004</v>
          </cell>
        </row>
        <row r="49">
          <cell r="M49">
            <v>-2108768.9300000002</v>
          </cell>
        </row>
        <row r="50">
          <cell r="M50">
            <v>-8802201.4000000004</v>
          </cell>
        </row>
        <row r="51">
          <cell r="M51">
            <v>-849170.37999999966</v>
          </cell>
        </row>
        <row r="52">
          <cell r="M52">
            <v>-9663351.9199999999</v>
          </cell>
        </row>
        <row r="53">
          <cell r="M53">
            <v>-36797452.280000001</v>
          </cell>
        </row>
        <row r="56">
          <cell r="M56">
            <v>-157502000</v>
          </cell>
        </row>
        <row r="63">
          <cell r="M63">
            <v>-306849861.18000001</v>
          </cell>
        </row>
        <row r="64">
          <cell r="M64">
            <v>0</v>
          </cell>
        </row>
        <row r="65">
          <cell r="M65">
            <v>0</v>
          </cell>
        </row>
        <row r="66">
          <cell r="M66">
            <v>-346098.95999999985</v>
          </cell>
        </row>
        <row r="67">
          <cell r="M67">
            <v>26351480.779999975</v>
          </cell>
        </row>
        <row r="74">
          <cell r="M74">
            <v>-475610380.38999999</v>
          </cell>
        </row>
        <row r="75">
          <cell r="M75">
            <v>375931417.95000005</v>
          </cell>
        </row>
        <row r="76">
          <cell r="M76">
            <v>3196464.63</v>
          </cell>
        </row>
        <row r="81">
          <cell r="M81">
            <v>14871452.65</v>
          </cell>
        </row>
        <row r="82">
          <cell r="M82">
            <v>43596197.479999997</v>
          </cell>
        </row>
        <row r="84">
          <cell r="M84">
            <v>8695612.4600000009</v>
          </cell>
        </row>
        <row r="89">
          <cell r="M89">
            <v>-65636.78</v>
          </cell>
        </row>
        <row r="90">
          <cell r="M90">
            <v>311493.86999999918</v>
          </cell>
        </row>
        <row r="94">
          <cell r="M94">
            <v>573187.34000000008</v>
          </cell>
        </row>
        <row r="96">
          <cell r="M96">
            <v>-346098.95999993896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of Accounts1"/>
    </sheetNames>
    <sheetDataSet>
      <sheetData sheetId="0">
        <row r="2">
          <cell r="A2" t="str">
            <v>No.</v>
          </cell>
          <cell r="B2" t="str">
            <v>Date Filter</v>
          </cell>
          <cell r="C2" t="str">
            <v>Name</v>
          </cell>
          <cell r="D2" t="str">
            <v>Second Description</v>
          </cell>
          <cell r="E2" t="str">
            <v>Income/Balance</v>
          </cell>
          <cell r="F2" t="str">
            <v>Account Type</v>
          </cell>
          <cell r="G2" t="str">
            <v>Direct Posting</v>
          </cell>
          <cell r="H2" t="str">
            <v>Totaling</v>
          </cell>
          <cell r="I2" t="str">
            <v>Net Change</v>
          </cell>
          <cell r="J2" t="str">
            <v>Debit Amount</v>
          </cell>
          <cell r="K2" t="str">
            <v>Credit Amount</v>
          </cell>
          <cell r="L2" t="str">
            <v>Balance at Date</v>
          </cell>
          <cell r="M2" t="str">
            <v>Consol. Debit Acc.</v>
          </cell>
        </row>
        <row r="3">
          <cell r="A3" t="str">
            <v>10000000</v>
          </cell>
          <cell r="B3" t="str">
            <v>19/01/01..19/12/31</v>
          </cell>
          <cell r="C3" t="str">
            <v>Asset</v>
          </cell>
          <cell r="D3" t="str">
            <v>资产</v>
          </cell>
          <cell r="E3" t="str">
            <v>Balance Sheet</v>
          </cell>
          <cell r="F3" t="str">
            <v>Heading</v>
          </cell>
          <cell r="G3" t="str">
            <v>No</v>
          </cell>
          <cell r="H3" t="str">
            <v/>
          </cell>
          <cell r="I3" t="str">
            <v/>
          </cell>
          <cell r="J3" t="str">
            <v/>
          </cell>
          <cell r="K3" t="str">
            <v/>
          </cell>
          <cell r="L3" t="str">
            <v/>
          </cell>
          <cell r="M3" t="str">
            <v/>
          </cell>
        </row>
        <row r="4">
          <cell r="A4" t="str">
            <v>10000010</v>
          </cell>
          <cell r="B4" t="str">
            <v>19/01/01..19/12/31</v>
          </cell>
          <cell r="C4" t="str">
            <v>Current Asset</v>
          </cell>
          <cell r="D4" t="str">
            <v>流动资产</v>
          </cell>
          <cell r="E4" t="str">
            <v>Balance Sheet</v>
          </cell>
          <cell r="F4" t="str">
            <v>Begin-Total</v>
          </cell>
          <cell r="G4" t="str">
            <v>No</v>
          </cell>
          <cell r="H4" t="str">
            <v/>
          </cell>
          <cell r="I4" t="str">
            <v/>
          </cell>
          <cell r="J4" t="str">
            <v/>
          </cell>
          <cell r="K4" t="str">
            <v/>
          </cell>
          <cell r="L4" t="str">
            <v/>
          </cell>
          <cell r="M4" t="str">
            <v/>
          </cell>
        </row>
        <row r="5">
          <cell r="A5" t="str">
            <v>10000100</v>
          </cell>
          <cell r="B5" t="str">
            <v>19/01/01..19/12/31</v>
          </cell>
          <cell r="C5" t="str">
            <v>Cash and Cash Equivalents</v>
          </cell>
          <cell r="D5" t="str">
            <v>货币资金</v>
          </cell>
          <cell r="E5" t="str">
            <v>Balance Sheet</v>
          </cell>
          <cell r="F5" t="str">
            <v>Begin-Total</v>
          </cell>
          <cell r="G5" t="str">
            <v>No</v>
          </cell>
          <cell r="H5" t="str">
            <v/>
          </cell>
          <cell r="I5" t="str">
            <v/>
          </cell>
          <cell r="J5" t="str">
            <v/>
          </cell>
          <cell r="K5" t="str">
            <v/>
          </cell>
          <cell r="L5" t="str">
            <v/>
          </cell>
          <cell r="M5" t="str">
            <v/>
          </cell>
        </row>
        <row r="6">
          <cell r="A6" t="str">
            <v>10010000</v>
          </cell>
          <cell r="B6" t="str">
            <v>19/01/01..19/12/31</v>
          </cell>
          <cell r="C6" t="str">
            <v>Cash on Hand</v>
          </cell>
          <cell r="D6" t="str">
            <v>库存现金</v>
          </cell>
          <cell r="E6" t="str">
            <v>Balance Sheet</v>
          </cell>
          <cell r="F6" t="str">
            <v>Begin-Total</v>
          </cell>
          <cell r="G6" t="str">
            <v>Yes</v>
          </cell>
          <cell r="H6" t="str">
            <v/>
          </cell>
          <cell r="I6" t="str">
            <v/>
          </cell>
          <cell r="J6" t="str">
            <v/>
          </cell>
          <cell r="K6" t="str">
            <v/>
          </cell>
          <cell r="L6" t="str">
            <v/>
          </cell>
          <cell r="M6" t="str">
            <v/>
          </cell>
        </row>
        <row r="7">
          <cell r="A7" t="str">
            <v>10010100</v>
          </cell>
          <cell r="B7" t="str">
            <v>19/01/01..19/12/31</v>
          </cell>
          <cell r="C7" t="str">
            <v>Cash on Hand_CNY</v>
          </cell>
          <cell r="D7" t="str">
            <v>库存现金_人民币</v>
          </cell>
          <cell r="E7" t="str">
            <v>Balance Sheet</v>
          </cell>
          <cell r="F7" t="str">
            <v>Posting</v>
          </cell>
          <cell r="G7" t="str">
            <v>Yes</v>
          </cell>
          <cell r="H7" t="str">
            <v/>
          </cell>
          <cell r="I7" t="str">
            <v/>
          </cell>
          <cell r="J7" t="str">
            <v/>
          </cell>
          <cell r="K7" t="str">
            <v/>
          </cell>
          <cell r="L7" t="str">
            <v/>
          </cell>
          <cell r="M7" t="str">
            <v>500100</v>
          </cell>
        </row>
        <row r="8">
          <cell r="A8" t="str">
            <v>10010200</v>
          </cell>
          <cell r="B8" t="str">
            <v>19/01/01..19/12/31</v>
          </cell>
          <cell r="C8" t="str">
            <v>Cash on Hand_USD</v>
          </cell>
          <cell r="D8" t="str">
            <v>库存现金_美元</v>
          </cell>
          <cell r="E8" t="str">
            <v>Balance Sheet</v>
          </cell>
          <cell r="F8" t="str">
            <v>Posting</v>
          </cell>
          <cell r="G8" t="str">
            <v>Yes</v>
          </cell>
          <cell r="H8" t="str">
            <v/>
          </cell>
          <cell r="I8" t="str">
            <v/>
          </cell>
          <cell r="J8" t="str">
            <v/>
          </cell>
          <cell r="K8" t="str">
            <v/>
          </cell>
          <cell r="L8" t="str">
            <v/>
          </cell>
          <cell r="M8" t="str">
            <v>500100</v>
          </cell>
        </row>
        <row r="9">
          <cell r="A9" t="str">
            <v>10010300</v>
          </cell>
          <cell r="B9" t="str">
            <v>19/01/01..19/12/31</v>
          </cell>
          <cell r="C9" t="str">
            <v>Cash on Hand_EUR</v>
          </cell>
          <cell r="D9" t="str">
            <v>库存现金_欧元</v>
          </cell>
          <cell r="E9" t="str">
            <v>Balance Sheet</v>
          </cell>
          <cell r="F9" t="str">
            <v>Posting</v>
          </cell>
          <cell r="G9" t="str">
            <v>Yes</v>
          </cell>
          <cell r="H9" t="str">
            <v/>
          </cell>
          <cell r="I9" t="str">
            <v/>
          </cell>
          <cell r="J9" t="str">
            <v/>
          </cell>
          <cell r="K9" t="str">
            <v/>
          </cell>
          <cell r="L9" t="str">
            <v/>
          </cell>
          <cell r="M9" t="str">
            <v>500100</v>
          </cell>
        </row>
        <row r="10">
          <cell r="A10" t="str">
            <v>10019999</v>
          </cell>
          <cell r="B10" t="str">
            <v>19/01/01..19/12/31</v>
          </cell>
          <cell r="C10" t="str">
            <v>Cash on Hand_Total</v>
          </cell>
          <cell r="D10" t="str">
            <v>库存现金合计</v>
          </cell>
          <cell r="E10" t="str">
            <v>Balance Sheet</v>
          </cell>
          <cell r="F10" t="str">
            <v>End-Total</v>
          </cell>
          <cell r="G10" t="str">
            <v>No</v>
          </cell>
          <cell r="H10" t="str">
            <v>10010000..10019999</v>
          </cell>
          <cell r="I10" t="str">
            <v/>
          </cell>
          <cell r="J10" t="str">
            <v/>
          </cell>
          <cell r="K10" t="str">
            <v/>
          </cell>
          <cell r="L10" t="str">
            <v/>
          </cell>
          <cell r="M10" t="str">
            <v/>
          </cell>
        </row>
        <row r="11">
          <cell r="A11" t="str">
            <v>10020000</v>
          </cell>
          <cell r="B11" t="str">
            <v>19/01/01..19/12/31</v>
          </cell>
          <cell r="C11" t="str">
            <v>Cash in Bank</v>
          </cell>
          <cell r="D11" t="str">
            <v>银行存款</v>
          </cell>
          <cell r="E11" t="str">
            <v>Balance Sheet</v>
          </cell>
          <cell r="F11" t="str">
            <v>Begin-Total</v>
          </cell>
          <cell r="G11" t="str">
            <v>No</v>
          </cell>
          <cell r="H11" t="str">
            <v/>
          </cell>
          <cell r="I11" t="str">
            <v/>
          </cell>
          <cell r="J11" t="str">
            <v/>
          </cell>
          <cell r="K11" t="str">
            <v/>
          </cell>
          <cell r="L11" t="str">
            <v/>
          </cell>
          <cell r="M11" t="str">
            <v/>
          </cell>
        </row>
        <row r="12">
          <cell r="A12" t="str">
            <v>10020100</v>
          </cell>
          <cell r="B12" t="str">
            <v>19/01/01..19/12/31</v>
          </cell>
          <cell r="C12" t="str">
            <v>Cash in Bank_CNY</v>
          </cell>
          <cell r="D12" t="str">
            <v>银存_人民币</v>
          </cell>
          <cell r="E12" t="str">
            <v>Balance Sheet</v>
          </cell>
          <cell r="F12" t="str">
            <v>Begin-Total</v>
          </cell>
          <cell r="G12" t="str">
            <v>No</v>
          </cell>
          <cell r="H12" t="str">
            <v/>
          </cell>
          <cell r="I12" t="str">
            <v/>
          </cell>
          <cell r="J12" t="str">
            <v/>
          </cell>
          <cell r="K12" t="str">
            <v/>
          </cell>
          <cell r="L12" t="str">
            <v/>
          </cell>
          <cell r="M12" t="str">
            <v/>
          </cell>
        </row>
        <row r="13">
          <cell r="A13" t="str">
            <v>10020101</v>
          </cell>
          <cell r="B13" t="str">
            <v>19/01/01..19/12/31</v>
          </cell>
          <cell r="C13" t="str">
            <v>Cash in Bank_CNY_CCB_General</v>
          </cell>
          <cell r="D13" t="str">
            <v>人民币_建设银行-基本户</v>
          </cell>
          <cell r="E13" t="str">
            <v>Balance Sheet</v>
          </cell>
          <cell r="F13" t="str">
            <v>Posting</v>
          </cell>
          <cell r="G13" t="str">
            <v>Yes</v>
          </cell>
          <cell r="H13" t="str">
            <v/>
          </cell>
          <cell r="I13">
            <v>-2281260.25</v>
          </cell>
          <cell r="J13">
            <v>129240656.20999999</v>
          </cell>
          <cell r="K13">
            <v>131521916.45999999</v>
          </cell>
          <cell r="L13">
            <v>8481832.8399999999</v>
          </cell>
          <cell r="M13" t="str">
            <v>500100</v>
          </cell>
        </row>
        <row r="14">
          <cell r="A14" t="str">
            <v>10020102</v>
          </cell>
          <cell r="B14" t="str">
            <v>19/01/01..19/12/31</v>
          </cell>
          <cell r="C14" t="str">
            <v>Cash in Bank_CNY_Nordea_General</v>
          </cell>
          <cell r="D14" t="str">
            <v>人民币_北欧银行-基本户</v>
          </cell>
          <cell r="E14" t="str">
            <v>Balance Sheet</v>
          </cell>
          <cell r="F14" t="str">
            <v>Posting</v>
          </cell>
          <cell r="G14" t="str">
            <v>Yes</v>
          </cell>
          <cell r="H14" t="str">
            <v/>
          </cell>
          <cell r="I14">
            <v>-99488.27</v>
          </cell>
          <cell r="J14">
            <v>86.92</v>
          </cell>
          <cell r="K14">
            <v>99575.19</v>
          </cell>
          <cell r="L14" t="str">
            <v/>
          </cell>
          <cell r="M14" t="str">
            <v>500100</v>
          </cell>
        </row>
        <row r="15">
          <cell r="A15" t="str">
            <v>10020103</v>
          </cell>
          <cell r="B15" t="str">
            <v>19/01/01..19/12/31</v>
          </cell>
          <cell r="C15" t="str">
            <v>Cash in Bank_CNY_HSBC_General</v>
          </cell>
          <cell r="D15" t="str">
            <v>人民币_汇丰银行-基本户</v>
          </cell>
          <cell r="E15" t="str">
            <v>Balance Sheet</v>
          </cell>
          <cell r="F15" t="str">
            <v>Posting</v>
          </cell>
          <cell r="G15" t="str">
            <v>Yes</v>
          </cell>
          <cell r="H15" t="str">
            <v/>
          </cell>
          <cell r="I15" t="str">
            <v/>
          </cell>
          <cell r="J15">
            <v>991476463.26999998</v>
          </cell>
          <cell r="K15">
            <v>991476463.26999998</v>
          </cell>
          <cell r="L15" t="str">
            <v/>
          </cell>
          <cell r="M15" t="str">
            <v>500100</v>
          </cell>
        </row>
        <row r="16">
          <cell r="A16" t="str">
            <v>10020104</v>
          </cell>
          <cell r="B16" t="str">
            <v>19/01/01..19/12/31</v>
          </cell>
          <cell r="C16" t="str">
            <v>Cash in Bank_CNY_HSBC_Capital</v>
          </cell>
          <cell r="D16" t="str">
            <v>人民币_汇丰银行-资本金户</v>
          </cell>
          <cell r="E16" t="str">
            <v>Balance Sheet</v>
          </cell>
          <cell r="F16" t="str">
            <v>Posting</v>
          </cell>
          <cell r="G16" t="str">
            <v>No</v>
          </cell>
          <cell r="H16" t="str">
            <v/>
          </cell>
          <cell r="I16">
            <v>1.43</v>
          </cell>
          <cell r="J16">
            <v>1.43</v>
          </cell>
          <cell r="K16" t="str">
            <v/>
          </cell>
          <cell r="L16">
            <v>472.27</v>
          </cell>
          <cell r="M16" t="str">
            <v>500100</v>
          </cell>
        </row>
        <row r="17">
          <cell r="A17" t="str">
            <v>10020105</v>
          </cell>
          <cell r="B17" t="str">
            <v>19/01/01..19/12/31</v>
          </cell>
          <cell r="C17" t="str">
            <v>Cash in Bank_CNY_CACIB_General</v>
          </cell>
          <cell r="D17" t="str">
            <v>人民币_东方汇理银行-一般户</v>
          </cell>
          <cell r="E17" t="str">
            <v>Balance Sheet</v>
          </cell>
          <cell r="F17" t="str">
            <v>Posting</v>
          </cell>
          <cell r="G17" t="str">
            <v>Yes</v>
          </cell>
          <cell r="H17" t="str">
            <v/>
          </cell>
          <cell r="I17">
            <v>-1954729.55</v>
          </cell>
          <cell r="J17">
            <v>42705894.549999997</v>
          </cell>
          <cell r="K17">
            <v>44660624.100000001</v>
          </cell>
          <cell r="L17">
            <v>2399185.1</v>
          </cell>
          <cell r="M17" t="str">
            <v>500100</v>
          </cell>
        </row>
        <row r="18">
          <cell r="A18" t="str">
            <v>10020106</v>
          </cell>
          <cell r="B18" t="str">
            <v>19/01/01..19/12/31</v>
          </cell>
          <cell r="C18" t="str">
            <v>Cash in Bank_CNY_CCB_Future Goods</v>
          </cell>
          <cell r="D18" t="str">
            <v>人民币_建设银行-期货专户</v>
          </cell>
          <cell r="E18" t="str">
            <v>Balance Sheet</v>
          </cell>
          <cell r="F18" t="str">
            <v>Posting</v>
          </cell>
          <cell r="G18" t="str">
            <v>Yes</v>
          </cell>
          <cell r="H18" t="str">
            <v/>
          </cell>
          <cell r="I18">
            <v>-131.55000000000001</v>
          </cell>
          <cell r="J18">
            <v>10000068.449999999</v>
          </cell>
          <cell r="K18">
            <v>10000200</v>
          </cell>
          <cell r="L18">
            <v>550.55999999999995</v>
          </cell>
          <cell r="M18" t="str">
            <v>500100</v>
          </cell>
        </row>
        <row r="19">
          <cell r="A19" t="str">
            <v>10020107</v>
          </cell>
          <cell r="B19" t="str">
            <v>19/01/01..19/12/31</v>
          </cell>
          <cell r="C19" t="str">
            <v>Cash in Bank_CNY_HSBC_Nexans branch</v>
          </cell>
          <cell r="D19" t="str">
            <v>人民币_汇丰银行_耐克森（苏州）线缆系统有限公司上海分公司</v>
          </cell>
          <cell r="E19" t="str">
            <v>Balance Sheet</v>
          </cell>
          <cell r="F19" t="str">
            <v>Posting</v>
          </cell>
          <cell r="G19" t="str">
            <v>Yes</v>
          </cell>
          <cell r="H19" t="str">
            <v/>
          </cell>
          <cell r="I19">
            <v>-1230917.95</v>
          </cell>
          <cell r="J19">
            <v>10134.280000000001</v>
          </cell>
          <cell r="K19">
            <v>1241052.23</v>
          </cell>
          <cell r="L19" t="str">
            <v/>
          </cell>
          <cell r="M19" t="str">
            <v>500100</v>
          </cell>
        </row>
        <row r="20">
          <cell r="A20" t="str">
            <v>10020199</v>
          </cell>
          <cell r="B20" t="str">
            <v>19/01/01..19/12/31</v>
          </cell>
          <cell r="C20" t="str">
            <v>Cash in Bank_CNY_Total</v>
          </cell>
          <cell r="D20" t="str">
            <v>银存_人民币合计</v>
          </cell>
          <cell r="E20" t="str">
            <v>Balance Sheet</v>
          </cell>
          <cell r="F20" t="str">
            <v>End-Total</v>
          </cell>
          <cell r="G20" t="str">
            <v>No</v>
          </cell>
          <cell r="H20" t="str">
            <v>10020100..10020199</v>
          </cell>
          <cell r="I20">
            <v>-5566526.1399999997</v>
          </cell>
          <cell r="J20">
            <v>1173433305.1099999</v>
          </cell>
          <cell r="K20">
            <v>1178999831.25</v>
          </cell>
          <cell r="L20">
            <v>10882040.77</v>
          </cell>
          <cell r="M20" t="str">
            <v/>
          </cell>
        </row>
        <row r="21">
          <cell r="A21" t="str">
            <v>10020200</v>
          </cell>
          <cell r="B21" t="str">
            <v>19/01/01..19/12/31</v>
          </cell>
          <cell r="C21" t="str">
            <v>Cash in Bank_USD</v>
          </cell>
          <cell r="D21" t="str">
            <v>银存_美元</v>
          </cell>
          <cell r="E21" t="str">
            <v>Balance Sheet</v>
          </cell>
          <cell r="F21" t="str">
            <v>Begin-Total</v>
          </cell>
          <cell r="G21" t="str">
            <v>Yes</v>
          </cell>
          <cell r="H21" t="str">
            <v/>
          </cell>
          <cell r="I21" t="str">
            <v/>
          </cell>
          <cell r="J21" t="str">
            <v/>
          </cell>
          <cell r="K21" t="str">
            <v/>
          </cell>
          <cell r="L21" t="str">
            <v/>
          </cell>
          <cell r="M21" t="str">
            <v/>
          </cell>
        </row>
        <row r="22">
          <cell r="A22" t="str">
            <v>10020201</v>
          </cell>
          <cell r="B22" t="str">
            <v>19/01/01..19/12/31</v>
          </cell>
          <cell r="C22" t="str">
            <v>Cash in Bank_USD_CCB_Capital</v>
          </cell>
          <cell r="D22" t="str">
            <v>美元_建设银行-资本金户</v>
          </cell>
          <cell r="E22" t="str">
            <v>Balance Sheet</v>
          </cell>
          <cell r="F22" t="str">
            <v>Posting</v>
          </cell>
          <cell r="G22" t="str">
            <v>Yes</v>
          </cell>
          <cell r="H22" t="str">
            <v/>
          </cell>
          <cell r="I22">
            <v>0.06</v>
          </cell>
          <cell r="J22">
            <v>0.32</v>
          </cell>
          <cell r="K22">
            <v>0.26</v>
          </cell>
          <cell r="L22">
            <v>4.46</v>
          </cell>
          <cell r="M22" t="str">
            <v>500100</v>
          </cell>
        </row>
        <row r="23">
          <cell r="A23" t="str">
            <v>10020202</v>
          </cell>
          <cell r="B23" t="str">
            <v>19/01/01..19/12/31</v>
          </cell>
          <cell r="C23" t="str">
            <v>Cash in Bank_USD_CACIB_General</v>
          </cell>
          <cell r="D23" t="str">
            <v>美元_东方汇理银行-一般户</v>
          </cell>
          <cell r="E23" t="str">
            <v>Balance Sheet</v>
          </cell>
          <cell r="F23" t="str">
            <v>Posting</v>
          </cell>
          <cell r="G23" t="str">
            <v>Yes</v>
          </cell>
          <cell r="H23" t="str">
            <v/>
          </cell>
          <cell r="I23">
            <v>417283.74</v>
          </cell>
          <cell r="J23">
            <v>66181160.420000002</v>
          </cell>
          <cell r="K23">
            <v>65763876.68</v>
          </cell>
          <cell r="L23">
            <v>2709159.69</v>
          </cell>
          <cell r="M23" t="str">
            <v>500100</v>
          </cell>
        </row>
        <row r="24">
          <cell r="A24" t="str">
            <v>10020203</v>
          </cell>
          <cell r="B24" t="str">
            <v>19/01/01..19/12/31</v>
          </cell>
          <cell r="C24" t="str">
            <v>Cash in Bank_USD_Nordea_General</v>
          </cell>
          <cell r="D24" t="str">
            <v>美元_北欧银行-一般户</v>
          </cell>
          <cell r="E24" t="str">
            <v>Balance Sheet</v>
          </cell>
          <cell r="F24" t="str">
            <v>Posting</v>
          </cell>
          <cell r="G24" t="str">
            <v>Yes</v>
          </cell>
          <cell r="H24" t="str">
            <v/>
          </cell>
          <cell r="I24" t="str">
            <v/>
          </cell>
          <cell r="J24" t="str">
            <v/>
          </cell>
          <cell r="K24" t="str">
            <v/>
          </cell>
          <cell r="L24" t="str">
            <v/>
          </cell>
          <cell r="M24" t="str">
            <v>500100</v>
          </cell>
        </row>
        <row r="25">
          <cell r="A25" t="str">
            <v>10020204</v>
          </cell>
          <cell r="B25" t="str">
            <v>19/01/01..19/12/31</v>
          </cell>
          <cell r="C25" t="str">
            <v>Cash in Bank_USD_HSBC_Nexans branch</v>
          </cell>
          <cell r="D25" t="str">
            <v>美元_汇丰银行_耐克森（苏州）线缆系统有限公司上海分公司</v>
          </cell>
          <cell r="E25" t="str">
            <v>Balance Sheet</v>
          </cell>
          <cell r="F25" t="str">
            <v>Posting</v>
          </cell>
          <cell r="G25" t="str">
            <v>Yes</v>
          </cell>
          <cell r="H25" t="str">
            <v/>
          </cell>
          <cell r="I25">
            <v>6900.16</v>
          </cell>
          <cell r="J25">
            <v>40185.35</v>
          </cell>
          <cell r="K25">
            <v>33285.19</v>
          </cell>
          <cell r="L25">
            <v>550836.41</v>
          </cell>
          <cell r="M25" t="str">
            <v>500100</v>
          </cell>
        </row>
        <row r="26">
          <cell r="A26" t="str">
            <v>10020299</v>
          </cell>
          <cell r="B26" t="str">
            <v>19/01/01..19/12/31</v>
          </cell>
          <cell r="C26" t="str">
            <v>Cash in Bank_USD_Total</v>
          </cell>
          <cell r="D26" t="str">
            <v>银存_美元合计</v>
          </cell>
          <cell r="E26" t="str">
            <v>Balance Sheet</v>
          </cell>
          <cell r="F26" t="str">
            <v>End-Total</v>
          </cell>
          <cell r="G26" t="str">
            <v>No</v>
          </cell>
          <cell r="H26" t="str">
            <v>10020200..10020299</v>
          </cell>
          <cell r="I26">
            <v>424183.96</v>
          </cell>
          <cell r="J26">
            <v>66221346.090000004</v>
          </cell>
          <cell r="K26">
            <v>65797162.130000003</v>
          </cell>
          <cell r="L26">
            <v>3260000.56</v>
          </cell>
          <cell r="M26" t="str">
            <v/>
          </cell>
        </row>
        <row r="27">
          <cell r="A27" t="str">
            <v>10020300</v>
          </cell>
          <cell r="B27" t="str">
            <v>19/01/01..19/12/31</v>
          </cell>
          <cell r="C27" t="str">
            <v>Cash in Bank_EUR</v>
          </cell>
          <cell r="D27" t="str">
            <v>银存_欧元</v>
          </cell>
          <cell r="E27" t="str">
            <v>Balance Sheet</v>
          </cell>
          <cell r="F27" t="str">
            <v>Begin-Total</v>
          </cell>
          <cell r="G27" t="str">
            <v>No</v>
          </cell>
          <cell r="H27" t="str">
            <v/>
          </cell>
          <cell r="I27" t="str">
            <v/>
          </cell>
          <cell r="J27" t="str">
            <v/>
          </cell>
          <cell r="K27" t="str">
            <v/>
          </cell>
          <cell r="L27" t="str">
            <v/>
          </cell>
          <cell r="M27" t="str">
            <v/>
          </cell>
        </row>
        <row r="28">
          <cell r="A28" t="str">
            <v>10020301</v>
          </cell>
          <cell r="B28" t="str">
            <v>19/01/01..19/12/31</v>
          </cell>
          <cell r="C28" t="str">
            <v>Cash in Bank_EUR_CACIB_General</v>
          </cell>
          <cell r="D28" t="str">
            <v>欧元_东方汇理银行-一般户</v>
          </cell>
          <cell r="E28" t="str">
            <v>Balance Sheet</v>
          </cell>
          <cell r="F28" t="str">
            <v>Posting</v>
          </cell>
          <cell r="G28" t="str">
            <v>Yes</v>
          </cell>
          <cell r="H28" t="str">
            <v/>
          </cell>
          <cell r="I28">
            <v>-336131.9</v>
          </cell>
          <cell r="J28">
            <v>48318385.009999998</v>
          </cell>
          <cell r="K28">
            <v>48654516.909999996</v>
          </cell>
          <cell r="L28">
            <v>501386.72</v>
          </cell>
          <cell r="M28" t="str">
            <v>500100</v>
          </cell>
        </row>
        <row r="29">
          <cell r="A29" t="str">
            <v>10020302</v>
          </cell>
          <cell r="B29" t="str">
            <v>19/01/01..19/12/31</v>
          </cell>
          <cell r="C29" t="str">
            <v>Cash in Bank_EUR_Nordea_General</v>
          </cell>
          <cell r="D29" t="str">
            <v>欧元_北欧银行-一般户</v>
          </cell>
          <cell r="E29" t="str">
            <v>Balance Sheet</v>
          </cell>
          <cell r="F29" t="str">
            <v>Posting</v>
          </cell>
          <cell r="G29" t="str">
            <v>Yes</v>
          </cell>
          <cell r="H29" t="str">
            <v/>
          </cell>
          <cell r="I29" t="str">
            <v/>
          </cell>
          <cell r="J29" t="str">
            <v/>
          </cell>
          <cell r="K29" t="str">
            <v/>
          </cell>
          <cell r="L29" t="str">
            <v/>
          </cell>
          <cell r="M29" t="str">
            <v>500100</v>
          </cell>
        </row>
        <row r="30">
          <cell r="A30" t="str">
            <v>10020303</v>
          </cell>
          <cell r="B30" t="str">
            <v>19/01/01..19/12/31</v>
          </cell>
          <cell r="C30" t="str">
            <v>Cash in Bank_EUR_HSBC_Nexans branch</v>
          </cell>
          <cell r="D30" t="str">
            <v>欧元_汇丰银行_耐克森（苏州）线缆系统有限公司上海分公司</v>
          </cell>
          <cell r="E30" t="str">
            <v>Balance Sheet</v>
          </cell>
          <cell r="F30" t="str">
            <v>Posting</v>
          </cell>
          <cell r="G30" t="str">
            <v>Yes</v>
          </cell>
          <cell r="H30" t="str">
            <v/>
          </cell>
          <cell r="I30">
            <v>-1.1000000000000001</v>
          </cell>
          <cell r="J30">
            <v>13.65</v>
          </cell>
          <cell r="K30">
            <v>14.75</v>
          </cell>
          <cell r="L30">
            <v>158.29</v>
          </cell>
          <cell r="M30" t="str">
            <v>500100</v>
          </cell>
        </row>
        <row r="31">
          <cell r="A31" t="str">
            <v>10020304</v>
          </cell>
          <cell r="B31" t="str">
            <v>19/01/01..19/12/31</v>
          </cell>
          <cell r="C31" t="str">
            <v>Cash in Bank_EUR_HSBC_NSZ</v>
          </cell>
          <cell r="D31" t="str">
            <v>欧元_汇丰银行_耐克森（苏州）线缆系统有限公司</v>
          </cell>
          <cell r="E31" t="str">
            <v>Balance Sheet</v>
          </cell>
          <cell r="F31" t="str">
            <v>Posting</v>
          </cell>
          <cell r="G31" t="str">
            <v>Yes</v>
          </cell>
          <cell r="H31" t="str">
            <v/>
          </cell>
          <cell r="I31">
            <v>-0.11</v>
          </cell>
          <cell r="J31">
            <v>1.27</v>
          </cell>
          <cell r="K31">
            <v>1.38</v>
          </cell>
          <cell r="L31">
            <v>14.7</v>
          </cell>
          <cell r="M31" t="str">
            <v>500100</v>
          </cell>
        </row>
        <row r="32">
          <cell r="A32" t="str">
            <v>10020399</v>
          </cell>
          <cell r="B32" t="str">
            <v>19/01/01..19/12/31</v>
          </cell>
          <cell r="C32" t="str">
            <v>Cash in Bank_EUR_Total</v>
          </cell>
          <cell r="D32" t="str">
            <v>银存_欧元合计</v>
          </cell>
          <cell r="E32" t="str">
            <v>Balance Sheet</v>
          </cell>
          <cell r="F32" t="str">
            <v>End-Total</v>
          </cell>
          <cell r="G32" t="str">
            <v>No</v>
          </cell>
          <cell r="H32" t="str">
            <v>10020300..10020399</v>
          </cell>
          <cell r="I32">
            <v>-336133.11</v>
          </cell>
          <cell r="J32">
            <v>48318399.93</v>
          </cell>
          <cell r="K32">
            <v>48654533.039999999</v>
          </cell>
          <cell r="L32">
            <v>501559.71</v>
          </cell>
          <cell r="M32" t="str">
            <v/>
          </cell>
        </row>
        <row r="33">
          <cell r="A33" t="str">
            <v>10029999</v>
          </cell>
          <cell r="B33" t="str">
            <v>19/01/01..19/12/31</v>
          </cell>
          <cell r="C33" t="str">
            <v>Cash in Bank_Total</v>
          </cell>
          <cell r="D33" t="str">
            <v>银行存款合计</v>
          </cell>
          <cell r="E33" t="str">
            <v>Balance Sheet</v>
          </cell>
          <cell r="F33" t="str">
            <v>End-Total</v>
          </cell>
          <cell r="G33" t="str">
            <v>No</v>
          </cell>
          <cell r="H33" t="str">
            <v>10020000..10029999</v>
          </cell>
          <cell r="I33">
            <v>-5478475.29</v>
          </cell>
          <cell r="J33">
            <v>1287973051.1300001</v>
          </cell>
          <cell r="K33">
            <v>1293451526.4200001</v>
          </cell>
          <cell r="L33">
            <v>14643601.039999999</v>
          </cell>
          <cell r="M33" t="str">
            <v/>
          </cell>
        </row>
        <row r="34">
          <cell r="A34" t="str">
            <v>10120000</v>
          </cell>
          <cell r="B34" t="str">
            <v>19/01/01..19/12/31</v>
          </cell>
          <cell r="C34" t="str">
            <v>Other Monetary Assets</v>
          </cell>
          <cell r="D34" t="str">
            <v>其他货币资金</v>
          </cell>
          <cell r="E34" t="str">
            <v>Balance Sheet</v>
          </cell>
          <cell r="F34" t="str">
            <v>Posting</v>
          </cell>
          <cell r="G34" t="str">
            <v>Yes</v>
          </cell>
          <cell r="H34" t="str">
            <v/>
          </cell>
          <cell r="I34" t="str">
            <v/>
          </cell>
          <cell r="J34" t="str">
            <v/>
          </cell>
          <cell r="K34" t="str">
            <v/>
          </cell>
          <cell r="L34" t="str">
            <v/>
          </cell>
          <cell r="M34" t="str">
            <v>500100</v>
          </cell>
        </row>
        <row r="35">
          <cell r="A35" t="str">
            <v>10129999</v>
          </cell>
          <cell r="B35" t="str">
            <v>19/01/01..19/12/31</v>
          </cell>
          <cell r="C35" t="str">
            <v>Cash&amp;Cash Equivalents_Total</v>
          </cell>
          <cell r="D35" t="str">
            <v>货币资金合计</v>
          </cell>
          <cell r="E35" t="str">
            <v>Balance Sheet</v>
          </cell>
          <cell r="F35" t="str">
            <v>End-Total</v>
          </cell>
          <cell r="G35" t="str">
            <v>No</v>
          </cell>
          <cell r="H35" t="str">
            <v>10000100..10129999</v>
          </cell>
          <cell r="I35">
            <v>-5478475.29</v>
          </cell>
          <cell r="J35">
            <v>1287973051.1300001</v>
          </cell>
          <cell r="K35">
            <v>1293451526.4200001</v>
          </cell>
          <cell r="L35">
            <v>14643601.039999999</v>
          </cell>
          <cell r="M35" t="str">
            <v/>
          </cell>
        </row>
        <row r="36">
          <cell r="A36" t="str">
            <v>11010000</v>
          </cell>
          <cell r="B36" t="str">
            <v>19/01/01..19/12/31</v>
          </cell>
          <cell r="C36" t="str">
            <v xml:space="preserve">Tradable Financial Assets </v>
          </cell>
          <cell r="D36" t="str">
            <v>交易性金融资产</v>
          </cell>
          <cell r="E36" t="str">
            <v>Balance Sheet</v>
          </cell>
          <cell r="F36" t="str">
            <v>Posting</v>
          </cell>
          <cell r="G36" t="str">
            <v>Yes</v>
          </cell>
          <cell r="H36" t="str">
            <v/>
          </cell>
          <cell r="I36" t="str">
            <v/>
          </cell>
          <cell r="J36" t="str">
            <v/>
          </cell>
          <cell r="K36" t="str">
            <v/>
          </cell>
          <cell r="L36" t="str">
            <v/>
          </cell>
          <cell r="M36" t="str">
            <v>502200</v>
          </cell>
        </row>
        <row r="37">
          <cell r="A37" t="str">
            <v>11210000</v>
          </cell>
          <cell r="B37" t="str">
            <v>19/01/01..19/12/31</v>
          </cell>
          <cell r="C37" t="str">
            <v>Notes Receivable</v>
          </cell>
          <cell r="D37" t="str">
            <v>应收票据</v>
          </cell>
          <cell r="E37" t="str">
            <v>Balance Sheet</v>
          </cell>
          <cell r="F37" t="str">
            <v>Begin-Total</v>
          </cell>
          <cell r="G37" t="str">
            <v>No</v>
          </cell>
          <cell r="H37" t="str">
            <v/>
          </cell>
          <cell r="I37" t="str">
            <v/>
          </cell>
          <cell r="J37" t="str">
            <v/>
          </cell>
          <cell r="K37" t="str">
            <v/>
          </cell>
          <cell r="L37" t="str">
            <v/>
          </cell>
          <cell r="M37" t="str">
            <v/>
          </cell>
        </row>
        <row r="38">
          <cell r="A38" t="str">
            <v>11210001</v>
          </cell>
          <cell r="B38" t="str">
            <v>19/01/01..19/12/31</v>
          </cell>
          <cell r="C38" t="str">
            <v>Notes Receivable_TP</v>
          </cell>
          <cell r="D38" t="str">
            <v>应收票据_第三方</v>
          </cell>
          <cell r="E38" t="str">
            <v>Balance Sheet</v>
          </cell>
          <cell r="F38" t="str">
            <v>Posting</v>
          </cell>
          <cell r="G38" t="str">
            <v>Yes</v>
          </cell>
          <cell r="H38" t="str">
            <v/>
          </cell>
          <cell r="I38">
            <v>8167285.9800000004</v>
          </cell>
          <cell r="J38">
            <v>99012731.719999999</v>
          </cell>
          <cell r="K38">
            <v>90845445.739999995</v>
          </cell>
          <cell r="L38">
            <v>23781343.960000001</v>
          </cell>
          <cell r="M38" t="str">
            <v>412000</v>
          </cell>
        </row>
        <row r="39">
          <cell r="A39" t="str">
            <v>11210002</v>
          </cell>
          <cell r="B39" t="str">
            <v>19/01/01..19/12/31</v>
          </cell>
          <cell r="C39" t="str">
            <v>Notes Receivable_IC</v>
          </cell>
          <cell r="D39" t="str">
            <v>应收票据_关联方</v>
          </cell>
          <cell r="E39" t="str">
            <v>Balance Sheet</v>
          </cell>
          <cell r="F39" t="str">
            <v>Posting</v>
          </cell>
          <cell r="G39" t="str">
            <v>Yes</v>
          </cell>
          <cell r="H39" t="str">
            <v/>
          </cell>
          <cell r="I39" t="str">
            <v/>
          </cell>
          <cell r="J39">
            <v>53276510.82</v>
          </cell>
          <cell r="K39">
            <v>53276510.82</v>
          </cell>
          <cell r="L39" t="str">
            <v/>
          </cell>
          <cell r="M39" t="str">
            <v>412000</v>
          </cell>
        </row>
        <row r="40">
          <cell r="A40" t="str">
            <v>11219999</v>
          </cell>
          <cell r="B40" t="str">
            <v>19/01/01..19/12/31</v>
          </cell>
          <cell r="C40" t="str">
            <v>Notes Receivable_Total</v>
          </cell>
          <cell r="D40" t="str">
            <v>应收票据-合计</v>
          </cell>
          <cell r="E40" t="str">
            <v>Balance Sheet</v>
          </cell>
          <cell r="F40" t="str">
            <v>End-Total</v>
          </cell>
          <cell r="G40" t="str">
            <v>No</v>
          </cell>
          <cell r="H40" t="str">
            <v>11210000..11219999</v>
          </cell>
          <cell r="I40">
            <v>8167285.9800000004</v>
          </cell>
          <cell r="J40">
            <v>152289242.53999999</v>
          </cell>
          <cell r="K40">
            <v>144121956.56</v>
          </cell>
          <cell r="L40">
            <v>23781343.960000001</v>
          </cell>
          <cell r="M40" t="str">
            <v/>
          </cell>
        </row>
        <row r="41">
          <cell r="A41" t="str">
            <v>11220000</v>
          </cell>
          <cell r="B41" t="str">
            <v>19/01/01..19/12/31</v>
          </cell>
          <cell r="C41" t="str">
            <v>Accounts Receivable</v>
          </cell>
          <cell r="D41" t="str">
            <v>应收账款</v>
          </cell>
          <cell r="E41" t="str">
            <v>Balance Sheet</v>
          </cell>
          <cell r="F41" t="str">
            <v>Begin-Total</v>
          </cell>
          <cell r="G41" t="str">
            <v>No</v>
          </cell>
          <cell r="H41" t="str">
            <v/>
          </cell>
          <cell r="I41" t="str">
            <v/>
          </cell>
          <cell r="J41" t="str">
            <v/>
          </cell>
          <cell r="K41" t="str">
            <v/>
          </cell>
          <cell r="L41" t="str">
            <v/>
          </cell>
          <cell r="M41" t="str">
            <v/>
          </cell>
        </row>
        <row r="42">
          <cell r="A42" t="str">
            <v>11220001</v>
          </cell>
          <cell r="B42" t="str">
            <v>19/01/01..19/12/31</v>
          </cell>
          <cell r="C42" t="str">
            <v xml:space="preserve">AR(Bad Debt exclude) </v>
          </cell>
          <cell r="D42" t="str">
            <v>应收账款(不含坏账准备)</v>
          </cell>
          <cell r="E42" t="str">
            <v>Balance Sheet</v>
          </cell>
          <cell r="F42" t="str">
            <v>Begin-Total</v>
          </cell>
          <cell r="G42" t="str">
            <v>No</v>
          </cell>
          <cell r="H42" t="str">
            <v/>
          </cell>
          <cell r="I42" t="str">
            <v/>
          </cell>
          <cell r="J42" t="str">
            <v/>
          </cell>
          <cell r="K42" t="str">
            <v/>
          </cell>
          <cell r="L42" t="str">
            <v/>
          </cell>
          <cell r="M42" t="str">
            <v/>
          </cell>
        </row>
        <row r="43">
          <cell r="A43" t="str">
            <v>11220100</v>
          </cell>
          <cell r="B43" t="str">
            <v>19/01/01..19/12/31</v>
          </cell>
          <cell r="C43" t="str">
            <v>AR_Domestic</v>
          </cell>
          <cell r="D43" t="str">
            <v>应收账款_内销</v>
          </cell>
          <cell r="E43" t="str">
            <v>Balance Sheet</v>
          </cell>
          <cell r="F43" t="str">
            <v>Begin-Total</v>
          </cell>
          <cell r="G43" t="str">
            <v>No</v>
          </cell>
          <cell r="H43" t="str">
            <v/>
          </cell>
          <cell r="I43" t="str">
            <v/>
          </cell>
          <cell r="J43" t="str">
            <v/>
          </cell>
          <cell r="K43" t="str">
            <v/>
          </cell>
          <cell r="L43" t="str">
            <v/>
          </cell>
          <cell r="M43" t="str">
            <v/>
          </cell>
        </row>
        <row r="44">
          <cell r="A44" t="str">
            <v>11220101</v>
          </cell>
          <cell r="B44" t="str">
            <v>19/01/01..19/12/31</v>
          </cell>
          <cell r="C44" t="str">
            <v>AR_Domestic_TP</v>
          </cell>
          <cell r="D44" t="str">
            <v>应收账款_内销_第三方</v>
          </cell>
          <cell r="E44" t="str">
            <v>Balance Sheet</v>
          </cell>
          <cell r="F44" t="str">
            <v>Posting</v>
          </cell>
          <cell r="G44" t="str">
            <v>No</v>
          </cell>
          <cell r="H44" t="str">
            <v/>
          </cell>
          <cell r="I44">
            <v>17015130.329999998</v>
          </cell>
          <cell r="J44">
            <v>564082508.63</v>
          </cell>
          <cell r="K44">
            <v>547067378.29999995</v>
          </cell>
          <cell r="L44">
            <v>51689830.299999997</v>
          </cell>
          <cell r="M44" t="str">
            <v>412000</v>
          </cell>
        </row>
        <row r="45">
          <cell r="A45" t="str">
            <v>11220102</v>
          </cell>
          <cell r="B45" t="str">
            <v>19/01/01..19/12/31</v>
          </cell>
          <cell r="C45" t="str">
            <v>AR_Domestic_IC</v>
          </cell>
          <cell r="D45" t="str">
            <v>应收账款_内销_关联方</v>
          </cell>
          <cell r="E45" t="str">
            <v>Balance Sheet</v>
          </cell>
          <cell r="F45" t="str">
            <v>Posting</v>
          </cell>
          <cell r="G45" t="str">
            <v>No</v>
          </cell>
          <cell r="H45" t="str">
            <v/>
          </cell>
          <cell r="I45">
            <v>25390212.219999999</v>
          </cell>
          <cell r="J45">
            <v>176572682.93000001</v>
          </cell>
          <cell r="K45">
            <v>151182470.71000001</v>
          </cell>
          <cell r="L45">
            <v>84051119.730000004</v>
          </cell>
          <cell r="M45" t="str">
            <v>412000</v>
          </cell>
        </row>
        <row r="46">
          <cell r="A46" t="str">
            <v>11220103</v>
          </cell>
          <cell r="B46" t="str">
            <v>19/01/01..19/12/31</v>
          </cell>
          <cell r="C46" t="str">
            <v>AR_Domestic_Reclass</v>
          </cell>
          <cell r="D46" t="str">
            <v>应收账款_内销_重分类</v>
          </cell>
          <cell r="E46" t="str">
            <v>Balance Sheet</v>
          </cell>
          <cell r="F46" t="str">
            <v>Posting</v>
          </cell>
          <cell r="G46" t="str">
            <v>No</v>
          </cell>
          <cell r="H46" t="str">
            <v/>
          </cell>
          <cell r="I46" t="str">
            <v/>
          </cell>
          <cell r="J46" t="str">
            <v/>
          </cell>
          <cell r="K46" t="str">
            <v/>
          </cell>
          <cell r="L46" t="str">
            <v/>
          </cell>
          <cell r="M46" t="str">
            <v>412000</v>
          </cell>
        </row>
        <row r="47">
          <cell r="A47" t="str">
            <v>11220104</v>
          </cell>
          <cell r="B47" t="str">
            <v>19/01/01..19/12/31</v>
          </cell>
          <cell r="C47" t="str">
            <v>AR_Domestic_Accruals</v>
          </cell>
          <cell r="D47" t="str">
            <v>应收账款_内销_暂估</v>
          </cell>
          <cell r="E47" t="str">
            <v>Balance Sheet</v>
          </cell>
          <cell r="F47" t="str">
            <v>Posting</v>
          </cell>
          <cell r="G47" t="str">
            <v>Yes</v>
          </cell>
          <cell r="H47" t="str">
            <v/>
          </cell>
          <cell r="I47">
            <v>-14745440.970000001</v>
          </cell>
          <cell r="J47">
            <v>162445040.99000001</v>
          </cell>
          <cell r="K47">
            <v>177190481.96000001</v>
          </cell>
          <cell r="L47" t="str">
            <v/>
          </cell>
          <cell r="M47" t="str">
            <v>412000</v>
          </cell>
        </row>
        <row r="48">
          <cell r="A48" t="str">
            <v>11220199</v>
          </cell>
          <cell r="B48" t="str">
            <v>19/01/01..19/12/31</v>
          </cell>
          <cell r="C48" t="str">
            <v>AR_Domestic_Total</v>
          </cell>
          <cell r="D48" t="str">
            <v>应收账款_内销_合计</v>
          </cell>
          <cell r="E48" t="str">
            <v>Balance Sheet</v>
          </cell>
          <cell r="F48" t="str">
            <v>End-Total</v>
          </cell>
          <cell r="G48" t="str">
            <v>No</v>
          </cell>
          <cell r="H48" t="str">
            <v>11220100..11220199</v>
          </cell>
          <cell r="I48">
            <v>27659901.579999998</v>
          </cell>
          <cell r="J48">
            <v>903100232.54999995</v>
          </cell>
          <cell r="K48">
            <v>875440330.97000003</v>
          </cell>
          <cell r="L48">
            <v>135740950.03</v>
          </cell>
          <cell r="M48" t="str">
            <v/>
          </cell>
        </row>
        <row r="49">
          <cell r="A49" t="str">
            <v>11220200</v>
          </cell>
          <cell r="B49" t="str">
            <v>19/01/01..19/12/31</v>
          </cell>
          <cell r="C49" t="str">
            <v>AR_Oversea</v>
          </cell>
          <cell r="D49" t="str">
            <v>应收账款_外销</v>
          </cell>
          <cell r="E49" t="str">
            <v>Balance Sheet</v>
          </cell>
          <cell r="F49" t="str">
            <v>Begin-Total</v>
          </cell>
          <cell r="G49" t="str">
            <v>No</v>
          </cell>
          <cell r="H49" t="str">
            <v/>
          </cell>
          <cell r="I49" t="str">
            <v/>
          </cell>
          <cell r="J49" t="str">
            <v/>
          </cell>
          <cell r="K49" t="str">
            <v/>
          </cell>
          <cell r="L49" t="str">
            <v/>
          </cell>
          <cell r="M49" t="str">
            <v/>
          </cell>
        </row>
        <row r="50">
          <cell r="A50" t="str">
            <v>11220201</v>
          </cell>
          <cell r="B50" t="str">
            <v>19/01/01..19/12/31</v>
          </cell>
          <cell r="C50" t="str">
            <v>AR_Oversea_TP</v>
          </cell>
          <cell r="D50" t="str">
            <v>应收账款_外销_第三方</v>
          </cell>
          <cell r="E50" t="str">
            <v>Balance Sheet</v>
          </cell>
          <cell r="F50" t="str">
            <v>Posting</v>
          </cell>
          <cell r="G50" t="str">
            <v>No</v>
          </cell>
          <cell r="H50" t="str">
            <v/>
          </cell>
          <cell r="I50">
            <v>-666624.02</v>
          </cell>
          <cell r="J50">
            <v>31806315.539999999</v>
          </cell>
          <cell r="K50">
            <v>32472939.559999999</v>
          </cell>
          <cell r="L50">
            <v>829787.84</v>
          </cell>
          <cell r="M50" t="str">
            <v>412000</v>
          </cell>
        </row>
        <row r="51">
          <cell r="A51" t="str">
            <v>11220202</v>
          </cell>
          <cell r="B51" t="str">
            <v>19/01/01..19/12/31</v>
          </cell>
          <cell r="C51" t="str">
            <v>AR_Oversea_IC</v>
          </cell>
          <cell r="D51" t="str">
            <v>应收账款_外销_关联方</v>
          </cell>
          <cell r="E51" t="str">
            <v>Balance Sheet</v>
          </cell>
          <cell r="F51" t="str">
            <v>Posting</v>
          </cell>
          <cell r="G51" t="str">
            <v>No</v>
          </cell>
          <cell r="H51" t="str">
            <v/>
          </cell>
          <cell r="I51">
            <v>-1033847.01</v>
          </cell>
          <cell r="J51">
            <v>45087829.490000002</v>
          </cell>
          <cell r="K51">
            <v>46121676.5</v>
          </cell>
          <cell r="L51">
            <v>12648240.27</v>
          </cell>
          <cell r="M51" t="str">
            <v>412000</v>
          </cell>
        </row>
        <row r="52">
          <cell r="A52" t="str">
            <v>11220203</v>
          </cell>
          <cell r="B52" t="str">
            <v>19/01/01..19/12/31</v>
          </cell>
          <cell r="C52" t="str">
            <v>AR_Oversea_Reclass</v>
          </cell>
          <cell r="D52" t="str">
            <v>应收账款_外销_重分类</v>
          </cell>
          <cell r="E52" t="str">
            <v>Balance Sheet</v>
          </cell>
          <cell r="F52" t="str">
            <v>Posting</v>
          </cell>
          <cell r="G52" t="str">
            <v>No</v>
          </cell>
          <cell r="H52" t="str">
            <v/>
          </cell>
          <cell r="I52" t="str">
            <v/>
          </cell>
          <cell r="J52" t="str">
            <v/>
          </cell>
          <cell r="K52" t="str">
            <v/>
          </cell>
          <cell r="L52" t="str">
            <v/>
          </cell>
          <cell r="M52" t="str">
            <v>412000</v>
          </cell>
        </row>
        <row r="53">
          <cell r="A53" t="str">
            <v>11220299</v>
          </cell>
          <cell r="B53" t="str">
            <v>19/01/01..19/12/31</v>
          </cell>
          <cell r="C53" t="str">
            <v>AR_Oversea_Total</v>
          </cell>
          <cell r="D53" t="str">
            <v>应收账款_外销_合计</v>
          </cell>
          <cell r="E53" t="str">
            <v>Balance Sheet</v>
          </cell>
          <cell r="F53" t="str">
            <v>End-Total</v>
          </cell>
          <cell r="G53" t="str">
            <v>No</v>
          </cell>
          <cell r="H53" t="str">
            <v>11220200..11220299</v>
          </cell>
          <cell r="I53">
            <v>-1700471.03</v>
          </cell>
          <cell r="J53">
            <v>76894145.030000001</v>
          </cell>
          <cell r="K53">
            <v>78594616.060000002</v>
          </cell>
          <cell r="L53">
            <v>13478028.109999999</v>
          </cell>
          <cell r="M53" t="str">
            <v/>
          </cell>
        </row>
        <row r="54">
          <cell r="A54" t="str">
            <v>11221999</v>
          </cell>
          <cell r="B54" t="str">
            <v>19/01/01..19/12/31</v>
          </cell>
          <cell r="C54" t="str">
            <v>AR(Bad Debt exclude) _Total</v>
          </cell>
          <cell r="D54" t="str">
            <v>应收账款(不含坏账准备)-合计</v>
          </cell>
          <cell r="E54" t="str">
            <v>Balance Sheet</v>
          </cell>
          <cell r="F54" t="str">
            <v>End-Total</v>
          </cell>
          <cell r="G54" t="str">
            <v>No</v>
          </cell>
          <cell r="H54" t="str">
            <v>11220001..11221999</v>
          </cell>
          <cell r="I54">
            <v>25959430.550000001</v>
          </cell>
          <cell r="J54">
            <v>979994377.58000004</v>
          </cell>
          <cell r="K54">
            <v>954034947.02999997</v>
          </cell>
          <cell r="L54">
            <v>149218978.13999999</v>
          </cell>
          <cell r="M54" t="str">
            <v/>
          </cell>
        </row>
        <row r="55">
          <cell r="A55" t="str">
            <v>11229999</v>
          </cell>
          <cell r="B55" t="str">
            <v>19/01/01..19/12/31</v>
          </cell>
          <cell r="C55" t="str">
            <v>Accounts Receivable_Total</v>
          </cell>
          <cell r="D55" t="str">
            <v>应收账款-合计</v>
          </cell>
          <cell r="E55" t="str">
            <v>Balance Sheet</v>
          </cell>
          <cell r="F55" t="str">
            <v>End-Total</v>
          </cell>
          <cell r="G55" t="str">
            <v>No</v>
          </cell>
          <cell r="H55" t="str">
            <v>11220000..11229999|12310001</v>
          </cell>
          <cell r="I55">
            <v>24875231.27</v>
          </cell>
          <cell r="J55">
            <v>980509866.22000003</v>
          </cell>
          <cell r="K55">
            <v>955634634.95000005</v>
          </cell>
          <cell r="L55">
            <v>147756516.59999999</v>
          </cell>
        </row>
        <row r="56">
          <cell r="A56" t="str">
            <v>11230000</v>
          </cell>
          <cell r="B56" t="str">
            <v>19/01/01..19/12/31</v>
          </cell>
          <cell r="C56" t="str">
            <v>Advance Payment to Supplier</v>
          </cell>
          <cell r="D56" t="str">
            <v>预付账款</v>
          </cell>
          <cell r="E56" t="str">
            <v>Balance Sheet</v>
          </cell>
          <cell r="F56" t="str">
            <v>Begin-Total</v>
          </cell>
          <cell r="G56" t="str">
            <v>No</v>
          </cell>
          <cell r="H56" t="str">
            <v/>
          </cell>
          <cell r="I56" t="str">
            <v/>
          </cell>
          <cell r="J56" t="str">
            <v/>
          </cell>
          <cell r="K56" t="str">
            <v/>
          </cell>
          <cell r="L56" t="str">
            <v/>
          </cell>
          <cell r="M56" t="str">
            <v/>
          </cell>
        </row>
        <row r="57">
          <cell r="A57" t="str">
            <v>11230010</v>
          </cell>
          <cell r="B57" t="str">
            <v>19/01/01..19/12/31</v>
          </cell>
          <cell r="C57" t="str">
            <v>Advance Payment_TP</v>
          </cell>
          <cell r="D57" t="str">
            <v>预付账款_第三方</v>
          </cell>
          <cell r="E57" t="str">
            <v>Balance Sheet</v>
          </cell>
          <cell r="F57" t="str">
            <v>Begin-Total</v>
          </cell>
          <cell r="G57" t="str">
            <v>Yes</v>
          </cell>
          <cell r="H57" t="str">
            <v/>
          </cell>
          <cell r="I57" t="str">
            <v/>
          </cell>
          <cell r="J57" t="str">
            <v/>
          </cell>
          <cell r="K57" t="str">
            <v/>
          </cell>
          <cell r="L57" t="str">
            <v/>
          </cell>
          <cell r="M57" t="str">
            <v/>
          </cell>
        </row>
        <row r="58">
          <cell r="A58" t="str">
            <v>11230011</v>
          </cell>
          <cell r="B58" t="str">
            <v>19/01/01..19/12/31</v>
          </cell>
          <cell r="C58" t="str">
            <v>Advance Payment_TP_FA</v>
          </cell>
          <cell r="D58" t="str">
            <v>预付账款_第三方_固定资产相关</v>
          </cell>
          <cell r="E58" t="str">
            <v>Balance Sheet</v>
          </cell>
          <cell r="F58" t="str">
            <v>Posting</v>
          </cell>
          <cell r="G58" t="str">
            <v>Yes</v>
          </cell>
          <cell r="H58" t="str">
            <v/>
          </cell>
          <cell r="I58">
            <v>1462929.8</v>
          </cell>
          <cell r="J58">
            <v>7582633</v>
          </cell>
          <cell r="K58">
            <v>6119703.2000000002</v>
          </cell>
          <cell r="L58">
            <v>1487743.8</v>
          </cell>
          <cell r="M58" t="str">
            <v>219000</v>
          </cell>
        </row>
        <row r="59">
          <cell r="A59" t="str">
            <v>11230012</v>
          </cell>
          <cell r="B59" t="str">
            <v>19/01/01..19/12/31</v>
          </cell>
          <cell r="C59" t="str">
            <v>Advance Payment_TP_Other</v>
          </cell>
          <cell r="D59" t="str">
            <v>预付账款_第三方_其他</v>
          </cell>
          <cell r="E59" t="str">
            <v>Balance Sheet</v>
          </cell>
          <cell r="F59" t="str">
            <v>Posting</v>
          </cell>
          <cell r="G59" t="str">
            <v>Yes</v>
          </cell>
          <cell r="H59" t="str">
            <v/>
          </cell>
          <cell r="I59">
            <v>-159075.32</v>
          </cell>
          <cell r="J59">
            <v>69762668.819999993</v>
          </cell>
          <cell r="K59">
            <v>69921744.140000001</v>
          </cell>
          <cell r="L59">
            <v>4086235.14</v>
          </cell>
          <cell r="M59" t="str">
            <v>409200</v>
          </cell>
        </row>
        <row r="60">
          <cell r="A60" t="str">
            <v>11230099</v>
          </cell>
          <cell r="B60" t="str">
            <v>19/01/01..19/12/31</v>
          </cell>
          <cell r="C60" t="str">
            <v>Advance Payment_TP_Total</v>
          </cell>
          <cell r="D60" t="str">
            <v>预付账款_第三方_合计</v>
          </cell>
          <cell r="E60" t="str">
            <v>Balance Sheet</v>
          </cell>
          <cell r="F60" t="str">
            <v>End-Total</v>
          </cell>
          <cell r="G60" t="str">
            <v>No</v>
          </cell>
          <cell r="H60" t="str">
            <v>11230010..11230099</v>
          </cell>
          <cell r="I60">
            <v>1303854.48</v>
          </cell>
          <cell r="J60">
            <v>77345301.819999993</v>
          </cell>
          <cell r="K60">
            <v>76041447.340000004</v>
          </cell>
          <cell r="L60">
            <v>5573978.9400000004</v>
          </cell>
          <cell r="M60" t="str">
            <v/>
          </cell>
        </row>
        <row r="61">
          <cell r="A61" t="str">
            <v>11230110</v>
          </cell>
          <cell r="B61" t="str">
            <v>19/01/01..19/12/31</v>
          </cell>
          <cell r="C61" t="str">
            <v>Advance Payment _IC</v>
          </cell>
          <cell r="D61" t="str">
            <v>预付账款_关联方</v>
          </cell>
          <cell r="E61" t="str">
            <v>Balance Sheet</v>
          </cell>
          <cell r="F61" t="str">
            <v>Begin-Total</v>
          </cell>
          <cell r="G61" t="str">
            <v>No</v>
          </cell>
          <cell r="H61" t="str">
            <v/>
          </cell>
          <cell r="I61" t="str">
            <v/>
          </cell>
          <cell r="J61" t="str">
            <v/>
          </cell>
          <cell r="K61" t="str">
            <v/>
          </cell>
          <cell r="L61" t="str">
            <v/>
          </cell>
          <cell r="M61" t="str">
            <v/>
          </cell>
        </row>
        <row r="62">
          <cell r="A62" t="str">
            <v>11230111</v>
          </cell>
          <cell r="B62" t="str">
            <v>19/01/01..19/12/31</v>
          </cell>
          <cell r="C62" t="str">
            <v>Advance Payment_IC_FA</v>
          </cell>
          <cell r="D62" t="str">
            <v>预付账款_关联方_固定资产相关</v>
          </cell>
          <cell r="E62" t="str">
            <v>Balance Sheet</v>
          </cell>
          <cell r="F62" t="str">
            <v>Posting</v>
          </cell>
          <cell r="G62" t="str">
            <v>No</v>
          </cell>
          <cell r="H62" t="str">
            <v/>
          </cell>
          <cell r="I62" t="str">
            <v/>
          </cell>
          <cell r="J62" t="str">
            <v/>
          </cell>
          <cell r="K62" t="str">
            <v/>
          </cell>
          <cell r="L62" t="str">
            <v/>
          </cell>
          <cell r="M62" t="str">
            <v>219000</v>
          </cell>
        </row>
        <row r="63">
          <cell r="A63" t="str">
            <v>11230112</v>
          </cell>
          <cell r="B63" t="str">
            <v>19/01/01..19/12/31</v>
          </cell>
          <cell r="C63" t="str">
            <v>Advance Payment_IC_Others</v>
          </cell>
          <cell r="D63" t="str">
            <v>预付账款_关联方_其他</v>
          </cell>
          <cell r="E63" t="str">
            <v>Balance Sheet</v>
          </cell>
          <cell r="F63" t="str">
            <v>Posting</v>
          </cell>
          <cell r="G63" t="str">
            <v>No</v>
          </cell>
          <cell r="H63" t="str">
            <v/>
          </cell>
          <cell r="I63" t="str">
            <v/>
          </cell>
          <cell r="J63" t="str">
            <v/>
          </cell>
          <cell r="K63" t="str">
            <v/>
          </cell>
          <cell r="L63" t="str">
            <v/>
          </cell>
          <cell r="M63" t="str">
            <v>409200</v>
          </cell>
        </row>
        <row r="64">
          <cell r="A64" t="str">
            <v>11230199</v>
          </cell>
          <cell r="B64" t="str">
            <v>19/01/01..19/12/31</v>
          </cell>
          <cell r="C64" t="str">
            <v>Advance Payment_IC_Total</v>
          </cell>
          <cell r="D64" t="str">
            <v>预付账款_关联方_合计</v>
          </cell>
          <cell r="E64" t="str">
            <v>Balance Sheet</v>
          </cell>
          <cell r="F64" t="str">
            <v>End-Total</v>
          </cell>
          <cell r="G64" t="str">
            <v>No</v>
          </cell>
          <cell r="H64" t="str">
            <v>11230110..11230199</v>
          </cell>
          <cell r="I64" t="str">
            <v/>
          </cell>
          <cell r="J64" t="str">
            <v/>
          </cell>
          <cell r="K64" t="str">
            <v/>
          </cell>
          <cell r="L64" t="str">
            <v/>
          </cell>
          <cell r="M64" t="str">
            <v/>
          </cell>
        </row>
        <row r="65">
          <cell r="A65" t="str">
            <v>11239999</v>
          </cell>
          <cell r="B65" t="str">
            <v>19/01/01..19/12/31</v>
          </cell>
          <cell r="C65" t="str">
            <v>Advance Payment_Total</v>
          </cell>
          <cell r="D65" t="str">
            <v>预付账款-合计</v>
          </cell>
          <cell r="E65" t="str">
            <v>Balance Sheet</v>
          </cell>
          <cell r="F65" t="str">
            <v>End-Total</v>
          </cell>
          <cell r="G65" t="str">
            <v>No</v>
          </cell>
          <cell r="H65" t="str">
            <v>11230000..11239999</v>
          </cell>
          <cell r="I65">
            <v>1303854.48</v>
          </cell>
          <cell r="J65">
            <v>77345301.819999993</v>
          </cell>
          <cell r="K65">
            <v>76041447.340000004</v>
          </cell>
          <cell r="L65">
            <v>5573978.9400000004</v>
          </cell>
          <cell r="M65" t="str">
            <v/>
          </cell>
        </row>
        <row r="66">
          <cell r="A66" t="str">
            <v>11310000</v>
          </cell>
          <cell r="B66" t="str">
            <v>19/01/01..19/12/31</v>
          </cell>
          <cell r="C66" t="str">
            <v>Dividends Receivable</v>
          </cell>
          <cell r="D66" t="str">
            <v>应收股利</v>
          </cell>
          <cell r="E66" t="str">
            <v>Balance Sheet</v>
          </cell>
          <cell r="F66" t="str">
            <v>Posting</v>
          </cell>
          <cell r="G66" t="str">
            <v>Yes</v>
          </cell>
          <cell r="H66" t="str">
            <v/>
          </cell>
          <cell r="I66" t="str">
            <v/>
          </cell>
          <cell r="J66" t="str">
            <v/>
          </cell>
          <cell r="K66" t="str">
            <v/>
          </cell>
          <cell r="L66" t="str">
            <v/>
          </cell>
          <cell r="M66" t="str">
            <v>461110</v>
          </cell>
        </row>
        <row r="67">
          <cell r="A67" t="str">
            <v>11320000</v>
          </cell>
          <cell r="B67" t="str">
            <v>19/01/01..19/12/31</v>
          </cell>
          <cell r="C67" t="str">
            <v>Interest Receivable</v>
          </cell>
          <cell r="D67" t="str">
            <v>应收利息</v>
          </cell>
          <cell r="E67" t="str">
            <v>Balance Sheet</v>
          </cell>
          <cell r="F67" t="str">
            <v>Posting</v>
          </cell>
          <cell r="G67" t="str">
            <v>Yes</v>
          </cell>
          <cell r="H67" t="str">
            <v/>
          </cell>
          <cell r="I67" t="str">
            <v/>
          </cell>
          <cell r="J67" t="str">
            <v/>
          </cell>
          <cell r="K67" t="str">
            <v/>
          </cell>
          <cell r="L67" t="str">
            <v/>
          </cell>
          <cell r="M67" t="str">
            <v>451100</v>
          </cell>
        </row>
        <row r="68">
          <cell r="A68" t="str">
            <v>11320002</v>
          </cell>
          <cell r="B68" t="str">
            <v>19/01/01..19/12/31</v>
          </cell>
          <cell r="C68" t="str">
            <v>Interest Receivable_cash pool</v>
          </cell>
          <cell r="D68" t="str">
            <v>应收利息_现金池</v>
          </cell>
          <cell r="E68" t="str">
            <v>Balance Sheet</v>
          </cell>
          <cell r="F68" t="str">
            <v>Posting</v>
          </cell>
          <cell r="G68" t="str">
            <v>Yes</v>
          </cell>
          <cell r="H68" t="str">
            <v/>
          </cell>
          <cell r="I68" t="str">
            <v/>
          </cell>
          <cell r="J68" t="str">
            <v/>
          </cell>
          <cell r="K68" t="str">
            <v/>
          </cell>
          <cell r="L68" t="str">
            <v/>
          </cell>
          <cell r="M68" t="str">
            <v>501200</v>
          </cell>
        </row>
        <row r="69">
          <cell r="A69" t="str">
            <v>12210000</v>
          </cell>
          <cell r="B69" t="str">
            <v>19/01/01..19/12/31</v>
          </cell>
          <cell r="C69" t="str">
            <v>Other Receivable</v>
          </cell>
          <cell r="D69" t="str">
            <v>其他应收款</v>
          </cell>
          <cell r="E69" t="str">
            <v>Balance Sheet</v>
          </cell>
          <cell r="F69" t="str">
            <v>Begin-Total</v>
          </cell>
          <cell r="G69" t="str">
            <v>No</v>
          </cell>
          <cell r="H69" t="str">
            <v/>
          </cell>
          <cell r="I69" t="str">
            <v/>
          </cell>
          <cell r="J69" t="str">
            <v/>
          </cell>
          <cell r="K69" t="str">
            <v/>
          </cell>
          <cell r="L69" t="str">
            <v/>
          </cell>
          <cell r="M69" t="str">
            <v/>
          </cell>
        </row>
        <row r="70">
          <cell r="A70" t="str">
            <v>12210001</v>
          </cell>
          <cell r="B70" t="str">
            <v>19/01/01..19/12/31</v>
          </cell>
          <cell r="C70" t="str">
            <v>OR(Bas Debt exclude)</v>
          </cell>
          <cell r="D70" t="str">
            <v>其他应收款(不含坏账准备)</v>
          </cell>
          <cell r="E70" t="str">
            <v>Balance Sheet</v>
          </cell>
          <cell r="F70" t="str">
            <v>Begin-Total</v>
          </cell>
          <cell r="G70" t="str">
            <v>No</v>
          </cell>
          <cell r="H70" t="str">
            <v/>
          </cell>
          <cell r="I70" t="str">
            <v/>
          </cell>
          <cell r="J70" t="str">
            <v/>
          </cell>
          <cell r="K70" t="str">
            <v/>
          </cell>
          <cell r="L70" t="str">
            <v/>
          </cell>
          <cell r="M70" t="str">
            <v/>
          </cell>
        </row>
        <row r="71">
          <cell r="A71" t="str">
            <v>12210101</v>
          </cell>
          <cell r="B71" t="str">
            <v>19/01/01..19/12/31</v>
          </cell>
          <cell r="C71" t="str">
            <v>OR_staff cash advance_LT</v>
          </cell>
          <cell r="D71" t="str">
            <v>其他应收款_员工长期借支</v>
          </cell>
          <cell r="E71" t="str">
            <v>Balance Sheet</v>
          </cell>
          <cell r="F71" t="str">
            <v>Posting</v>
          </cell>
          <cell r="G71" t="str">
            <v>Yes</v>
          </cell>
          <cell r="H71" t="str">
            <v/>
          </cell>
          <cell r="I71">
            <v>-5000</v>
          </cell>
          <cell r="J71">
            <v>40000</v>
          </cell>
          <cell r="K71">
            <v>45000</v>
          </cell>
          <cell r="L71">
            <v>60000</v>
          </cell>
          <cell r="M71" t="str">
            <v>266010</v>
          </cell>
        </row>
        <row r="72">
          <cell r="A72" t="str">
            <v>12210102</v>
          </cell>
          <cell r="B72" t="str">
            <v>19/01/01..19/12/31</v>
          </cell>
          <cell r="C72" t="str">
            <v>OR_staff cash advance_ST</v>
          </cell>
          <cell r="D72" t="str">
            <v>其他应收款_员工短期借支</v>
          </cell>
          <cell r="E72" t="str">
            <v>Balance Sheet</v>
          </cell>
          <cell r="F72" t="str">
            <v>Posting</v>
          </cell>
          <cell r="G72" t="str">
            <v>Yes</v>
          </cell>
          <cell r="H72" t="str">
            <v/>
          </cell>
          <cell r="I72">
            <v>-72083.820000000007</v>
          </cell>
          <cell r="J72">
            <v>139078</v>
          </cell>
          <cell r="K72">
            <v>211161.82</v>
          </cell>
          <cell r="L72">
            <v>76078</v>
          </cell>
          <cell r="M72" t="str">
            <v>266010</v>
          </cell>
        </row>
        <row r="73">
          <cell r="A73" t="str">
            <v>12210103</v>
          </cell>
          <cell r="B73" t="str">
            <v>19/01/01..19/12/31</v>
          </cell>
          <cell r="C73" t="str">
            <v>OR_Deposit</v>
          </cell>
          <cell r="D73" t="str">
            <v>其他应收款_押金</v>
          </cell>
          <cell r="E73" t="str">
            <v>Balance Sheet</v>
          </cell>
          <cell r="F73" t="str">
            <v>Posting</v>
          </cell>
          <cell r="G73" t="str">
            <v>Yes</v>
          </cell>
          <cell r="H73" t="str">
            <v/>
          </cell>
          <cell r="I73">
            <v>-271000</v>
          </cell>
          <cell r="J73">
            <v>9000</v>
          </cell>
          <cell r="K73">
            <v>280000</v>
          </cell>
          <cell r="L73">
            <v>178000</v>
          </cell>
          <cell r="M73" t="str">
            <v>267010</v>
          </cell>
        </row>
        <row r="74">
          <cell r="A74" t="str">
            <v>12210104</v>
          </cell>
          <cell r="B74" t="str">
            <v>19/01/01..19/12/31</v>
          </cell>
          <cell r="C74" t="str">
            <v>OR_Margin calls Asset</v>
          </cell>
          <cell r="D74" t="str">
            <v>其他应收款_期货保证金(已占用)</v>
          </cell>
          <cell r="E74" t="str">
            <v>Balance Sheet</v>
          </cell>
          <cell r="F74" t="str">
            <v>Posting</v>
          </cell>
          <cell r="G74" t="str">
            <v>Yes</v>
          </cell>
          <cell r="H74" t="str">
            <v/>
          </cell>
          <cell r="I74">
            <v>10488823.6</v>
          </cell>
          <cell r="J74">
            <v>24162367.5</v>
          </cell>
          <cell r="K74">
            <v>13673543.9</v>
          </cell>
          <cell r="L74">
            <v>17134316.5</v>
          </cell>
          <cell r="M74" t="str">
            <v>267020</v>
          </cell>
        </row>
        <row r="75">
          <cell r="A75" t="str">
            <v>12210105</v>
          </cell>
          <cell r="B75" t="str">
            <v>19/01/01..19/12/31</v>
          </cell>
          <cell r="C75" t="str">
            <v>OR_Hedging deposit</v>
          </cell>
          <cell r="D75" t="str">
            <v>其他应收款_期货保证金(未占用)</v>
          </cell>
          <cell r="E75" t="str">
            <v>Balance Sheet</v>
          </cell>
          <cell r="F75" t="str">
            <v>Posting</v>
          </cell>
          <cell r="G75" t="str">
            <v>Yes</v>
          </cell>
          <cell r="H75" t="str">
            <v/>
          </cell>
          <cell r="I75">
            <v>-9699604.4800000004</v>
          </cell>
          <cell r="J75">
            <v>13380975.91</v>
          </cell>
          <cell r="K75">
            <v>23080580.390000001</v>
          </cell>
          <cell r="L75">
            <v>8521656.0199999996</v>
          </cell>
          <cell r="M75" t="str">
            <v>267010</v>
          </cell>
        </row>
        <row r="76">
          <cell r="A76" t="str">
            <v>12210106</v>
          </cell>
          <cell r="B76" t="str">
            <v>19/01/01..19/12/31</v>
          </cell>
          <cell r="C76" t="str">
            <v>OR_TP Domestics Customers</v>
          </cell>
          <cell r="D76" t="str">
            <v>其他应收款_第三方国内客户</v>
          </cell>
          <cell r="E76" t="str">
            <v>Balance Sheet</v>
          </cell>
          <cell r="F76" t="str">
            <v>Posting</v>
          </cell>
          <cell r="G76" t="str">
            <v>Yes</v>
          </cell>
          <cell r="H76" t="str">
            <v/>
          </cell>
          <cell r="I76">
            <v>-1224.99</v>
          </cell>
          <cell r="J76">
            <v>9678900.6999999993</v>
          </cell>
          <cell r="K76">
            <v>9680125.6899999995</v>
          </cell>
          <cell r="L76" t="str">
            <v/>
          </cell>
          <cell r="M76" t="str">
            <v>461000</v>
          </cell>
        </row>
        <row r="77">
          <cell r="A77" t="str">
            <v>12210107</v>
          </cell>
          <cell r="B77" t="str">
            <v>19/01/01..19/12/31</v>
          </cell>
          <cell r="C77" t="str">
            <v>OR_TP Oversea Customers</v>
          </cell>
          <cell r="D77" t="str">
            <v>其他应收款_第三方国外客户</v>
          </cell>
          <cell r="E77" t="str">
            <v>Balance Sheet</v>
          </cell>
          <cell r="F77" t="str">
            <v>Posting</v>
          </cell>
          <cell r="G77" t="str">
            <v>Yes</v>
          </cell>
          <cell r="H77" t="str">
            <v/>
          </cell>
          <cell r="I77" t="str">
            <v/>
          </cell>
          <cell r="J77" t="str">
            <v/>
          </cell>
          <cell r="K77" t="str">
            <v/>
          </cell>
          <cell r="L77" t="str">
            <v/>
          </cell>
          <cell r="M77" t="str">
            <v>461000</v>
          </cell>
        </row>
        <row r="78">
          <cell r="A78" t="str">
            <v>12210108</v>
          </cell>
          <cell r="B78" t="str">
            <v>19/01/01..19/12/31</v>
          </cell>
          <cell r="C78" t="str">
            <v>OR_IC Domestics Customers</v>
          </cell>
          <cell r="D78" t="str">
            <v>其他应收款_关联方国内客户</v>
          </cell>
          <cell r="E78" t="str">
            <v>Balance Sheet</v>
          </cell>
          <cell r="F78" t="str">
            <v>Posting</v>
          </cell>
          <cell r="G78" t="str">
            <v>Yes</v>
          </cell>
          <cell r="H78" t="str">
            <v/>
          </cell>
          <cell r="I78">
            <v>-253387.75</v>
          </cell>
          <cell r="J78">
            <v>25665957.170000002</v>
          </cell>
          <cell r="K78">
            <v>25919344.920000002</v>
          </cell>
          <cell r="L78">
            <v>55486.22</v>
          </cell>
          <cell r="M78" t="str">
            <v>461000</v>
          </cell>
        </row>
        <row r="79">
          <cell r="A79" t="str">
            <v>12210109</v>
          </cell>
          <cell r="B79" t="str">
            <v>19/01/01..19/12/31</v>
          </cell>
          <cell r="C79" t="str">
            <v>OR_IC Oversea Customers</v>
          </cell>
          <cell r="D79" t="str">
            <v>其他应收款_关联方国外客户</v>
          </cell>
          <cell r="E79" t="str">
            <v>Balance Sheet</v>
          </cell>
          <cell r="F79" t="str">
            <v>Posting</v>
          </cell>
          <cell r="G79" t="str">
            <v>Yes</v>
          </cell>
          <cell r="H79" t="str">
            <v/>
          </cell>
          <cell r="I79">
            <v>97977.49</v>
          </cell>
          <cell r="J79">
            <v>366829.45</v>
          </cell>
          <cell r="K79">
            <v>268851.96000000002</v>
          </cell>
          <cell r="L79">
            <v>189314.87</v>
          </cell>
          <cell r="M79" t="str">
            <v>461000</v>
          </cell>
        </row>
        <row r="80">
          <cell r="A80" t="str">
            <v>12210110</v>
          </cell>
          <cell r="B80" t="str">
            <v>19/01/01..19/12/31</v>
          </cell>
          <cell r="C80" t="str">
            <v>OR_Prepaid Rental</v>
          </cell>
          <cell r="D80" t="str">
            <v>其他应收款_待摊租金</v>
          </cell>
          <cell r="E80" t="str">
            <v>Balance Sheet</v>
          </cell>
          <cell r="F80" t="str">
            <v>Posting</v>
          </cell>
          <cell r="G80" t="str">
            <v>Yes</v>
          </cell>
          <cell r="H80" t="str">
            <v/>
          </cell>
          <cell r="I80" t="str">
            <v/>
          </cell>
          <cell r="J80" t="str">
            <v/>
          </cell>
          <cell r="K80" t="str">
            <v/>
          </cell>
          <cell r="L80" t="str">
            <v/>
          </cell>
          <cell r="M80" t="str">
            <v>486000</v>
          </cell>
        </row>
        <row r="81">
          <cell r="A81" t="str">
            <v>12210111</v>
          </cell>
          <cell r="B81" t="str">
            <v>19/01/01..19/12/31</v>
          </cell>
          <cell r="C81" t="str">
            <v>OR_Prepaid Insurance</v>
          </cell>
          <cell r="D81" t="str">
            <v>其他应收款_待摊保险</v>
          </cell>
          <cell r="E81" t="str">
            <v>Balance Sheet</v>
          </cell>
          <cell r="F81" t="str">
            <v>Posting</v>
          </cell>
          <cell r="G81" t="str">
            <v>Yes</v>
          </cell>
          <cell r="H81" t="str">
            <v/>
          </cell>
          <cell r="I81" t="str">
            <v/>
          </cell>
          <cell r="J81" t="str">
            <v/>
          </cell>
          <cell r="K81" t="str">
            <v/>
          </cell>
          <cell r="L81" t="str">
            <v/>
          </cell>
          <cell r="M81" t="str">
            <v>486000</v>
          </cell>
        </row>
        <row r="82">
          <cell r="A82" t="str">
            <v>12210112</v>
          </cell>
          <cell r="B82" t="str">
            <v>19/01/01..19/12/31</v>
          </cell>
          <cell r="C82" t="str">
            <v>OR_Prepaid Other</v>
          </cell>
          <cell r="D82" t="str">
            <v>其他应收款_待摊其它</v>
          </cell>
          <cell r="E82" t="str">
            <v>Balance Sheet</v>
          </cell>
          <cell r="F82" t="str">
            <v>Posting</v>
          </cell>
          <cell r="G82" t="str">
            <v>Yes</v>
          </cell>
          <cell r="H82" t="str">
            <v/>
          </cell>
          <cell r="I82" t="str">
            <v/>
          </cell>
          <cell r="J82" t="str">
            <v/>
          </cell>
          <cell r="K82" t="str">
            <v/>
          </cell>
          <cell r="L82" t="str">
            <v/>
          </cell>
          <cell r="M82" t="str">
            <v>486000</v>
          </cell>
        </row>
        <row r="83">
          <cell r="A83" t="str">
            <v>12210113</v>
          </cell>
          <cell r="B83" t="str">
            <v>19/01/01..19/12/31</v>
          </cell>
          <cell r="C83" t="str">
            <v>OR_ACT 2014</v>
          </cell>
          <cell r="D83" t="str">
            <v>其他应收款_ACT 2014</v>
          </cell>
          <cell r="E83" t="str">
            <v>Balance Sheet</v>
          </cell>
          <cell r="F83" t="str">
            <v>Posting</v>
          </cell>
          <cell r="G83" t="str">
            <v>Yes</v>
          </cell>
          <cell r="H83" t="str">
            <v/>
          </cell>
          <cell r="I83">
            <v>-67896</v>
          </cell>
          <cell r="J83" t="str">
            <v/>
          </cell>
          <cell r="K83">
            <v>67896</v>
          </cell>
          <cell r="L83">
            <v>-84589.9</v>
          </cell>
          <cell r="M83" t="str">
            <v>461000</v>
          </cell>
        </row>
        <row r="84">
          <cell r="A84" t="str">
            <v>12210114</v>
          </cell>
          <cell r="B84" t="str">
            <v>19/01/01..19/12/31</v>
          </cell>
          <cell r="C84" t="str">
            <v>OR_Biding Guarantee</v>
          </cell>
          <cell r="D84" t="str">
            <v>其他应收款_投标保证金</v>
          </cell>
          <cell r="E84" t="str">
            <v>Balance Sheet</v>
          </cell>
          <cell r="F84" t="str">
            <v>Posting</v>
          </cell>
          <cell r="G84" t="str">
            <v>Yes</v>
          </cell>
          <cell r="H84" t="str">
            <v/>
          </cell>
          <cell r="I84">
            <v>16600</v>
          </cell>
          <cell r="J84">
            <v>816600</v>
          </cell>
          <cell r="K84">
            <v>800000</v>
          </cell>
          <cell r="L84">
            <v>718450</v>
          </cell>
          <cell r="M84" t="str">
            <v>267010</v>
          </cell>
        </row>
        <row r="85">
          <cell r="A85" t="str">
            <v>12210115</v>
          </cell>
          <cell r="B85" t="str">
            <v>19/01/01..19/12/31</v>
          </cell>
          <cell r="C85" t="str">
            <v>OR_IC_Pending</v>
          </cell>
          <cell r="D85" t="str">
            <v>其他应收款_关联方_Pending</v>
          </cell>
          <cell r="E85" t="str">
            <v>Balance Sheet</v>
          </cell>
          <cell r="F85" t="str">
            <v>Posting</v>
          </cell>
          <cell r="G85" t="str">
            <v>Yes</v>
          </cell>
          <cell r="H85" t="str">
            <v/>
          </cell>
          <cell r="I85" t="str">
            <v/>
          </cell>
          <cell r="J85">
            <v>58945.9</v>
          </cell>
          <cell r="K85">
            <v>58945.9</v>
          </cell>
          <cell r="L85" t="str">
            <v/>
          </cell>
          <cell r="M85" t="str">
            <v>461000</v>
          </cell>
        </row>
        <row r="86">
          <cell r="A86" t="str">
            <v>12211999</v>
          </cell>
          <cell r="B86" t="str">
            <v>19/01/01..19/12/31</v>
          </cell>
          <cell r="C86" t="str">
            <v>OR(Bas Debt exclude)_Total</v>
          </cell>
          <cell r="D86" t="str">
            <v>其他应收款(不含坏账准备)-合计</v>
          </cell>
          <cell r="E86" t="str">
            <v>Balance Sheet</v>
          </cell>
          <cell r="F86" t="str">
            <v>End-Total</v>
          </cell>
          <cell r="G86" t="str">
            <v>No</v>
          </cell>
          <cell r="H86" t="str">
            <v>12210001..12211999</v>
          </cell>
          <cell r="I86">
            <v>233204.05</v>
          </cell>
          <cell r="J86">
            <v>74318654.629999995</v>
          </cell>
          <cell r="K86">
            <v>74085450.579999998</v>
          </cell>
          <cell r="L86">
            <v>26848711.710000001</v>
          </cell>
          <cell r="M86" t="str">
            <v/>
          </cell>
        </row>
        <row r="87">
          <cell r="A87" t="str">
            <v>12219999</v>
          </cell>
          <cell r="B87" t="str">
            <v>19/01/01..19/12/31</v>
          </cell>
          <cell r="C87" t="str">
            <v>Other Receivable_Total</v>
          </cell>
          <cell r="D87" t="str">
            <v>其他应收款-合计</v>
          </cell>
          <cell r="E87" t="str">
            <v>Balance Sheet</v>
          </cell>
          <cell r="F87" t="str">
            <v>End-Total</v>
          </cell>
          <cell r="G87" t="str">
            <v>No</v>
          </cell>
          <cell r="H87" t="str">
            <v>12210000..12219999|12310002</v>
          </cell>
          <cell r="I87">
            <v>233204.05</v>
          </cell>
          <cell r="J87">
            <v>74318654.629999995</v>
          </cell>
          <cell r="K87">
            <v>74085450.579999998</v>
          </cell>
          <cell r="L87">
            <v>26848711.710000001</v>
          </cell>
          <cell r="M87" t="str">
            <v/>
          </cell>
        </row>
        <row r="88">
          <cell r="A88" t="str">
            <v>12310001</v>
          </cell>
          <cell r="B88" t="str">
            <v>19/01/01..19/12/31</v>
          </cell>
          <cell r="C88" t="str">
            <v>Bad Debt Provision_AR</v>
          </cell>
          <cell r="D88" t="str">
            <v>坏账准备-应收账款</v>
          </cell>
          <cell r="E88" t="str">
            <v>Balance Sheet</v>
          </cell>
          <cell r="F88" t="str">
            <v>Posting</v>
          </cell>
          <cell r="G88" t="str">
            <v>Yes</v>
          </cell>
          <cell r="H88" t="str">
            <v/>
          </cell>
          <cell r="I88">
            <v>-1084199.28</v>
          </cell>
          <cell r="J88">
            <v>515488.64</v>
          </cell>
          <cell r="K88">
            <v>1599687.92</v>
          </cell>
          <cell r="L88">
            <v>-1462461.54</v>
          </cell>
          <cell r="M88" t="str">
            <v>491200</v>
          </cell>
        </row>
        <row r="89">
          <cell r="A89" t="str">
            <v>12310002</v>
          </cell>
          <cell r="B89" t="str">
            <v>19/01/01..19/12/31</v>
          </cell>
          <cell r="C89" t="str">
            <v>Bad Debt Provision_OR</v>
          </cell>
          <cell r="D89" t="str">
            <v>坏账准备-其它应收款</v>
          </cell>
          <cell r="E89" t="str">
            <v>Balance Sheet</v>
          </cell>
          <cell r="F89" t="str">
            <v>Posting</v>
          </cell>
          <cell r="G89" t="str">
            <v>Yes</v>
          </cell>
          <cell r="H89" t="str">
            <v/>
          </cell>
          <cell r="I89" t="str">
            <v/>
          </cell>
          <cell r="J89" t="str">
            <v/>
          </cell>
          <cell r="K89" t="str">
            <v/>
          </cell>
          <cell r="L89" t="str">
            <v/>
          </cell>
          <cell r="M89" t="str">
            <v>496100</v>
          </cell>
        </row>
        <row r="90">
          <cell r="A90" t="str">
            <v>13030001</v>
          </cell>
          <cell r="B90" t="str">
            <v>19/01/01..19/12/31</v>
          </cell>
          <cell r="C90" t="str">
            <v>Cash pool loan</v>
          </cell>
          <cell r="D90" t="str">
            <v>现金池贷款</v>
          </cell>
          <cell r="E90" t="str">
            <v>Balance Sheet</v>
          </cell>
          <cell r="F90" t="str">
            <v>Posting</v>
          </cell>
          <cell r="G90" t="str">
            <v>Yes</v>
          </cell>
          <cell r="H90" t="str">
            <v/>
          </cell>
          <cell r="I90">
            <v>4355299.21</v>
          </cell>
          <cell r="J90">
            <v>4355299.21</v>
          </cell>
          <cell r="K90" t="str">
            <v/>
          </cell>
          <cell r="L90">
            <v>4355299.21</v>
          </cell>
          <cell r="M90" t="str">
            <v>501200</v>
          </cell>
        </row>
        <row r="91">
          <cell r="A91" t="str">
            <v>14000000</v>
          </cell>
          <cell r="B91" t="str">
            <v>19/01/01..19/12/31</v>
          </cell>
          <cell r="C91" t="str">
            <v>Inventory</v>
          </cell>
          <cell r="D91" t="str">
            <v>存货</v>
          </cell>
          <cell r="E91" t="str">
            <v>Balance Sheet</v>
          </cell>
          <cell r="F91" t="str">
            <v>Begin-Total</v>
          </cell>
          <cell r="G91" t="str">
            <v>No</v>
          </cell>
          <cell r="H91" t="str">
            <v/>
          </cell>
          <cell r="I91" t="str">
            <v/>
          </cell>
          <cell r="J91" t="str">
            <v/>
          </cell>
          <cell r="K91" t="str">
            <v/>
          </cell>
          <cell r="L91" t="str">
            <v/>
          </cell>
          <cell r="M91" t="str">
            <v/>
          </cell>
        </row>
        <row r="92">
          <cell r="A92" t="str">
            <v>14010000</v>
          </cell>
          <cell r="B92" t="str">
            <v>19/01/01..19/12/31</v>
          </cell>
          <cell r="C92" t="str">
            <v>Materials Purchased</v>
          </cell>
          <cell r="D92" t="str">
            <v>材料采购</v>
          </cell>
          <cell r="E92" t="str">
            <v>Balance Sheet</v>
          </cell>
          <cell r="F92" t="str">
            <v>Posting</v>
          </cell>
          <cell r="G92" t="str">
            <v>Yes</v>
          </cell>
          <cell r="H92" t="str">
            <v/>
          </cell>
          <cell r="I92" t="str">
            <v/>
          </cell>
          <cell r="J92">
            <v>428799047.83999997</v>
          </cell>
          <cell r="K92">
            <v>428799047.83999997</v>
          </cell>
          <cell r="L92" t="str">
            <v/>
          </cell>
          <cell r="M92" t="str">
            <v>300000</v>
          </cell>
        </row>
        <row r="93">
          <cell r="A93" t="str">
            <v>14020100</v>
          </cell>
          <cell r="B93" t="str">
            <v>19/01/01..19/12/31</v>
          </cell>
          <cell r="C93" t="str">
            <v>Purchased on the way_Material</v>
          </cell>
          <cell r="D93" t="str">
            <v>在途物资-原材料</v>
          </cell>
          <cell r="E93" t="str">
            <v>Balance Sheet</v>
          </cell>
          <cell r="F93" t="str">
            <v>Posting</v>
          </cell>
          <cell r="G93" t="str">
            <v>Yes</v>
          </cell>
          <cell r="H93" t="str">
            <v/>
          </cell>
          <cell r="I93">
            <v>3856748.6</v>
          </cell>
          <cell r="J93">
            <v>19601181.620000001</v>
          </cell>
          <cell r="K93">
            <v>15744433.02</v>
          </cell>
          <cell r="L93">
            <v>5334598.13</v>
          </cell>
          <cell r="M93" t="str">
            <v>300000</v>
          </cell>
        </row>
        <row r="94">
          <cell r="A94" t="str">
            <v>14020200</v>
          </cell>
          <cell r="B94" t="str">
            <v>19/01/01..19/12/31</v>
          </cell>
          <cell r="C94" t="str">
            <v>Purchased on the way_FG</v>
          </cell>
          <cell r="D94" t="str">
            <v>在途物资-产成品</v>
          </cell>
          <cell r="E94" t="str">
            <v>Balance Sheet</v>
          </cell>
          <cell r="F94" t="str">
            <v>Posting</v>
          </cell>
          <cell r="G94" t="str">
            <v>Yes</v>
          </cell>
          <cell r="H94" t="str">
            <v/>
          </cell>
          <cell r="I94">
            <v>757387.83</v>
          </cell>
          <cell r="J94">
            <v>15743952.42</v>
          </cell>
          <cell r="K94">
            <v>14986564.59</v>
          </cell>
          <cell r="L94">
            <v>4188189.2</v>
          </cell>
          <cell r="M94" t="str">
            <v>350000</v>
          </cell>
        </row>
        <row r="95">
          <cell r="A95" t="str">
            <v>14030000</v>
          </cell>
          <cell r="B95" t="str">
            <v>19/01/01..19/12/31</v>
          </cell>
          <cell r="C95" t="str">
            <v>Raw Material</v>
          </cell>
          <cell r="D95" t="str">
            <v>原材料</v>
          </cell>
          <cell r="E95" t="str">
            <v>Balance Sheet</v>
          </cell>
          <cell r="F95" t="str">
            <v>Begin-Total</v>
          </cell>
          <cell r="G95" t="str">
            <v>No</v>
          </cell>
          <cell r="H95" t="str">
            <v/>
          </cell>
          <cell r="I95" t="str">
            <v/>
          </cell>
          <cell r="J95" t="str">
            <v/>
          </cell>
          <cell r="K95" t="str">
            <v/>
          </cell>
          <cell r="L95" t="str">
            <v/>
          </cell>
          <cell r="M95" t="str">
            <v/>
          </cell>
        </row>
        <row r="96">
          <cell r="A96" t="str">
            <v>14030100</v>
          </cell>
          <cell r="B96" t="str">
            <v>19/01/01..19/12/31</v>
          </cell>
          <cell r="C96" t="str">
            <v>Raw Material_Copper</v>
          </cell>
          <cell r="D96" t="str">
            <v>原材料-铜</v>
          </cell>
          <cell r="E96" t="str">
            <v>Balance Sheet</v>
          </cell>
          <cell r="F96" t="str">
            <v>Posting</v>
          </cell>
          <cell r="G96" t="str">
            <v>Yes</v>
          </cell>
          <cell r="H96" t="str">
            <v/>
          </cell>
          <cell r="I96">
            <v>-402503.89</v>
          </cell>
          <cell r="J96">
            <v>654484809.73000002</v>
          </cell>
          <cell r="K96">
            <v>654887313.62</v>
          </cell>
          <cell r="L96">
            <v>6649002.1699999999</v>
          </cell>
          <cell r="M96" t="str">
            <v>300000</v>
          </cell>
        </row>
        <row r="97">
          <cell r="A97" t="str">
            <v>14030200</v>
          </cell>
          <cell r="B97" t="str">
            <v>19/01/01..19/12/31</v>
          </cell>
          <cell r="C97" t="str">
            <v>Raw Material_Aluminum</v>
          </cell>
          <cell r="D97" t="str">
            <v>原材料-铝</v>
          </cell>
          <cell r="E97" t="str">
            <v>Balance Sheet</v>
          </cell>
          <cell r="F97" t="str">
            <v>Posting</v>
          </cell>
          <cell r="G97" t="str">
            <v>No</v>
          </cell>
          <cell r="H97" t="str">
            <v/>
          </cell>
          <cell r="I97">
            <v>-301.54000000000002</v>
          </cell>
          <cell r="J97">
            <v>1488.71</v>
          </cell>
          <cell r="K97">
            <v>1790.25</v>
          </cell>
          <cell r="L97">
            <v>1160.5899999999999</v>
          </cell>
          <cell r="M97" t="str">
            <v>300000</v>
          </cell>
        </row>
        <row r="98">
          <cell r="A98" t="str">
            <v>14030300</v>
          </cell>
          <cell r="B98" t="str">
            <v>19/01/01..19/12/31</v>
          </cell>
          <cell r="C98" t="str">
            <v>Raw Material_Compound</v>
          </cell>
          <cell r="D98" t="str">
            <v>原材料-塑料</v>
          </cell>
          <cell r="E98" t="str">
            <v>Balance Sheet</v>
          </cell>
          <cell r="F98" t="str">
            <v>Posting</v>
          </cell>
          <cell r="G98" t="str">
            <v>Yes</v>
          </cell>
          <cell r="H98" t="str">
            <v/>
          </cell>
          <cell r="I98">
            <v>1143504.3700000001</v>
          </cell>
          <cell r="J98">
            <v>230248822.44</v>
          </cell>
          <cell r="K98">
            <v>229105318.06999999</v>
          </cell>
          <cell r="L98">
            <v>8982572.2599999998</v>
          </cell>
          <cell r="M98" t="str">
            <v>300000</v>
          </cell>
        </row>
        <row r="99">
          <cell r="A99" t="str">
            <v>14030400</v>
          </cell>
          <cell r="B99" t="str">
            <v>19/01/01..19/12/31</v>
          </cell>
          <cell r="C99" t="str">
            <v>Raw Material_Packing</v>
          </cell>
          <cell r="D99" t="str">
            <v>原材料-包装物</v>
          </cell>
          <cell r="E99" t="str">
            <v>Balance Sheet</v>
          </cell>
          <cell r="F99" t="str">
            <v>Posting</v>
          </cell>
          <cell r="G99" t="str">
            <v>No</v>
          </cell>
          <cell r="H99" t="str">
            <v/>
          </cell>
          <cell r="I99" t="str">
            <v/>
          </cell>
          <cell r="J99">
            <v>747213.73</v>
          </cell>
          <cell r="K99">
            <v>747213.73</v>
          </cell>
          <cell r="L99" t="str">
            <v/>
          </cell>
          <cell r="M99" t="str">
            <v>300000</v>
          </cell>
        </row>
        <row r="100">
          <cell r="A100" t="str">
            <v>14030500</v>
          </cell>
          <cell r="B100" t="str">
            <v>19/01/01..19/12/31</v>
          </cell>
          <cell r="C100" t="str">
            <v>Raw Material_Spare Parts</v>
          </cell>
          <cell r="D100" t="str">
            <v>原材料-备品备件</v>
          </cell>
          <cell r="E100" t="str">
            <v>Balance Sheet</v>
          </cell>
          <cell r="F100" t="str">
            <v>Posting</v>
          </cell>
          <cell r="G100" t="str">
            <v>No</v>
          </cell>
          <cell r="H100" t="str">
            <v/>
          </cell>
          <cell r="I100" t="str">
            <v/>
          </cell>
          <cell r="J100" t="str">
            <v/>
          </cell>
          <cell r="K100" t="str">
            <v/>
          </cell>
          <cell r="L100" t="str">
            <v/>
          </cell>
          <cell r="M100" t="str">
            <v>370000</v>
          </cell>
        </row>
        <row r="101">
          <cell r="A101" t="str">
            <v>14030600</v>
          </cell>
          <cell r="B101" t="str">
            <v>19/01/01..19/12/31</v>
          </cell>
          <cell r="C101" t="str">
            <v>Raw Material_Others</v>
          </cell>
          <cell r="D101" t="str">
            <v>原材料-其他</v>
          </cell>
          <cell r="E101" t="str">
            <v>Balance Sheet</v>
          </cell>
          <cell r="F101" t="str">
            <v>Posting</v>
          </cell>
          <cell r="G101" t="str">
            <v>Yes</v>
          </cell>
          <cell r="H101" t="str">
            <v/>
          </cell>
          <cell r="I101">
            <v>8650039.1400000006</v>
          </cell>
          <cell r="J101">
            <v>153764036.61000001</v>
          </cell>
          <cell r="K101">
            <v>145113997.47</v>
          </cell>
          <cell r="L101">
            <v>19051921.18</v>
          </cell>
          <cell r="M101" t="str">
            <v>300000</v>
          </cell>
        </row>
        <row r="102">
          <cell r="A102" t="str">
            <v>14030700</v>
          </cell>
          <cell r="B102" t="str">
            <v>19/01/01..19/12/31</v>
          </cell>
          <cell r="C102" t="str">
            <v>RM_Price Variance_Copper</v>
          </cell>
          <cell r="D102" t="str">
            <v>原材料价格差异-铜</v>
          </cell>
          <cell r="E102" t="str">
            <v>Balance Sheet</v>
          </cell>
          <cell r="F102" t="str">
            <v>Posting</v>
          </cell>
          <cell r="G102" t="str">
            <v>Yes</v>
          </cell>
          <cell r="H102" t="str">
            <v/>
          </cell>
          <cell r="I102">
            <v>-1473131.85</v>
          </cell>
          <cell r="J102">
            <v>134571078.88</v>
          </cell>
          <cell r="K102">
            <v>136044210.72999999</v>
          </cell>
          <cell r="L102">
            <v>13328441.859999999</v>
          </cell>
          <cell r="M102" t="str">
            <v>300000</v>
          </cell>
        </row>
        <row r="103">
          <cell r="A103" t="str">
            <v>14030800</v>
          </cell>
          <cell r="B103" t="str">
            <v>19/01/01..19/12/31</v>
          </cell>
          <cell r="C103" t="str">
            <v>RM_Price Variance_Aluminum</v>
          </cell>
          <cell r="D103" t="str">
            <v>原材料价格差异-铝</v>
          </cell>
          <cell r="E103" t="str">
            <v>Balance Sheet</v>
          </cell>
          <cell r="F103" t="str">
            <v>Posting</v>
          </cell>
          <cell r="G103" t="str">
            <v>Yes</v>
          </cell>
          <cell r="H103" t="str">
            <v/>
          </cell>
          <cell r="I103" t="str">
            <v/>
          </cell>
          <cell r="J103" t="str">
            <v/>
          </cell>
          <cell r="K103" t="str">
            <v/>
          </cell>
          <cell r="L103" t="str">
            <v/>
          </cell>
          <cell r="M103" t="str">
            <v>300000</v>
          </cell>
        </row>
        <row r="104">
          <cell r="A104" t="str">
            <v>14039999</v>
          </cell>
          <cell r="B104" t="str">
            <v>19/01/01..19/12/31</v>
          </cell>
          <cell r="C104" t="str">
            <v>Raw Material_Total</v>
          </cell>
          <cell r="D104" t="str">
            <v>原材料-合计</v>
          </cell>
          <cell r="E104" t="str">
            <v>Balance Sheet</v>
          </cell>
          <cell r="F104" t="str">
            <v>End-Total</v>
          </cell>
          <cell r="G104" t="str">
            <v>No</v>
          </cell>
          <cell r="H104" t="str">
            <v>14030000..14039999|14020100</v>
          </cell>
          <cell r="I104">
            <v>11774354.83</v>
          </cell>
          <cell r="J104">
            <v>1193418631.72</v>
          </cell>
          <cell r="K104">
            <v>1181644276.8900001</v>
          </cell>
          <cell r="L104">
            <v>53347696.189999998</v>
          </cell>
          <cell r="M104" t="str">
            <v/>
          </cell>
        </row>
        <row r="105">
          <cell r="A105" t="str">
            <v>14040000</v>
          </cell>
          <cell r="B105" t="str">
            <v>19/01/01..19/12/31</v>
          </cell>
          <cell r="C105" t="str">
            <v>Raw Material PPV</v>
          </cell>
          <cell r="D105" t="str">
            <v>材料成本差异</v>
          </cell>
          <cell r="E105" t="str">
            <v>Balance Sheet</v>
          </cell>
          <cell r="F105" t="str">
            <v>Begin-Total</v>
          </cell>
          <cell r="G105" t="str">
            <v>No</v>
          </cell>
          <cell r="H105" t="str">
            <v/>
          </cell>
          <cell r="I105" t="str">
            <v/>
          </cell>
          <cell r="J105" t="str">
            <v/>
          </cell>
          <cell r="K105" t="str">
            <v/>
          </cell>
          <cell r="L105" t="str">
            <v/>
          </cell>
          <cell r="M105" t="str">
            <v/>
          </cell>
        </row>
        <row r="106">
          <cell r="A106" t="str">
            <v>14040100</v>
          </cell>
          <cell r="B106" t="str">
            <v>19/01/01..19/12/31</v>
          </cell>
          <cell r="C106" t="str">
            <v>PPV_Copper</v>
          </cell>
          <cell r="D106" t="str">
            <v>材料成本差异-铜</v>
          </cell>
          <cell r="E106" t="str">
            <v>Balance Sheet</v>
          </cell>
          <cell r="F106" t="str">
            <v>Posting</v>
          </cell>
          <cell r="G106" t="str">
            <v>Yes</v>
          </cell>
          <cell r="H106" t="str">
            <v/>
          </cell>
          <cell r="I106" t="str">
            <v/>
          </cell>
          <cell r="J106">
            <v>555366283.38999999</v>
          </cell>
          <cell r="K106">
            <v>555366283.38999999</v>
          </cell>
          <cell r="L106" t="str">
            <v/>
          </cell>
          <cell r="M106" t="str">
            <v>300000</v>
          </cell>
        </row>
        <row r="107">
          <cell r="A107" t="str">
            <v>14040200</v>
          </cell>
          <cell r="B107" t="str">
            <v>19/01/01..19/12/31</v>
          </cell>
          <cell r="C107" t="str">
            <v>PPV_Alum</v>
          </cell>
          <cell r="D107" t="str">
            <v>材料成本差异-铝</v>
          </cell>
          <cell r="E107" t="str">
            <v>Balance Sheet</v>
          </cell>
          <cell r="F107" t="str">
            <v>Posting</v>
          </cell>
          <cell r="G107" t="str">
            <v>No</v>
          </cell>
          <cell r="H107" t="str">
            <v/>
          </cell>
          <cell r="I107" t="str">
            <v/>
          </cell>
          <cell r="J107" t="str">
            <v/>
          </cell>
          <cell r="K107" t="str">
            <v/>
          </cell>
          <cell r="L107" t="str">
            <v/>
          </cell>
          <cell r="M107" t="str">
            <v>300000</v>
          </cell>
        </row>
        <row r="108">
          <cell r="A108" t="str">
            <v>14040900</v>
          </cell>
          <cell r="B108" t="str">
            <v>19/01/01..19/12/31</v>
          </cell>
          <cell r="C108" t="str">
            <v>PPV_Other Material</v>
          </cell>
          <cell r="D108" t="str">
            <v>材料成本差异-其它</v>
          </cell>
          <cell r="E108" t="str">
            <v>Balance Sheet</v>
          </cell>
          <cell r="F108" t="str">
            <v>Posting</v>
          </cell>
          <cell r="G108" t="str">
            <v>Yes</v>
          </cell>
          <cell r="H108" t="str">
            <v/>
          </cell>
          <cell r="I108" t="str">
            <v/>
          </cell>
          <cell r="J108" t="str">
            <v/>
          </cell>
          <cell r="K108" t="str">
            <v/>
          </cell>
          <cell r="L108" t="str">
            <v/>
          </cell>
          <cell r="M108" t="str">
            <v>300000</v>
          </cell>
        </row>
        <row r="109">
          <cell r="A109" t="str">
            <v>14049999</v>
          </cell>
          <cell r="B109" t="str">
            <v>19/01/01..19/12/31</v>
          </cell>
          <cell r="C109" t="str">
            <v>Raw Material PPV_Total</v>
          </cell>
          <cell r="D109" t="str">
            <v>材料成本差异-合计</v>
          </cell>
          <cell r="E109" t="str">
            <v>Balance Sheet</v>
          </cell>
          <cell r="F109" t="str">
            <v>End-Total</v>
          </cell>
          <cell r="G109" t="str">
            <v>No</v>
          </cell>
          <cell r="H109" t="str">
            <v>14040000..14049999</v>
          </cell>
          <cell r="I109" t="str">
            <v/>
          </cell>
          <cell r="J109">
            <v>555366283.38999999</v>
          </cell>
          <cell r="K109">
            <v>555366283.38999999</v>
          </cell>
          <cell r="L109" t="str">
            <v/>
          </cell>
          <cell r="M109" t="str">
            <v/>
          </cell>
        </row>
        <row r="110">
          <cell r="A110" t="str">
            <v>14050000</v>
          </cell>
          <cell r="B110" t="str">
            <v>19/01/01..19/12/31</v>
          </cell>
          <cell r="C110" t="str">
            <v>Finished Goods</v>
          </cell>
          <cell r="D110" t="str">
            <v>库存商品</v>
          </cell>
          <cell r="E110" t="str">
            <v>Balance Sheet</v>
          </cell>
          <cell r="F110" t="str">
            <v>Begin-Total</v>
          </cell>
          <cell r="G110" t="str">
            <v>No</v>
          </cell>
          <cell r="H110" t="str">
            <v/>
          </cell>
          <cell r="I110" t="str">
            <v/>
          </cell>
          <cell r="J110" t="str">
            <v/>
          </cell>
          <cell r="K110" t="str">
            <v/>
          </cell>
          <cell r="L110" t="str">
            <v/>
          </cell>
          <cell r="M110" t="str">
            <v/>
          </cell>
        </row>
        <row r="111">
          <cell r="A111" t="str">
            <v>14050100</v>
          </cell>
          <cell r="B111" t="str">
            <v>19/01/01..19/12/31</v>
          </cell>
          <cell r="C111" t="str">
            <v>FG_Manufactured</v>
          </cell>
          <cell r="D111" t="str">
            <v>自制产成品</v>
          </cell>
          <cell r="E111" t="str">
            <v>Balance Sheet</v>
          </cell>
          <cell r="F111" t="str">
            <v>Begin-Total</v>
          </cell>
          <cell r="G111" t="str">
            <v>No</v>
          </cell>
          <cell r="H111" t="str">
            <v/>
          </cell>
          <cell r="I111" t="str">
            <v/>
          </cell>
          <cell r="J111" t="str">
            <v/>
          </cell>
          <cell r="K111" t="str">
            <v/>
          </cell>
          <cell r="L111" t="str">
            <v/>
          </cell>
          <cell r="M111" t="str">
            <v/>
          </cell>
        </row>
        <row r="112">
          <cell r="A112" t="str">
            <v>14050101</v>
          </cell>
          <cell r="B112" t="str">
            <v>19/01/01..19/12/31</v>
          </cell>
          <cell r="C112" t="str">
            <v>FG_Manuf._inner wareshouse</v>
          </cell>
          <cell r="D112" t="str">
            <v>自制产成品-内部仓库</v>
          </cell>
          <cell r="E112" t="str">
            <v>Balance Sheet</v>
          </cell>
          <cell r="F112" t="str">
            <v>Posting</v>
          </cell>
          <cell r="G112" t="str">
            <v>Yes</v>
          </cell>
          <cell r="H112" t="str">
            <v/>
          </cell>
          <cell r="I112">
            <v>4620211.95</v>
          </cell>
          <cell r="J112">
            <v>1092083040.51</v>
          </cell>
          <cell r="K112">
            <v>1087462828.5599999</v>
          </cell>
          <cell r="L112">
            <v>25859343.460000001</v>
          </cell>
          <cell r="M112" t="str">
            <v>350000</v>
          </cell>
        </row>
        <row r="113">
          <cell r="A113" t="str">
            <v>14050102</v>
          </cell>
          <cell r="B113" t="str">
            <v>19/01/01..19/12/31</v>
          </cell>
          <cell r="C113" t="str">
            <v>FG_Manuf._outer wareshouse</v>
          </cell>
          <cell r="D113" t="str">
            <v>自制产成品-外部仓库</v>
          </cell>
          <cell r="E113" t="str">
            <v>Balance Sheet</v>
          </cell>
          <cell r="F113" t="str">
            <v>Posting</v>
          </cell>
          <cell r="G113" t="str">
            <v>Yes</v>
          </cell>
          <cell r="H113" t="str">
            <v/>
          </cell>
          <cell r="I113" t="str">
            <v/>
          </cell>
          <cell r="J113" t="str">
            <v/>
          </cell>
          <cell r="K113" t="str">
            <v/>
          </cell>
          <cell r="L113" t="str">
            <v/>
          </cell>
          <cell r="M113" t="str">
            <v>350000</v>
          </cell>
        </row>
        <row r="114">
          <cell r="A114" t="str">
            <v>14050103</v>
          </cell>
          <cell r="B114" t="str">
            <v>19/01/01..19/12/31</v>
          </cell>
          <cell r="C114" t="str">
            <v>FG_Manuf._accessory auxiliary meterial</v>
          </cell>
          <cell r="D114" t="str">
            <v>自制产成品-辅料</v>
          </cell>
          <cell r="E114" t="str">
            <v>Balance Sheet</v>
          </cell>
          <cell r="F114" t="str">
            <v>Posting</v>
          </cell>
          <cell r="G114" t="str">
            <v>Yes</v>
          </cell>
          <cell r="H114" t="str">
            <v/>
          </cell>
          <cell r="I114">
            <v>251134.44</v>
          </cell>
          <cell r="J114">
            <v>5445558.9800000004</v>
          </cell>
          <cell r="K114">
            <v>5194424.54</v>
          </cell>
          <cell r="L114">
            <v>2207812.6800000002</v>
          </cell>
          <cell r="M114" t="str">
            <v>350000</v>
          </cell>
        </row>
        <row r="115">
          <cell r="A115" t="str">
            <v>14050104</v>
          </cell>
          <cell r="B115" t="str">
            <v>19/01/01..19/12/31</v>
          </cell>
          <cell r="C115" t="str">
            <v xml:space="preserve"> FG_Manuf._Expense Amortization</v>
          </cell>
          <cell r="D115" t="str">
            <v>自制产成品-费用分摊</v>
          </cell>
          <cell r="E115" t="str">
            <v>Balance Sheet</v>
          </cell>
          <cell r="F115" t="str">
            <v>Posting</v>
          </cell>
          <cell r="G115" t="str">
            <v>Yes</v>
          </cell>
          <cell r="H115" t="str">
            <v/>
          </cell>
          <cell r="I115">
            <v>1205450.6000000001</v>
          </cell>
          <cell r="J115">
            <v>4165524.9</v>
          </cell>
          <cell r="K115">
            <v>2960074.3</v>
          </cell>
          <cell r="L115">
            <v>9057184.3699999992</v>
          </cell>
          <cell r="M115" t="str">
            <v>350000</v>
          </cell>
        </row>
        <row r="116">
          <cell r="A116" t="str">
            <v>14050199</v>
          </cell>
          <cell r="B116" t="str">
            <v>19/01/01..19/12/31</v>
          </cell>
          <cell r="C116" t="str">
            <v>FG_Manufactured_Total</v>
          </cell>
          <cell r="D116" t="str">
            <v>自制产成品-合计</v>
          </cell>
          <cell r="E116" t="str">
            <v>Balance Sheet</v>
          </cell>
          <cell r="F116" t="str">
            <v>End-Total</v>
          </cell>
          <cell r="G116" t="str">
            <v>No</v>
          </cell>
          <cell r="H116" t="str">
            <v>14050100..14050199</v>
          </cell>
          <cell r="I116">
            <v>6076796.9900000002</v>
          </cell>
          <cell r="J116">
            <v>1101694124.3900001</v>
          </cell>
          <cell r="K116">
            <v>1095617327.4000001</v>
          </cell>
          <cell r="L116">
            <v>37124340.509999998</v>
          </cell>
          <cell r="M116" t="str">
            <v/>
          </cell>
        </row>
        <row r="117">
          <cell r="A117" t="str">
            <v>14050200</v>
          </cell>
          <cell r="B117" t="str">
            <v>19/01/01..19/12/31</v>
          </cell>
          <cell r="C117" t="str">
            <v>FG_cost variance allocation</v>
          </cell>
          <cell r="D117" t="str">
            <v>成品差异分配</v>
          </cell>
          <cell r="E117" t="str">
            <v>Balance Sheet</v>
          </cell>
          <cell r="F117" t="str">
            <v>Begin-Total</v>
          </cell>
          <cell r="G117" t="str">
            <v>No</v>
          </cell>
          <cell r="H117" t="str">
            <v/>
          </cell>
          <cell r="I117" t="str">
            <v/>
          </cell>
          <cell r="J117" t="str">
            <v/>
          </cell>
          <cell r="K117" t="str">
            <v/>
          </cell>
          <cell r="L117" t="str">
            <v/>
          </cell>
          <cell r="M117" t="str">
            <v/>
          </cell>
        </row>
        <row r="118">
          <cell r="A118" t="str">
            <v>14050201</v>
          </cell>
          <cell r="B118" t="str">
            <v>19/01/01..19/12/31</v>
          </cell>
          <cell r="C118" t="str">
            <v>FG_cost variance allocation</v>
          </cell>
          <cell r="D118" t="str">
            <v>成品差异分配</v>
          </cell>
          <cell r="E118" t="str">
            <v>Balance Sheet</v>
          </cell>
          <cell r="F118" t="str">
            <v>Posting</v>
          </cell>
          <cell r="G118" t="str">
            <v>Yes</v>
          </cell>
          <cell r="H118" t="str">
            <v/>
          </cell>
          <cell r="I118" t="str">
            <v/>
          </cell>
          <cell r="J118" t="str">
            <v/>
          </cell>
          <cell r="K118" t="str">
            <v/>
          </cell>
          <cell r="L118" t="str">
            <v/>
          </cell>
          <cell r="M118" t="str">
            <v>350000</v>
          </cell>
        </row>
        <row r="119">
          <cell r="A119" t="str">
            <v>14050299</v>
          </cell>
          <cell r="B119" t="str">
            <v>19/01/01..19/12/31</v>
          </cell>
          <cell r="C119" t="str">
            <v>FG_cost vari. allocation_Total</v>
          </cell>
          <cell r="D119" t="str">
            <v>成品差异分配-合计</v>
          </cell>
          <cell r="E119" t="str">
            <v>Balance Sheet</v>
          </cell>
          <cell r="F119" t="str">
            <v>End-Total</v>
          </cell>
          <cell r="G119" t="str">
            <v>No</v>
          </cell>
          <cell r="H119" t="str">
            <v>14050200..14050299</v>
          </cell>
          <cell r="I119" t="str">
            <v/>
          </cell>
          <cell r="J119" t="str">
            <v/>
          </cell>
          <cell r="K119" t="str">
            <v/>
          </cell>
          <cell r="L119" t="str">
            <v/>
          </cell>
          <cell r="M119" t="str">
            <v/>
          </cell>
        </row>
        <row r="120">
          <cell r="A120" t="str">
            <v>14050300</v>
          </cell>
          <cell r="B120" t="str">
            <v>19/01/01..19/12/31</v>
          </cell>
          <cell r="C120" t="str">
            <v>FG_Trading</v>
          </cell>
          <cell r="D120" t="str">
            <v>贸易产成品</v>
          </cell>
          <cell r="E120" t="str">
            <v>Balance Sheet</v>
          </cell>
          <cell r="F120" t="str">
            <v>Begin-Total</v>
          </cell>
          <cell r="G120" t="str">
            <v>No</v>
          </cell>
          <cell r="H120" t="str">
            <v/>
          </cell>
          <cell r="I120" t="str">
            <v/>
          </cell>
          <cell r="J120" t="str">
            <v/>
          </cell>
          <cell r="K120" t="str">
            <v/>
          </cell>
          <cell r="L120" t="str">
            <v/>
          </cell>
          <cell r="M120" t="str">
            <v/>
          </cell>
        </row>
        <row r="121">
          <cell r="A121" t="str">
            <v>14050301</v>
          </cell>
          <cell r="B121" t="str">
            <v>19/01/01..19/12/31</v>
          </cell>
          <cell r="C121" t="str">
            <v>FG_Trading_inner wareshouse</v>
          </cell>
          <cell r="D121" t="str">
            <v>贸易产成品-内部仓库</v>
          </cell>
          <cell r="E121" t="str">
            <v>Balance Sheet</v>
          </cell>
          <cell r="F121" t="str">
            <v>Posting</v>
          </cell>
          <cell r="G121" t="str">
            <v>Yes</v>
          </cell>
          <cell r="H121" t="str">
            <v/>
          </cell>
          <cell r="I121">
            <v>25632316.260000002</v>
          </cell>
          <cell r="J121">
            <v>832106867.38999999</v>
          </cell>
          <cell r="K121">
            <v>806474551.13</v>
          </cell>
          <cell r="L121">
            <v>35973445.259999998</v>
          </cell>
          <cell r="M121" t="str">
            <v>350000</v>
          </cell>
        </row>
        <row r="122">
          <cell r="A122" t="str">
            <v>14050302</v>
          </cell>
          <cell r="B122" t="str">
            <v>19/01/01..19/12/31</v>
          </cell>
          <cell r="C122" t="str">
            <v>FG_Trading_outer wareshouse</v>
          </cell>
          <cell r="D122" t="str">
            <v>贸易产成品-外部仓库</v>
          </cell>
          <cell r="E122" t="str">
            <v>Balance Sheet</v>
          </cell>
          <cell r="F122" t="str">
            <v>Posting</v>
          </cell>
          <cell r="G122" t="str">
            <v>Yes</v>
          </cell>
          <cell r="H122" t="str">
            <v/>
          </cell>
          <cell r="I122">
            <v>-136367.48000000001</v>
          </cell>
          <cell r="J122">
            <v>530508.74</v>
          </cell>
          <cell r="K122">
            <v>666876.22</v>
          </cell>
          <cell r="L122">
            <v>122921.31</v>
          </cell>
          <cell r="M122" t="str">
            <v>350000</v>
          </cell>
        </row>
        <row r="123">
          <cell r="A123" t="str">
            <v>14050399</v>
          </cell>
          <cell r="B123" t="str">
            <v>19/01/01..19/12/31</v>
          </cell>
          <cell r="C123" t="str">
            <v>FG_Trading_Total</v>
          </cell>
          <cell r="D123" t="str">
            <v>贸易产成品-合计</v>
          </cell>
          <cell r="E123" t="str">
            <v>Balance Sheet</v>
          </cell>
          <cell r="F123" t="str">
            <v>End-Total</v>
          </cell>
          <cell r="G123" t="str">
            <v>No</v>
          </cell>
          <cell r="H123" t="str">
            <v>14050300..14050399</v>
          </cell>
          <cell r="I123">
            <v>25495948.780000001</v>
          </cell>
          <cell r="J123">
            <v>832637376.13</v>
          </cell>
          <cell r="K123">
            <v>807141427.35000002</v>
          </cell>
          <cell r="L123">
            <v>36096366.57</v>
          </cell>
          <cell r="M123" t="str">
            <v/>
          </cell>
        </row>
        <row r="124">
          <cell r="A124" t="str">
            <v>14050400</v>
          </cell>
          <cell r="B124" t="str">
            <v>19/01/01..19/12/31</v>
          </cell>
          <cell r="C124" t="str">
            <v>FG_Manufactured_PPV</v>
          </cell>
          <cell r="D124" t="str">
            <v>自制产成品价格差异</v>
          </cell>
          <cell r="E124" t="str">
            <v>Balance Sheet</v>
          </cell>
          <cell r="F124" t="str">
            <v>Begin-Total</v>
          </cell>
          <cell r="G124" t="str">
            <v>No</v>
          </cell>
          <cell r="H124" t="str">
            <v/>
          </cell>
          <cell r="I124" t="str">
            <v/>
          </cell>
          <cell r="J124" t="str">
            <v/>
          </cell>
          <cell r="K124" t="str">
            <v/>
          </cell>
          <cell r="L124" t="str">
            <v/>
          </cell>
          <cell r="M124" t="str">
            <v/>
          </cell>
        </row>
        <row r="125">
          <cell r="A125" t="str">
            <v>14050401</v>
          </cell>
          <cell r="B125" t="str">
            <v>19/01/01..19/12/31</v>
          </cell>
          <cell r="C125" t="str">
            <v>FG_Manuf._PPV_Copper</v>
          </cell>
          <cell r="D125" t="str">
            <v>产成品价格差异-铜</v>
          </cell>
          <cell r="E125" t="str">
            <v>Balance Sheet</v>
          </cell>
          <cell r="F125" t="str">
            <v>Posting</v>
          </cell>
          <cell r="G125" t="str">
            <v>Yes</v>
          </cell>
          <cell r="H125" t="str">
            <v/>
          </cell>
          <cell r="I125">
            <v>33730.730000000003</v>
          </cell>
          <cell r="J125">
            <v>137835689.34</v>
          </cell>
          <cell r="K125">
            <v>137801958.61000001</v>
          </cell>
          <cell r="L125">
            <v>11249681.43</v>
          </cell>
          <cell r="M125" t="str">
            <v>350000</v>
          </cell>
        </row>
        <row r="126">
          <cell r="A126" t="str">
            <v>14050402</v>
          </cell>
          <cell r="B126" t="str">
            <v>19/01/01..19/12/31</v>
          </cell>
          <cell r="C126" t="str">
            <v>FG_Manuf._PPV_Aluminum</v>
          </cell>
          <cell r="D126" t="str">
            <v>产成品价格差异-铝</v>
          </cell>
          <cell r="E126" t="str">
            <v>Balance Sheet</v>
          </cell>
          <cell r="F126" t="str">
            <v>Posting</v>
          </cell>
          <cell r="G126" t="str">
            <v>No</v>
          </cell>
          <cell r="H126" t="str">
            <v/>
          </cell>
          <cell r="I126" t="str">
            <v/>
          </cell>
          <cell r="J126" t="str">
            <v/>
          </cell>
          <cell r="K126" t="str">
            <v/>
          </cell>
          <cell r="L126" t="str">
            <v/>
          </cell>
          <cell r="M126" t="str">
            <v>350000</v>
          </cell>
        </row>
        <row r="127">
          <cell r="A127" t="str">
            <v>14050403</v>
          </cell>
          <cell r="B127" t="str">
            <v>19/01/01..19/12/31</v>
          </cell>
          <cell r="C127" t="str">
            <v>FG_Manuf._PPV_Other material</v>
          </cell>
          <cell r="D127" t="str">
            <v>产成品价格差异-其他材料</v>
          </cell>
          <cell r="E127" t="str">
            <v>Balance Sheet</v>
          </cell>
          <cell r="F127" t="str">
            <v>Posting</v>
          </cell>
          <cell r="G127" t="str">
            <v>No</v>
          </cell>
          <cell r="H127" t="str">
            <v/>
          </cell>
          <cell r="I127" t="str">
            <v/>
          </cell>
          <cell r="J127" t="str">
            <v/>
          </cell>
          <cell r="K127" t="str">
            <v/>
          </cell>
          <cell r="L127" t="str">
            <v/>
          </cell>
          <cell r="M127" t="str">
            <v>350000</v>
          </cell>
        </row>
        <row r="128">
          <cell r="A128" t="str">
            <v>14050404</v>
          </cell>
          <cell r="B128" t="str">
            <v>19/01/01..19/12/31</v>
          </cell>
          <cell r="C128" t="str">
            <v>FG_Manuf._PPV_Utility</v>
          </cell>
          <cell r="D128" t="str">
            <v>产成品价格差异-水电</v>
          </cell>
          <cell r="E128" t="str">
            <v>Balance Sheet</v>
          </cell>
          <cell r="F128" t="str">
            <v>Posting</v>
          </cell>
          <cell r="G128" t="str">
            <v>No</v>
          </cell>
          <cell r="H128" t="str">
            <v/>
          </cell>
          <cell r="I128" t="str">
            <v/>
          </cell>
          <cell r="J128" t="str">
            <v/>
          </cell>
          <cell r="K128" t="str">
            <v/>
          </cell>
          <cell r="L128" t="str">
            <v/>
          </cell>
          <cell r="M128" t="str">
            <v>350000</v>
          </cell>
        </row>
        <row r="129">
          <cell r="A129" t="str">
            <v>14050405</v>
          </cell>
          <cell r="B129" t="str">
            <v>19/01/01..19/12/31</v>
          </cell>
          <cell r="C129" t="str">
            <v>FG_Manuf._PPV_Labor</v>
          </cell>
          <cell r="D129" t="str">
            <v>产成品价格差异-人工</v>
          </cell>
          <cell r="E129" t="str">
            <v>Balance Sheet</v>
          </cell>
          <cell r="F129" t="str">
            <v>Posting</v>
          </cell>
          <cell r="G129" t="str">
            <v>No</v>
          </cell>
          <cell r="H129" t="str">
            <v/>
          </cell>
          <cell r="I129" t="str">
            <v/>
          </cell>
          <cell r="J129" t="str">
            <v/>
          </cell>
          <cell r="K129" t="str">
            <v/>
          </cell>
          <cell r="L129" t="str">
            <v/>
          </cell>
          <cell r="M129" t="str">
            <v>350000</v>
          </cell>
        </row>
        <row r="130">
          <cell r="A130" t="str">
            <v>14050406</v>
          </cell>
          <cell r="B130" t="str">
            <v>19/01/01..19/12/31</v>
          </cell>
          <cell r="C130" t="str">
            <v>FG_Manuf._PPV_IPC</v>
          </cell>
          <cell r="D130" t="str">
            <v>产成品价格差异-间接生产成本</v>
          </cell>
          <cell r="E130" t="str">
            <v>Balance Sheet</v>
          </cell>
          <cell r="F130" t="str">
            <v>Posting</v>
          </cell>
          <cell r="G130" t="str">
            <v>Yes</v>
          </cell>
          <cell r="H130" t="str">
            <v/>
          </cell>
          <cell r="I130" t="str">
            <v/>
          </cell>
          <cell r="J130" t="str">
            <v/>
          </cell>
          <cell r="K130" t="str">
            <v/>
          </cell>
          <cell r="L130" t="str">
            <v/>
          </cell>
          <cell r="M130" t="str">
            <v>350000</v>
          </cell>
        </row>
        <row r="131">
          <cell r="A131" t="str">
            <v>14050407</v>
          </cell>
          <cell r="B131" t="str">
            <v>19/01/01..19/12/31</v>
          </cell>
          <cell r="C131" t="str">
            <v>FG_Manuf._PPV_Depreciation</v>
          </cell>
          <cell r="D131" t="str">
            <v>产成品价格差异-折旧</v>
          </cell>
          <cell r="E131" t="str">
            <v>Balance Sheet</v>
          </cell>
          <cell r="F131" t="str">
            <v>Posting</v>
          </cell>
          <cell r="G131" t="str">
            <v>Yes</v>
          </cell>
          <cell r="H131" t="str">
            <v/>
          </cell>
          <cell r="I131" t="str">
            <v/>
          </cell>
          <cell r="J131" t="str">
            <v/>
          </cell>
          <cell r="K131" t="str">
            <v/>
          </cell>
          <cell r="L131" t="str">
            <v/>
          </cell>
          <cell r="M131" t="str">
            <v>350000</v>
          </cell>
        </row>
        <row r="132">
          <cell r="A132" t="str">
            <v>14050499</v>
          </cell>
          <cell r="B132" t="str">
            <v>19/01/01..19/12/31</v>
          </cell>
          <cell r="C132" t="str">
            <v>FG_Manuf._PPV_Total</v>
          </cell>
          <cell r="D132" t="str">
            <v>自制产成品价格差异-合计</v>
          </cell>
          <cell r="E132" t="str">
            <v>Balance Sheet</v>
          </cell>
          <cell r="F132" t="str">
            <v>End-Total</v>
          </cell>
          <cell r="G132" t="str">
            <v>No</v>
          </cell>
          <cell r="H132" t="str">
            <v>14050400..14050499</v>
          </cell>
          <cell r="I132">
            <v>33730.730000000003</v>
          </cell>
          <cell r="J132">
            <v>137835689.34</v>
          </cell>
          <cell r="K132">
            <v>137801958.61000001</v>
          </cell>
          <cell r="L132">
            <v>11249681.43</v>
          </cell>
          <cell r="M132" t="str">
            <v/>
          </cell>
        </row>
        <row r="133">
          <cell r="A133" t="str">
            <v>14050500</v>
          </cell>
          <cell r="B133" t="str">
            <v>19/01/01..19/12/31</v>
          </cell>
          <cell r="C133" t="str">
            <v>FG_Manufactured_MV</v>
          </cell>
          <cell r="D133" t="str">
            <v>自制产成品耗量差异</v>
          </cell>
          <cell r="E133" t="str">
            <v>Balance Sheet</v>
          </cell>
          <cell r="F133" t="str">
            <v>Begin-Total</v>
          </cell>
          <cell r="G133" t="str">
            <v>No</v>
          </cell>
          <cell r="H133" t="str">
            <v/>
          </cell>
          <cell r="I133" t="str">
            <v/>
          </cell>
          <cell r="J133" t="str">
            <v/>
          </cell>
          <cell r="K133" t="str">
            <v/>
          </cell>
          <cell r="L133" t="str">
            <v/>
          </cell>
          <cell r="M133" t="str">
            <v/>
          </cell>
        </row>
        <row r="134">
          <cell r="A134" t="str">
            <v>14050501</v>
          </cell>
          <cell r="B134" t="str">
            <v>19/01/01..19/12/31</v>
          </cell>
          <cell r="C134" t="str">
            <v>FG_Manuf._MV_Copper</v>
          </cell>
          <cell r="D134" t="str">
            <v>产成品耗量差异-铜</v>
          </cell>
          <cell r="E134" t="str">
            <v>Balance Sheet</v>
          </cell>
          <cell r="F134" t="str">
            <v>Posting</v>
          </cell>
          <cell r="G134" t="str">
            <v>No</v>
          </cell>
          <cell r="H134" t="str">
            <v/>
          </cell>
          <cell r="I134" t="str">
            <v/>
          </cell>
          <cell r="J134" t="str">
            <v/>
          </cell>
          <cell r="K134" t="str">
            <v/>
          </cell>
          <cell r="L134" t="str">
            <v/>
          </cell>
          <cell r="M134" t="str">
            <v>350000</v>
          </cell>
        </row>
        <row r="135">
          <cell r="A135" t="str">
            <v>14050502</v>
          </cell>
          <cell r="B135" t="str">
            <v>19/01/01..19/12/31</v>
          </cell>
          <cell r="C135" t="str">
            <v>FG_Manuf._MV_Aluminum</v>
          </cell>
          <cell r="D135" t="str">
            <v>产成品耗量差异-铝</v>
          </cell>
          <cell r="E135" t="str">
            <v>Balance Sheet</v>
          </cell>
          <cell r="F135" t="str">
            <v>Posting</v>
          </cell>
          <cell r="G135" t="str">
            <v>No</v>
          </cell>
          <cell r="H135" t="str">
            <v/>
          </cell>
          <cell r="I135" t="str">
            <v/>
          </cell>
          <cell r="J135" t="str">
            <v/>
          </cell>
          <cell r="K135" t="str">
            <v/>
          </cell>
          <cell r="L135" t="str">
            <v/>
          </cell>
          <cell r="M135" t="str">
            <v>350000</v>
          </cell>
        </row>
        <row r="136">
          <cell r="A136" t="str">
            <v>14050503</v>
          </cell>
          <cell r="B136" t="str">
            <v>19/01/01..19/12/31</v>
          </cell>
          <cell r="C136" t="str">
            <v>FG_Manuf._MV_Other material</v>
          </cell>
          <cell r="D136" t="str">
            <v>产成品耗量差异-其他材料</v>
          </cell>
          <cell r="E136" t="str">
            <v>Balance Sheet</v>
          </cell>
          <cell r="F136" t="str">
            <v>Posting</v>
          </cell>
          <cell r="G136" t="str">
            <v>Yes</v>
          </cell>
          <cell r="H136" t="str">
            <v/>
          </cell>
          <cell r="I136" t="str">
            <v/>
          </cell>
          <cell r="J136" t="str">
            <v/>
          </cell>
          <cell r="K136" t="str">
            <v/>
          </cell>
          <cell r="L136" t="str">
            <v/>
          </cell>
          <cell r="M136" t="str">
            <v>350000</v>
          </cell>
        </row>
        <row r="137">
          <cell r="A137" t="str">
            <v>14050504</v>
          </cell>
          <cell r="B137" t="str">
            <v>19/01/01..19/12/31</v>
          </cell>
          <cell r="C137" t="str">
            <v>FG_Manuf._MV_Utility</v>
          </cell>
          <cell r="D137" t="str">
            <v>产成品耗量差异-水电</v>
          </cell>
          <cell r="E137" t="str">
            <v>Balance Sheet</v>
          </cell>
          <cell r="F137" t="str">
            <v>Posting</v>
          </cell>
          <cell r="G137" t="str">
            <v>No</v>
          </cell>
          <cell r="H137" t="str">
            <v/>
          </cell>
          <cell r="I137" t="str">
            <v/>
          </cell>
          <cell r="J137" t="str">
            <v/>
          </cell>
          <cell r="K137" t="str">
            <v/>
          </cell>
          <cell r="L137" t="str">
            <v/>
          </cell>
          <cell r="M137" t="str">
            <v>350000</v>
          </cell>
        </row>
        <row r="138">
          <cell r="A138" t="str">
            <v>14050505</v>
          </cell>
          <cell r="B138" t="str">
            <v>19/01/01..19/12/31</v>
          </cell>
          <cell r="C138" t="str">
            <v>FG_Manuf_MV_Labor</v>
          </cell>
          <cell r="D138" t="str">
            <v>产成品耗量差异-人工</v>
          </cell>
          <cell r="E138" t="str">
            <v>Balance Sheet</v>
          </cell>
          <cell r="F138" t="str">
            <v>Posting</v>
          </cell>
          <cell r="G138" t="str">
            <v>No</v>
          </cell>
          <cell r="H138" t="str">
            <v/>
          </cell>
          <cell r="I138" t="str">
            <v/>
          </cell>
          <cell r="J138" t="str">
            <v/>
          </cell>
          <cell r="K138" t="str">
            <v/>
          </cell>
          <cell r="L138" t="str">
            <v/>
          </cell>
          <cell r="M138" t="str">
            <v>350000</v>
          </cell>
        </row>
        <row r="139">
          <cell r="A139" t="str">
            <v>14050506</v>
          </cell>
          <cell r="B139" t="str">
            <v>19/01/01..19/12/31</v>
          </cell>
          <cell r="C139" t="str">
            <v>FG_Manuf._MV_IPC</v>
          </cell>
          <cell r="D139" t="str">
            <v>产成品耗量差异-间接生产成本</v>
          </cell>
          <cell r="E139" t="str">
            <v>Balance Sheet</v>
          </cell>
          <cell r="F139" t="str">
            <v>Posting</v>
          </cell>
          <cell r="G139" t="str">
            <v>Yes</v>
          </cell>
          <cell r="H139" t="str">
            <v/>
          </cell>
          <cell r="I139" t="str">
            <v/>
          </cell>
          <cell r="J139" t="str">
            <v/>
          </cell>
          <cell r="K139" t="str">
            <v/>
          </cell>
          <cell r="L139" t="str">
            <v/>
          </cell>
          <cell r="M139" t="str">
            <v>350000</v>
          </cell>
        </row>
        <row r="140">
          <cell r="A140" t="str">
            <v>14050507</v>
          </cell>
          <cell r="B140" t="str">
            <v>19/01/01..19/12/31</v>
          </cell>
          <cell r="C140" t="str">
            <v>FG_Manuf._MV_Depreciation</v>
          </cell>
          <cell r="D140" t="str">
            <v>产成品耗量差异-折旧</v>
          </cell>
          <cell r="E140" t="str">
            <v>Balance Sheet</v>
          </cell>
          <cell r="F140" t="str">
            <v>Posting</v>
          </cell>
          <cell r="G140" t="str">
            <v>Yes</v>
          </cell>
          <cell r="H140" t="str">
            <v/>
          </cell>
          <cell r="I140" t="str">
            <v/>
          </cell>
          <cell r="J140" t="str">
            <v/>
          </cell>
          <cell r="K140" t="str">
            <v/>
          </cell>
          <cell r="L140" t="str">
            <v/>
          </cell>
          <cell r="M140" t="str">
            <v>350000</v>
          </cell>
        </row>
        <row r="141">
          <cell r="A141" t="str">
            <v>14050599</v>
          </cell>
          <cell r="B141" t="str">
            <v>19/01/01..19/12/31</v>
          </cell>
          <cell r="C141" t="str">
            <v>FG_Manuf._MV_Total</v>
          </cell>
          <cell r="D141" t="str">
            <v>自制产成品耗量差异-合计</v>
          </cell>
          <cell r="E141" t="str">
            <v>Balance Sheet</v>
          </cell>
          <cell r="F141" t="str">
            <v>End-Total</v>
          </cell>
          <cell r="G141" t="str">
            <v>No</v>
          </cell>
          <cell r="H141" t="str">
            <v>14050500..14050599</v>
          </cell>
          <cell r="I141" t="str">
            <v/>
          </cell>
          <cell r="J141" t="str">
            <v/>
          </cell>
          <cell r="K141" t="str">
            <v/>
          </cell>
          <cell r="L141" t="str">
            <v/>
          </cell>
          <cell r="M141" t="str">
            <v/>
          </cell>
        </row>
        <row r="142">
          <cell r="A142" t="str">
            <v>14050600</v>
          </cell>
          <cell r="B142" t="str">
            <v>19/01/01..19/12/31</v>
          </cell>
          <cell r="C142" t="str">
            <v>FG_Merchandise on the way</v>
          </cell>
          <cell r="D142" t="str">
            <v>发出商品</v>
          </cell>
          <cell r="E142" t="str">
            <v>Balance Sheet</v>
          </cell>
          <cell r="F142" t="str">
            <v>Begin-Total</v>
          </cell>
          <cell r="G142" t="str">
            <v>No</v>
          </cell>
          <cell r="H142" t="str">
            <v/>
          </cell>
          <cell r="I142" t="str">
            <v/>
          </cell>
          <cell r="J142" t="str">
            <v/>
          </cell>
          <cell r="K142" t="str">
            <v/>
          </cell>
          <cell r="L142" t="str">
            <v/>
          </cell>
          <cell r="M142" t="str">
            <v/>
          </cell>
        </row>
        <row r="143">
          <cell r="A143" t="str">
            <v>14050601</v>
          </cell>
          <cell r="B143" t="str">
            <v>19/01/01..19/12/31</v>
          </cell>
          <cell r="C143" t="str">
            <v>FG_Merchandise on the way_STD</v>
          </cell>
          <cell r="D143" t="str">
            <v>发出商品-标准成本</v>
          </cell>
          <cell r="E143" t="str">
            <v>Balance Sheet</v>
          </cell>
          <cell r="F143" t="str">
            <v>Posting</v>
          </cell>
          <cell r="G143" t="str">
            <v>Yes</v>
          </cell>
          <cell r="H143" t="str">
            <v/>
          </cell>
          <cell r="I143">
            <v>21917051.620000001</v>
          </cell>
          <cell r="J143">
            <v>736736463.46000004</v>
          </cell>
          <cell r="K143">
            <v>714819411.84000003</v>
          </cell>
          <cell r="L143">
            <v>34770594.939999998</v>
          </cell>
          <cell r="M143" t="str">
            <v>350000</v>
          </cell>
        </row>
        <row r="144">
          <cell r="A144" t="str">
            <v>14050602</v>
          </cell>
          <cell r="B144" t="str">
            <v>19/01/01..19/12/31</v>
          </cell>
          <cell r="C144" t="str">
            <v>FG_Mercha. on way_Copper Vari.</v>
          </cell>
          <cell r="D144" t="str">
            <v>发出商品差异-铜</v>
          </cell>
          <cell r="E144" t="str">
            <v>Balance Sheet</v>
          </cell>
          <cell r="F144" t="str">
            <v>Posting</v>
          </cell>
          <cell r="G144" t="str">
            <v>Yes</v>
          </cell>
          <cell r="H144" t="str">
            <v/>
          </cell>
          <cell r="I144">
            <v>8618814.8200000003</v>
          </cell>
          <cell r="J144">
            <v>122581202.08</v>
          </cell>
          <cell r="K144">
            <v>113962387.26000001</v>
          </cell>
          <cell r="L144">
            <v>16933950.600000001</v>
          </cell>
          <cell r="M144" t="str">
            <v>350000</v>
          </cell>
        </row>
        <row r="145">
          <cell r="A145" t="str">
            <v>14050603</v>
          </cell>
          <cell r="B145" t="str">
            <v>19/01/01..19/12/31</v>
          </cell>
          <cell r="C145" t="str">
            <v>FG_Mercha. on way_Alum. Vari.</v>
          </cell>
          <cell r="D145" t="str">
            <v>发出商品差异-铝</v>
          </cell>
          <cell r="E145" t="str">
            <v>Balance Sheet</v>
          </cell>
          <cell r="F145" t="str">
            <v>Posting</v>
          </cell>
          <cell r="G145" t="str">
            <v>No</v>
          </cell>
          <cell r="H145" t="str">
            <v/>
          </cell>
          <cell r="I145" t="str">
            <v/>
          </cell>
          <cell r="J145" t="str">
            <v/>
          </cell>
          <cell r="K145" t="str">
            <v/>
          </cell>
          <cell r="L145" t="str">
            <v/>
          </cell>
          <cell r="M145" t="str">
            <v>350000</v>
          </cell>
        </row>
        <row r="146">
          <cell r="A146" t="str">
            <v>14050604</v>
          </cell>
          <cell r="B146" t="str">
            <v>19/01/01..19/12/31</v>
          </cell>
          <cell r="C146" t="str">
            <v>FG_Mercha. on way_Other Vari.</v>
          </cell>
          <cell r="D146" t="str">
            <v>发出商品差异-其他</v>
          </cell>
          <cell r="E146" t="str">
            <v>Balance Sheet</v>
          </cell>
          <cell r="F146" t="str">
            <v>Posting</v>
          </cell>
          <cell r="G146" t="str">
            <v>No</v>
          </cell>
          <cell r="H146" t="str">
            <v/>
          </cell>
          <cell r="I146" t="str">
            <v/>
          </cell>
          <cell r="J146" t="str">
            <v/>
          </cell>
          <cell r="K146" t="str">
            <v/>
          </cell>
          <cell r="L146" t="str">
            <v/>
          </cell>
          <cell r="M146" t="str">
            <v>350000</v>
          </cell>
        </row>
        <row r="147">
          <cell r="A147" t="str">
            <v>14050699</v>
          </cell>
          <cell r="B147" t="str">
            <v>19/01/01..19/12/31</v>
          </cell>
          <cell r="C147" t="str">
            <v>FG_Mercha. on way_Total</v>
          </cell>
          <cell r="D147" t="str">
            <v>发出商品-合计</v>
          </cell>
          <cell r="E147" t="str">
            <v>Balance Sheet</v>
          </cell>
          <cell r="F147" t="str">
            <v>End-Total</v>
          </cell>
          <cell r="G147" t="str">
            <v>No</v>
          </cell>
          <cell r="H147" t="str">
            <v>14050600..14050699</v>
          </cell>
          <cell r="I147">
            <v>30535866.440000001</v>
          </cell>
          <cell r="J147">
            <v>859317665.53999996</v>
          </cell>
          <cell r="K147">
            <v>828781799.10000002</v>
          </cell>
          <cell r="L147">
            <v>51704545.539999999</v>
          </cell>
          <cell r="M147" t="str">
            <v/>
          </cell>
        </row>
        <row r="148">
          <cell r="A148" t="str">
            <v>14059999</v>
          </cell>
          <cell r="B148" t="str">
            <v>19/01/01..19/12/31</v>
          </cell>
          <cell r="C148" t="str">
            <v>Finished Goods_Total</v>
          </cell>
          <cell r="D148" t="str">
            <v>库存商品-合计</v>
          </cell>
          <cell r="E148" t="str">
            <v>Balance Sheet</v>
          </cell>
          <cell r="F148" t="str">
            <v>End-Total</v>
          </cell>
          <cell r="G148" t="str">
            <v>No</v>
          </cell>
          <cell r="H148" t="str">
            <v>14050000..14059999</v>
          </cell>
          <cell r="I148">
            <v>62142342.939999998</v>
          </cell>
          <cell r="J148">
            <v>2931484855.4000001</v>
          </cell>
          <cell r="K148">
            <v>2869342512.46</v>
          </cell>
          <cell r="L148">
            <v>136174934.05000001</v>
          </cell>
          <cell r="M148" t="str">
            <v/>
          </cell>
        </row>
        <row r="149">
          <cell r="A149" t="str">
            <v>14070000</v>
          </cell>
          <cell r="B149" t="str">
            <v>19/01/01..19/12/31</v>
          </cell>
          <cell r="C149" t="str">
            <v>Work-in-progress</v>
          </cell>
          <cell r="D149" t="str">
            <v>自制半成品</v>
          </cell>
          <cell r="E149" t="str">
            <v>Balance Sheet</v>
          </cell>
          <cell r="F149" t="str">
            <v>Begin-Total</v>
          </cell>
          <cell r="G149" t="str">
            <v>No</v>
          </cell>
          <cell r="H149" t="str">
            <v/>
          </cell>
          <cell r="I149" t="str">
            <v/>
          </cell>
          <cell r="J149" t="str">
            <v/>
          </cell>
          <cell r="K149" t="str">
            <v/>
          </cell>
          <cell r="L149" t="str">
            <v/>
          </cell>
          <cell r="M149" t="str">
            <v/>
          </cell>
        </row>
        <row r="150">
          <cell r="A150" t="str">
            <v>14071000</v>
          </cell>
          <cell r="B150" t="str">
            <v>19/01/01..19/12/31</v>
          </cell>
          <cell r="C150" t="str">
            <v>Work-in-progress_STD</v>
          </cell>
          <cell r="D150" t="str">
            <v>自制半成品-标准</v>
          </cell>
          <cell r="E150" t="str">
            <v>Balance Sheet</v>
          </cell>
          <cell r="F150" t="str">
            <v>Begin-Total</v>
          </cell>
          <cell r="G150" t="str">
            <v>No</v>
          </cell>
          <cell r="H150" t="str">
            <v/>
          </cell>
          <cell r="I150" t="str">
            <v/>
          </cell>
          <cell r="J150" t="str">
            <v/>
          </cell>
          <cell r="K150" t="str">
            <v/>
          </cell>
          <cell r="L150" t="str">
            <v/>
          </cell>
          <cell r="M150" t="str">
            <v/>
          </cell>
        </row>
        <row r="151">
          <cell r="A151" t="str">
            <v>14071001</v>
          </cell>
          <cell r="B151" t="str">
            <v>19/01/01..19/12/31</v>
          </cell>
          <cell r="C151" t="str">
            <v>WIP_STD Mataial</v>
          </cell>
          <cell r="D151" t="str">
            <v>自制半成品-材料</v>
          </cell>
          <cell r="E151" t="str">
            <v>Balance Sheet</v>
          </cell>
          <cell r="F151" t="str">
            <v>Posting</v>
          </cell>
          <cell r="G151" t="str">
            <v>Yes</v>
          </cell>
          <cell r="H151" t="str">
            <v/>
          </cell>
          <cell r="I151">
            <v>2075539.73</v>
          </cell>
          <cell r="J151">
            <v>2449298347124.7998</v>
          </cell>
          <cell r="K151">
            <v>2449296271585.0698</v>
          </cell>
          <cell r="L151">
            <v>4898516.8499999996</v>
          </cell>
          <cell r="M151" t="str">
            <v>330000</v>
          </cell>
        </row>
        <row r="152">
          <cell r="A152" t="str">
            <v>14071002</v>
          </cell>
          <cell r="B152" t="str">
            <v>19/01/01..19/12/31</v>
          </cell>
          <cell r="C152" t="str">
            <v>WIP_Expense Amortization</v>
          </cell>
          <cell r="D152" t="str">
            <v>自制半成品-费用分摊</v>
          </cell>
          <cell r="E152" t="str">
            <v>Balance Sheet</v>
          </cell>
          <cell r="F152" t="str">
            <v>Posting</v>
          </cell>
          <cell r="G152" t="str">
            <v>Yes</v>
          </cell>
          <cell r="H152" t="str">
            <v/>
          </cell>
          <cell r="I152" t="str">
            <v/>
          </cell>
          <cell r="J152" t="str">
            <v/>
          </cell>
          <cell r="K152" t="str">
            <v/>
          </cell>
          <cell r="L152" t="str">
            <v/>
          </cell>
          <cell r="M152" t="str">
            <v>330000</v>
          </cell>
        </row>
        <row r="153">
          <cell r="A153" t="str">
            <v>14071003</v>
          </cell>
          <cell r="B153" t="str">
            <v>19/01/01..19/12/31</v>
          </cell>
          <cell r="C153" t="str">
            <v>WIP_Material vari. allocation</v>
          </cell>
          <cell r="D153" t="str">
            <v>自制半成品-材料差异分配</v>
          </cell>
          <cell r="E153" t="str">
            <v>Balance Sheet</v>
          </cell>
          <cell r="F153" t="str">
            <v>Posting</v>
          </cell>
          <cell r="G153" t="str">
            <v>Yes</v>
          </cell>
          <cell r="H153" t="str">
            <v/>
          </cell>
          <cell r="I153" t="str">
            <v/>
          </cell>
          <cell r="J153" t="str">
            <v/>
          </cell>
          <cell r="K153" t="str">
            <v/>
          </cell>
          <cell r="L153" t="str">
            <v/>
          </cell>
          <cell r="M153" t="str">
            <v>330000</v>
          </cell>
        </row>
        <row r="154">
          <cell r="A154" t="str">
            <v>14071009</v>
          </cell>
          <cell r="B154" t="str">
            <v>19/01/01..19/12/31</v>
          </cell>
          <cell r="C154" t="str">
            <v>WIP_ in transit</v>
          </cell>
          <cell r="D154" t="str">
            <v>在制品中转</v>
          </cell>
          <cell r="E154" t="str">
            <v>Balance Sheet</v>
          </cell>
          <cell r="F154" t="str">
            <v>Posting</v>
          </cell>
          <cell r="G154" t="str">
            <v>No</v>
          </cell>
          <cell r="H154" t="str">
            <v/>
          </cell>
          <cell r="I154">
            <v>-3663693.91</v>
          </cell>
          <cell r="J154">
            <v>1195759870235.6201</v>
          </cell>
          <cell r="K154">
            <v>1195763533929.53</v>
          </cell>
          <cell r="L154">
            <v>-699248.39</v>
          </cell>
          <cell r="M154" t="str">
            <v>330000</v>
          </cell>
        </row>
        <row r="155">
          <cell r="A155" t="str">
            <v>14071999</v>
          </cell>
          <cell r="B155" t="str">
            <v>19/01/01..19/12/31</v>
          </cell>
          <cell r="C155" t="str">
            <v>Work-in-progress_STD_Total</v>
          </cell>
          <cell r="D155" t="str">
            <v>自制半成品-标准-合计</v>
          </cell>
          <cell r="E155" t="str">
            <v>Balance Sheet</v>
          </cell>
          <cell r="F155" t="str">
            <v>End-Total</v>
          </cell>
          <cell r="G155" t="str">
            <v>No</v>
          </cell>
          <cell r="H155" t="str">
            <v>14071000..14071999</v>
          </cell>
          <cell r="I155">
            <v>-1588154.18</v>
          </cell>
          <cell r="J155">
            <v>3645058217360.4199</v>
          </cell>
          <cell r="K155">
            <v>3645059805514.6001</v>
          </cell>
          <cell r="L155">
            <v>4199268.46</v>
          </cell>
          <cell r="M155" t="str">
            <v/>
          </cell>
        </row>
        <row r="156">
          <cell r="A156" t="str">
            <v>14072000</v>
          </cell>
          <cell r="B156" t="str">
            <v>19/01/01..19/12/31</v>
          </cell>
          <cell r="C156" t="str">
            <v>WIP_Cost Variance</v>
          </cell>
          <cell r="D156" t="str">
            <v>自制半成品差异</v>
          </cell>
          <cell r="E156" t="str">
            <v>Balance Sheet</v>
          </cell>
          <cell r="F156" t="str">
            <v>Begin-Total</v>
          </cell>
          <cell r="G156" t="str">
            <v>No</v>
          </cell>
          <cell r="H156" t="str">
            <v/>
          </cell>
          <cell r="I156" t="str">
            <v/>
          </cell>
          <cell r="J156" t="str">
            <v/>
          </cell>
          <cell r="K156" t="str">
            <v/>
          </cell>
          <cell r="L156" t="str">
            <v/>
          </cell>
          <cell r="M156" t="str">
            <v/>
          </cell>
        </row>
        <row r="157">
          <cell r="A157" t="str">
            <v>14072001</v>
          </cell>
          <cell r="B157" t="str">
            <v>19/01/01..19/12/31</v>
          </cell>
          <cell r="C157" t="str">
            <v>WIP-Copper Effect</v>
          </cell>
          <cell r="D157" t="str">
            <v>自制半成品价格差异-铜</v>
          </cell>
          <cell r="E157" t="str">
            <v>Balance Sheet</v>
          </cell>
          <cell r="F157" t="str">
            <v>Posting</v>
          </cell>
          <cell r="G157" t="str">
            <v>Yes</v>
          </cell>
          <cell r="H157" t="str">
            <v/>
          </cell>
          <cell r="I157">
            <v>-1276773.68</v>
          </cell>
          <cell r="J157">
            <v>44794782.43</v>
          </cell>
          <cell r="K157">
            <v>46071556.109999999</v>
          </cell>
          <cell r="L157">
            <v>3785175.98</v>
          </cell>
          <cell r="M157" t="str">
            <v>330000</v>
          </cell>
        </row>
        <row r="158">
          <cell r="A158" t="str">
            <v>14072002</v>
          </cell>
          <cell r="B158" t="str">
            <v>19/01/01..19/12/31</v>
          </cell>
          <cell r="C158" t="str">
            <v>WIP-Aluminum Effect</v>
          </cell>
          <cell r="D158" t="str">
            <v>自制半成品价格差异-铝</v>
          </cell>
          <cell r="E158" t="str">
            <v>Balance Sheet</v>
          </cell>
          <cell r="F158" t="str">
            <v>Posting</v>
          </cell>
          <cell r="G158" t="str">
            <v>Yes</v>
          </cell>
          <cell r="H158" t="str">
            <v/>
          </cell>
          <cell r="I158" t="str">
            <v/>
          </cell>
          <cell r="J158" t="str">
            <v/>
          </cell>
          <cell r="K158" t="str">
            <v/>
          </cell>
          <cell r="L158" t="str">
            <v/>
          </cell>
          <cell r="M158" t="str">
            <v>330000</v>
          </cell>
        </row>
        <row r="159">
          <cell r="A159" t="str">
            <v>14072003</v>
          </cell>
          <cell r="B159" t="str">
            <v>19/01/01..19/12/31</v>
          </cell>
          <cell r="C159" t="str">
            <v>WIP_Cost Variance _Others</v>
          </cell>
          <cell r="D159" t="str">
            <v>自制半成品差异-其他</v>
          </cell>
          <cell r="E159" t="str">
            <v>Balance Sheet</v>
          </cell>
          <cell r="F159" t="str">
            <v>Posting</v>
          </cell>
          <cell r="G159" t="str">
            <v>Yes</v>
          </cell>
          <cell r="H159" t="str">
            <v/>
          </cell>
          <cell r="I159" t="str">
            <v/>
          </cell>
          <cell r="J159" t="str">
            <v/>
          </cell>
          <cell r="K159" t="str">
            <v/>
          </cell>
          <cell r="L159" t="str">
            <v/>
          </cell>
          <cell r="M159" t="str">
            <v>330000</v>
          </cell>
        </row>
        <row r="160">
          <cell r="A160" t="str">
            <v>14072999</v>
          </cell>
          <cell r="B160" t="str">
            <v>19/01/01..19/12/31</v>
          </cell>
          <cell r="C160" t="str">
            <v>WIP_Cost Variance _Total</v>
          </cell>
          <cell r="D160" t="str">
            <v>自制半成品差异-合计</v>
          </cell>
          <cell r="E160" t="str">
            <v>Balance Sheet</v>
          </cell>
          <cell r="F160" t="str">
            <v>End-Total</v>
          </cell>
          <cell r="G160" t="str">
            <v>No</v>
          </cell>
          <cell r="H160" t="str">
            <v>14072000..14072999</v>
          </cell>
          <cell r="I160">
            <v>-1276773.68</v>
          </cell>
          <cell r="J160">
            <v>44794782.43</v>
          </cell>
          <cell r="K160">
            <v>46071556.109999999</v>
          </cell>
          <cell r="L160">
            <v>3785175.98</v>
          </cell>
          <cell r="M160" t="str">
            <v/>
          </cell>
        </row>
        <row r="161">
          <cell r="A161" t="str">
            <v>14079999</v>
          </cell>
          <cell r="B161" t="str">
            <v>19/01/01..19/12/31</v>
          </cell>
          <cell r="C161" t="str">
            <v>Work-in-progress_Total</v>
          </cell>
          <cell r="D161" t="str">
            <v>自制半成品-合计</v>
          </cell>
          <cell r="E161" t="str">
            <v>Balance Sheet</v>
          </cell>
          <cell r="F161" t="str">
            <v>End-Total</v>
          </cell>
          <cell r="G161" t="str">
            <v>No</v>
          </cell>
          <cell r="H161" t="str">
            <v>14070000..14079999</v>
          </cell>
          <cell r="I161">
            <v>-2864927.86</v>
          </cell>
          <cell r="J161">
            <v>3645103012142.8501</v>
          </cell>
          <cell r="K161">
            <v>3645105877070.71</v>
          </cell>
          <cell r="L161">
            <v>7984444.4400000004</v>
          </cell>
          <cell r="M161" t="str">
            <v/>
          </cell>
        </row>
        <row r="162">
          <cell r="A162" t="str">
            <v>14080000</v>
          </cell>
          <cell r="B162" t="str">
            <v>19/01/01..19/12/31</v>
          </cell>
          <cell r="C162" t="str">
            <v>Designated Processing Material-Cu</v>
          </cell>
          <cell r="D162" t="str">
            <v>委托加工物资-铜</v>
          </cell>
          <cell r="E162" t="str">
            <v>Balance Sheet</v>
          </cell>
          <cell r="F162" t="str">
            <v>Posting</v>
          </cell>
          <cell r="G162" t="str">
            <v>No</v>
          </cell>
          <cell r="H162" t="str">
            <v/>
          </cell>
          <cell r="I162">
            <v>1108471.53</v>
          </cell>
          <cell r="J162">
            <v>156828223.63</v>
          </cell>
          <cell r="K162">
            <v>155719752.09999999</v>
          </cell>
          <cell r="L162">
            <v>3325514.97</v>
          </cell>
          <cell r="M162" t="str">
            <v>300000</v>
          </cell>
        </row>
        <row r="163">
          <cell r="A163" t="str">
            <v>14080001</v>
          </cell>
          <cell r="B163" t="str">
            <v>19/01/01..19/12/31</v>
          </cell>
          <cell r="C163" t="str">
            <v>Designated Processing Material-Other</v>
          </cell>
          <cell r="D163" t="str">
            <v>委托加工物资-其他材料</v>
          </cell>
          <cell r="E163" t="str">
            <v>Balance Sheet</v>
          </cell>
          <cell r="F163" t="str">
            <v>Posting</v>
          </cell>
          <cell r="G163" t="str">
            <v>No</v>
          </cell>
          <cell r="H163" t="str">
            <v/>
          </cell>
          <cell r="I163" t="str">
            <v/>
          </cell>
          <cell r="J163" t="str">
            <v/>
          </cell>
          <cell r="K163" t="str">
            <v/>
          </cell>
          <cell r="L163" t="str">
            <v/>
          </cell>
          <cell r="M163" t="str">
            <v>300000</v>
          </cell>
        </row>
        <row r="164">
          <cell r="A164" t="str">
            <v>14080010</v>
          </cell>
          <cell r="B164" t="str">
            <v>19/01/01..19/12/31</v>
          </cell>
          <cell r="C164" t="str">
            <v>Designated Processing Material-transit-Cu</v>
          </cell>
          <cell r="D164" t="str">
            <v>委托加工物资-中转-铜</v>
          </cell>
          <cell r="E164" t="str">
            <v>Balance Sheet</v>
          </cell>
          <cell r="F164" t="str">
            <v>Posting</v>
          </cell>
          <cell r="G164" t="str">
            <v>Yes</v>
          </cell>
          <cell r="H164" t="str">
            <v/>
          </cell>
          <cell r="I164">
            <v>-467865.05</v>
          </cell>
          <cell r="J164">
            <v>93043922.879999995</v>
          </cell>
          <cell r="K164">
            <v>93511787.930000007</v>
          </cell>
          <cell r="L164">
            <v>-408471.79</v>
          </cell>
          <cell r="M164" t="str">
            <v>300000</v>
          </cell>
        </row>
        <row r="165">
          <cell r="A165" t="str">
            <v>14080011</v>
          </cell>
          <cell r="B165" t="str">
            <v>19/01/01..19/12/31</v>
          </cell>
          <cell r="C165" t="str">
            <v>Designated Processing Material-transit-Other</v>
          </cell>
          <cell r="D165" t="str">
            <v>委托加工物资-中转-其他材料</v>
          </cell>
          <cell r="E165" t="str">
            <v>Balance Sheet</v>
          </cell>
          <cell r="F165" t="str">
            <v>Posting</v>
          </cell>
          <cell r="G165" t="str">
            <v>Yes</v>
          </cell>
          <cell r="H165" t="str">
            <v/>
          </cell>
          <cell r="I165">
            <v>-62370.63</v>
          </cell>
          <cell r="J165" t="str">
            <v/>
          </cell>
          <cell r="K165">
            <v>62370.63</v>
          </cell>
          <cell r="L165" t="str">
            <v/>
          </cell>
          <cell r="M165" t="str">
            <v>300000</v>
          </cell>
        </row>
        <row r="166">
          <cell r="A166" t="str">
            <v>14110000</v>
          </cell>
          <cell r="B166" t="str">
            <v>19/01/01..19/12/31</v>
          </cell>
          <cell r="C166" t="str">
            <v>Materials in Transit</v>
          </cell>
          <cell r="D166" t="str">
            <v>周转材料</v>
          </cell>
          <cell r="E166" t="str">
            <v>Balance Sheet</v>
          </cell>
          <cell r="F166" t="str">
            <v>Posting</v>
          </cell>
          <cell r="G166" t="str">
            <v>No</v>
          </cell>
          <cell r="H166" t="str">
            <v/>
          </cell>
          <cell r="I166" t="str">
            <v/>
          </cell>
          <cell r="J166" t="str">
            <v/>
          </cell>
          <cell r="K166" t="str">
            <v/>
          </cell>
          <cell r="L166" t="str">
            <v/>
          </cell>
          <cell r="M166" t="str">
            <v>300000</v>
          </cell>
        </row>
        <row r="167">
          <cell r="A167" t="str">
            <v>14710000</v>
          </cell>
          <cell r="B167" t="str">
            <v>19/01/01..19/12/31</v>
          </cell>
          <cell r="C167" t="str">
            <v>Inventory Reserve</v>
          </cell>
          <cell r="D167" t="str">
            <v>存货跌价准备</v>
          </cell>
          <cell r="E167" t="str">
            <v>Balance Sheet</v>
          </cell>
          <cell r="F167" t="str">
            <v>Begin-Total</v>
          </cell>
          <cell r="G167" t="str">
            <v>No</v>
          </cell>
          <cell r="H167" t="str">
            <v/>
          </cell>
          <cell r="I167" t="str">
            <v/>
          </cell>
          <cell r="J167" t="str">
            <v/>
          </cell>
          <cell r="K167" t="str">
            <v/>
          </cell>
          <cell r="L167" t="str">
            <v/>
          </cell>
          <cell r="M167" t="str">
            <v/>
          </cell>
        </row>
        <row r="168">
          <cell r="A168" t="str">
            <v>14710100</v>
          </cell>
          <cell r="B168" t="str">
            <v>19/01/01..19/12/31</v>
          </cell>
          <cell r="C168" t="str">
            <v>Inventory Reserve_RM</v>
          </cell>
          <cell r="D168" t="str">
            <v>存货跌价准备-原材料</v>
          </cell>
          <cell r="E168" t="str">
            <v>Balance Sheet</v>
          </cell>
          <cell r="F168" t="str">
            <v>Posting</v>
          </cell>
          <cell r="G168" t="str">
            <v>Yes</v>
          </cell>
          <cell r="H168" t="str">
            <v/>
          </cell>
          <cell r="I168">
            <v>324365.87</v>
          </cell>
          <cell r="J168">
            <v>1021711.2</v>
          </cell>
          <cell r="K168">
            <v>697345.33</v>
          </cell>
          <cell r="L168">
            <v>-2163433.4500000002</v>
          </cell>
          <cell r="M168" t="str">
            <v>390000</v>
          </cell>
        </row>
        <row r="169">
          <cell r="A169" t="str">
            <v>14710200</v>
          </cell>
          <cell r="B169" t="str">
            <v>19/01/01..19/12/31</v>
          </cell>
          <cell r="C169" t="str">
            <v>Inventory Reserve_WIP</v>
          </cell>
          <cell r="D169" t="str">
            <v>存货跌价准备-半成品</v>
          </cell>
          <cell r="E169" t="str">
            <v>Balance Sheet</v>
          </cell>
          <cell r="F169" t="str">
            <v>Posting</v>
          </cell>
          <cell r="G169" t="str">
            <v>Yes</v>
          </cell>
          <cell r="H169" t="str">
            <v/>
          </cell>
          <cell r="I169" t="str">
            <v/>
          </cell>
          <cell r="J169" t="str">
            <v/>
          </cell>
          <cell r="K169" t="str">
            <v/>
          </cell>
          <cell r="L169" t="str">
            <v/>
          </cell>
          <cell r="M169" t="str">
            <v>393000</v>
          </cell>
        </row>
        <row r="170">
          <cell r="A170" t="str">
            <v>14710300</v>
          </cell>
          <cell r="B170" t="str">
            <v>19/01/01..19/12/31</v>
          </cell>
          <cell r="C170" t="str">
            <v>Inventory Reserve_FG_Manuf.</v>
          </cell>
          <cell r="D170" t="str">
            <v>存货跌价准备-自制产成品</v>
          </cell>
          <cell r="E170" t="str">
            <v>Balance Sheet</v>
          </cell>
          <cell r="F170" t="str">
            <v>Posting</v>
          </cell>
          <cell r="G170" t="str">
            <v>Yes</v>
          </cell>
          <cell r="H170" t="str">
            <v/>
          </cell>
          <cell r="I170">
            <v>-10884361.07</v>
          </cell>
          <cell r="J170">
            <v>2920859.04</v>
          </cell>
          <cell r="K170">
            <v>13805220.109999999</v>
          </cell>
          <cell r="L170">
            <v>-19006197.91</v>
          </cell>
          <cell r="M170" t="str">
            <v>395000</v>
          </cell>
        </row>
        <row r="171">
          <cell r="A171" t="str">
            <v>14710400</v>
          </cell>
          <cell r="B171" t="str">
            <v>19/01/01..19/12/31</v>
          </cell>
          <cell r="C171" t="str">
            <v>Inventory Reserve_FG_Trading</v>
          </cell>
          <cell r="D171" t="str">
            <v>存货跌价准备-贸易产成品</v>
          </cell>
          <cell r="E171" t="str">
            <v>Balance Sheet</v>
          </cell>
          <cell r="F171" t="str">
            <v>Posting</v>
          </cell>
          <cell r="G171" t="str">
            <v>Yes</v>
          </cell>
          <cell r="H171" t="str">
            <v/>
          </cell>
          <cell r="I171" t="str">
            <v/>
          </cell>
          <cell r="J171" t="str">
            <v/>
          </cell>
          <cell r="K171" t="str">
            <v/>
          </cell>
          <cell r="L171" t="str">
            <v/>
          </cell>
          <cell r="M171" t="str">
            <v>395000</v>
          </cell>
        </row>
        <row r="172">
          <cell r="A172" t="str">
            <v>14719999</v>
          </cell>
          <cell r="B172" t="str">
            <v>19/01/01..19/12/31</v>
          </cell>
          <cell r="C172" t="str">
            <v>Inventory Reserve_Total</v>
          </cell>
          <cell r="D172" t="str">
            <v>存货跌价准备-合计</v>
          </cell>
          <cell r="E172" t="str">
            <v>Balance Sheet</v>
          </cell>
          <cell r="F172" t="str">
            <v>End-Total</v>
          </cell>
          <cell r="G172" t="str">
            <v>No</v>
          </cell>
          <cell r="H172" t="str">
            <v>14710000..14719999</v>
          </cell>
          <cell r="I172">
            <v>-10559995.199999999</v>
          </cell>
          <cell r="J172">
            <v>3942570.24</v>
          </cell>
          <cell r="K172">
            <v>14502565.439999999</v>
          </cell>
          <cell r="L172">
            <v>-21169631.359999999</v>
          </cell>
          <cell r="M172" t="str">
            <v/>
          </cell>
        </row>
        <row r="173">
          <cell r="A173" t="str">
            <v>14999999</v>
          </cell>
          <cell r="B173" t="str">
            <v>19/01/01..19/12/31</v>
          </cell>
          <cell r="C173" t="str">
            <v>Inventory_Total</v>
          </cell>
          <cell r="D173" t="str">
            <v>存货-合计</v>
          </cell>
          <cell r="E173" t="str">
            <v>Balance Sheet</v>
          </cell>
          <cell r="F173" t="str">
            <v>End-Total</v>
          </cell>
          <cell r="G173" t="str">
            <v>No</v>
          </cell>
          <cell r="H173" t="str">
            <v>14000000..14999999</v>
          </cell>
          <cell r="I173">
            <v>61827398.390000001</v>
          </cell>
          <cell r="J173">
            <v>3650481639630.3701</v>
          </cell>
          <cell r="K173">
            <v>3650419812231.98</v>
          </cell>
          <cell r="L173">
            <v>183442675.69999999</v>
          </cell>
          <cell r="M173" t="str">
            <v/>
          </cell>
        </row>
        <row r="174">
          <cell r="A174" t="str">
            <v>15000000</v>
          </cell>
          <cell r="B174" t="str">
            <v>19/01/01..19/12/31</v>
          </cell>
          <cell r="C174" t="str">
            <v>Other Current Asset</v>
          </cell>
          <cell r="D174" t="str">
            <v>其他流动资产</v>
          </cell>
          <cell r="E174" t="str">
            <v>Balance Sheet</v>
          </cell>
          <cell r="F174" t="str">
            <v>Total</v>
          </cell>
          <cell r="G174" t="str">
            <v>No</v>
          </cell>
          <cell r="H174" t="str">
            <v>32010101|32010201|32010301</v>
          </cell>
          <cell r="I174">
            <v>8933035.2799999993</v>
          </cell>
          <cell r="J174">
            <v>28445090.039999999</v>
          </cell>
          <cell r="K174">
            <v>19512054.760000002</v>
          </cell>
          <cell r="L174">
            <v>3717743.29</v>
          </cell>
          <cell r="M174" t="str">
            <v/>
          </cell>
        </row>
        <row r="175">
          <cell r="A175" t="str">
            <v>15000010</v>
          </cell>
          <cell r="B175" t="str">
            <v>19/01/01..19/12/31</v>
          </cell>
          <cell r="C175" t="str">
            <v>Current Asset_Total</v>
          </cell>
          <cell r="D175" t="str">
            <v>流动资产-合计</v>
          </cell>
          <cell r="E175" t="str">
            <v>Balance Sheet</v>
          </cell>
          <cell r="F175" t="str">
            <v>End-Total</v>
          </cell>
          <cell r="G175" t="str">
            <v>No</v>
          </cell>
          <cell r="H175" t="str">
            <v>10000010..15000010</v>
          </cell>
          <cell r="I175">
            <v>95283798.090000004</v>
          </cell>
          <cell r="J175">
            <v>3653058431045.9199</v>
          </cell>
          <cell r="K175">
            <v>3652963147247.8301</v>
          </cell>
          <cell r="L175">
            <v>406402127.16000003</v>
          </cell>
          <cell r="M175" t="str">
            <v/>
          </cell>
        </row>
        <row r="176">
          <cell r="A176" t="str">
            <v>15000100</v>
          </cell>
          <cell r="B176" t="str">
            <v>19/01/01..19/12/31</v>
          </cell>
          <cell r="C176" t="str">
            <v>Non-current Asset</v>
          </cell>
          <cell r="D176" t="str">
            <v>非流动资产</v>
          </cell>
          <cell r="E176" t="str">
            <v>Balance Sheet</v>
          </cell>
          <cell r="F176" t="str">
            <v>Begin-Total</v>
          </cell>
          <cell r="G176" t="str">
            <v>No</v>
          </cell>
          <cell r="H176" t="str">
            <v/>
          </cell>
          <cell r="I176" t="str">
            <v/>
          </cell>
          <cell r="J176" t="str">
            <v/>
          </cell>
          <cell r="K176" t="str">
            <v/>
          </cell>
          <cell r="L176" t="str">
            <v/>
          </cell>
          <cell r="M176" t="str">
            <v/>
          </cell>
        </row>
        <row r="177">
          <cell r="A177" t="str">
            <v>15010000</v>
          </cell>
          <cell r="B177" t="str">
            <v>19/01/01..19/12/31</v>
          </cell>
          <cell r="C177" t="str">
            <v>Investment held till maturity</v>
          </cell>
          <cell r="D177" t="str">
            <v>持有至到期投资</v>
          </cell>
          <cell r="E177" t="str">
            <v>Balance Sheet</v>
          </cell>
          <cell r="F177" t="str">
            <v>Posting</v>
          </cell>
          <cell r="G177" t="str">
            <v>Yes</v>
          </cell>
          <cell r="H177" t="str">
            <v/>
          </cell>
          <cell r="I177" t="str">
            <v/>
          </cell>
          <cell r="J177" t="str">
            <v/>
          </cell>
          <cell r="K177" t="str">
            <v/>
          </cell>
          <cell r="L177" t="str">
            <v/>
          </cell>
          <cell r="M177" t="str">
            <v>269010</v>
          </cell>
        </row>
        <row r="178">
          <cell r="A178" t="str">
            <v>15020000</v>
          </cell>
          <cell r="B178" t="str">
            <v>19/01/01..19/12/31</v>
          </cell>
          <cell r="C178" t="str">
            <v>Res. Investment till maturity</v>
          </cell>
          <cell r="D178" t="str">
            <v>持有至到期投资减值准备</v>
          </cell>
          <cell r="E178" t="str">
            <v>Balance Sheet</v>
          </cell>
          <cell r="F178" t="str">
            <v>Posting</v>
          </cell>
          <cell r="G178" t="str">
            <v>Yes</v>
          </cell>
          <cell r="H178" t="str">
            <v/>
          </cell>
          <cell r="I178" t="str">
            <v/>
          </cell>
          <cell r="J178" t="str">
            <v/>
          </cell>
          <cell r="K178" t="str">
            <v/>
          </cell>
          <cell r="L178" t="str">
            <v/>
          </cell>
          <cell r="M178" t="str">
            <v>296901</v>
          </cell>
        </row>
        <row r="179">
          <cell r="A179" t="str">
            <v>15030000</v>
          </cell>
          <cell r="B179" t="str">
            <v>19/01/01..19/12/31</v>
          </cell>
          <cell r="C179" t="str">
            <v>Financial assets for sale</v>
          </cell>
          <cell r="D179" t="str">
            <v>可供出售金融资产</v>
          </cell>
          <cell r="E179" t="str">
            <v>Balance Sheet</v>
          </cell>
          <cell r="F179" t="str">
            <v>Posting</v>
          </cell>
          <cell r="G179" t="str">
            <v>Yes</v>
          </cell>
          <cell r="H179" t="str">
            <v/>
          </cell>
          <cell r="I179" t="str">
            <v/>
          </cell>
          <cell r="J179" t="str">
            <v/>
          </cell>
          <cell r="K179" t="str">
            <v/>
          </cell>
          <cell r="L179" t="str">
            <v/>
          </cell>
          <cell r="M179" t="str">
            <v>269000</v>
          </cell>
        </row>
        <row r="180">
          <cell r="A180" t="str">
            <v>15110000</v>
          </cell>
          <cell r="B180" t="str">
            <v>19/01/01..19/12/31</v>
          </cell>
          <cell r="C180" t="str">
            <v>LT Shares Investment</v>
          </cell>
          <cell r="D180" t="str">
            <v>长期股权投资</v>
          </cell>
          <cell r="E180" t="str">
            <v>Balance Sheet</v>
          </cell>
          <cell r="F180" t="str">
            <v>Posting</v>
          </cell>
          <cell r="G180" t="str">
            <v>Yes</v>
          </cell>
          <cell r="H180" t="str">
            <v/>
          </cell>
          <cell r="I180" t="str">
            <v/>
          </cell>
          <cell r="J180" t="str">
            <v/>
          </cell>
          <cell r="K180" t="str">
            <v/>
          </cell>
          <cell r="L180" t="str">
            <v/>
          </cell>
          <cell r="M180" t="str">
            <v>261000</v>
          </cell>
        </row>
        <row r="181">
          <cell r="A181" t="str">
            <v>15120000</v>
          </cell>
          <cell r="B181" t="str">
            <v>19/01/01..19/12/31</v>
          </cell>
          <cell r="C181" t="str">
            <v>Res. LT Shares Investment</v>
          </cell>
          <cell r="D181" t="str">
            <v>长期股权投资减值准备</v>
          </cell>
          <cell r="E181" t="str">
            <v>Balance Sheet</v>
          </cell>
          <cell r="F181" t="str">
            <v>Posting</v>
          </cell>
          <cell r="G181" t="str">
            <v>Yes</v>
          </cell>
          <cell r="H181" t="str">
            <v/>
          </cell>
          <cell r="I181" t="str">
            <v/>
          </cell>
          <cell r="J181" t="str">
            <v/>
          </cell>
          <cell r="K181" t="str">
            <v/>
          </cell>
          <cell r="L181" t="str">
            <v/>
          </cell>
          <cell r="M181" t="str">
            <v>296100</v>
          </cell>
        </row>
        <row r="182">
          <cell r="A182" t="str">
            <v>15210000</v>
          </cell>
          <cell r="B182" t="str">
            <v>19/01/01..19/12/31</v>
          </cell>
          <cell r="C182" t="str">
            <v>Investment Property</v>
          </cell>
          <cell r="D182" t="str">
            <v>投资性房地产</v>
          </cell>
          <cell r="E182" t="str">
            <v>Balance Sheet</v>
          </cell>
          <cell r="F182" t="str">
            <v>Posting</v>
          </cell>
          <cell r="G182" t="str">
            <v>Yes</v>
          </cell>
          <cell r="H182" t="str">
            <v/>
          </cell>
          <cell r="I182" t="str">
            <v/>
          </cell>
          <cell r="J182" t="str">
            <v/>
          </cell>
          <cell r="K182" t="str">
            <v/>
          </cell>
          <cell r="L182" t="str">
            <v/>
          </cell>
          <cell r="M182" t="str">
            <v>214000</v>
          </cell>
        </row>
        <row r="183">
          <cell r="A183" t="str">
            <v>15310000</v>
          </cell>
          <cell r="B183" t="str">
            <v>19/01/01..19/12/31</v>
          </cell>
          <cell r="C183" t="str">
            <v>Long term Receivable</v>
          </cell>
          <cell r="D183" t="str">
            <v>长期应收款</v>
          </cell>
          <cell r="E183" t="str">
            <v>Balance Sheet</v>
          </cell>
          <cell r="F183" t="str">
            <v>Posting</v>
          </cell>
          <cell r="G183" t="str">
            <v>Yes</v>
          </cell>
          <cell r="H183" t="str">
            <v/>
          </cell>
          <cell r="I183" t="str">
            <v/>
          </cell>
          <cell r="J183" t="str">
            <v/>
          </cell>
          <cell r="K183" t="str">
            <v/>
          </cell>
          <cell r="L183" t="str">
            <v/>
          </cell>
          <cell r="M183" t="str">
            <v>265510</v>
          </cell>
        </row>
        <row r="184">
          <cell r="A184" t="str">
            <v>15320000</v>
          </cell>
          <cell r="B184" t="str">
            <v>19/01/01..19/12/31</v>
          </cell>
          <cell r="C184" t="str">
            <v>Unrealized Financial Income</v>
          </cell>
          <cell r="D184" t="str">
            <v>未实现融资收益</v>
          </cell>
          <cell r="E184" t="str">
            <v>Balance Sheet</v>
          </cell>
          <cell r="F184" t="str">
            <v>Posting</v>
          </cell>
          <cell r="G184" t="str">
            <v>Yes</v>
          </cell>
          <cell r="H184" t="str">
            <v/>
          </cell>
          <cell r="I184" t="str">
            <v/>
          </cell>
          <cell r="J184" t="str">
            <v/>
          </cell>
          <cell r="K184" t="str">
            <v/>
          </cell>
          <cell r="L184" t="str">
            <v/>
          </cell>
          <cell r="M184" t="str">
            <v>461000</v>
          </cell>
        </row>
        <row r="185">
          <cell r="A185" t="str">
            <v>16010000</v>
          </cell>
          <cell r="B185" t="str">
            <v>19/01/01..19/12/31</v>
          </cell>
          <cell r="C185" t="str">
            <v>Fixed Asset Original value</v>
          </cell>
          <cell r="D185" t="str">
            <v>固定资产原值</v>
          </cell>
          <cell r="E185" t="str">
            <v>Balance Sheet</v>
          </cell>
          <cell r="F185" t="str">
            <v>Begin-Total</v>
          </cell>
          <cell r="G185" t="str">
            <v>No</v>
          </cell>
          <cell r="H185" t="str">
            <v/>
          </cell>
          <cell r="I185" t="str">
            <v/>
          </cell>
          <cell r="J185" t="str">
            <v/>
          </cell>
          <cell r="K185" t="str">
            <v/>
          </cell>
          <cell r="L185" t="str">
            <v/>
          </cell>
          <cell r="M185" t="str">
            <v/>
          </cell>
        </row>
        <row r="186">
          <cell r="A186" t="str">
            <v>16010100</v>
          </cell>
          <cell r="B186" t="str">
            <v>19/01/01..19/12/31</v>
          </cell>
          <cell r="C186" t="str">
            <v>FA O.V._Building</v>
          </cell>
          <cell r="D186" t="str">
            <v>固定资产原值-厂房及建筑物</v>
          </cell>
          <cell r="E186" t="str">
            <v>Balance Sheet</v>
          </cell>
          <cell r="F186" t="str">
            <v>Posting</v>
          </cell>
          <cell r="G186" t="str">
            <v>No</v>
          </cell>
          <cell r="H186" t="str">
            <v/>
          </cell>
          <cell r="I186">
            <v>6570884.9100000001</v>
          </cell>
          <cell r="J186">
            <v>6570884.9100000001</v>
          </cell>
          <cell r="K186" t="str">
            <v/>
          </cell>
          <cell r="L186">
            <v>234307830.55000001</v>
          </cell>
          <cell r="M186" t="str">
            <v>213000</v>
          </cell>
        </row>
        <row r="187">
          <cell r="A187" t="str">
            <v>16010200</v>
          </cell>
          <cell r="B187" t="str">
            <v>19/01/01..19/12/31</v>
          </cell>
          <cell r="C187" t="str">
            <v>FA O.V._Machine</v>
          </cell>
          <cell r="D187" t="str">
            <v>固定资产原值-机器设备</v>
          </cell>
          <cell r="E187" t="str">
            <v>Balance Sheet</v>
          </cell>
          <cell r="F187" t="str">
            <v>Posting</v>
          </cell>
          <cell r="G187" t="str">
            <v>No</v>
          </cell>
          <cell r="H187" t="str">
            <v/>
          </cell>
          <cell r="I187">
            <v>4004409.99</v>
          </cell>
          <cell r="J187">
            <v>5005322.75</v>
          </cell>
          <cell r="K187">
            <v>1000912.76</v>
          </cell>
          <cell r="L187">
            <v>160041209.38999999</v>
          </cell>
          <cell r="M187" t="str">
            <v>215000</v>
          </cell>
        </row>
        <row r="188">
          <cell r="A188" t="str">
            <v>16010300</v>
          </cell>
          <cell r="B188" t="str">
            <v>19/01/01..19/12/31</v>
          </cell>
          <cell r="C188" t="str">
            <v>FA O.V._Office Equipment</v>
          </cell>
          <cell r="D188" t="str">
            <v>固定资产原值-办公设备</v>
          </cell>
          <cell r="E188" t="str">
            <v>Balance Sheet</v>
          </cell>
          <cell r="F188" t="str">
            <v>Posting</v>
          </cell>
          <cell r="G188" t="str">
            <v>No</v>
          </cell>
          <cell r="H188" t="str">
            <v/>
          </cell>
          <cell r="I188">
            <v>81320.69</v>
          </cell>
          <cell r="J188">
            <v>81320.69</v>
          </cell>
          <cell r="K188" t="str">
            <v/>
          </cell>
          <cell r="L188">
            <v>2527129.73</v>
          </cell>
          <cell r="M188" t="str">
            <v>217000</v>
          </cell>
        </row>
        <row r="189">
          <cell r="A189" t="str">
            <v>16010400</v>
          </cell>
          <cell r="B189" t="str">
            <v>19/01/01..19/12/31</v>
          </cell>
          <cell r="C189" t="str">
            <v>FA O.V._Vehicle</v>
          </cell>
          <cell r="D189" t="str">
            <v>固定资产原值-运输工具</v>
          </cell>
          <cell r="E189" t="str">
            <v>Balance Sheet</v>
          </cell>
          <cell r="F189" t="str">
            <v>Posting</v>
          </cell>
          <cell r="G189" t="str">
            <v>No</v>
          </cell>
          <cell r="H189" t="str">
            <v/>
          </cell>
          <cell r="I189" t="str">
            <v/>
          </cell>
          <cell r="J189" t="str">
            <v/>
          </cell>
          <cell r="K189" t="str">
            <v/>
          </cell>
          <cell r="L189" t="str">
            <v/>
          </cell>
          <cell r="M189" t="str">
            <v>217000</v>
          </cell>
        </row>
        <row r="190">
          <cell r="A190" t="str">
            <v>16010600</v>
          </cell>
          <cell r="B190" t="str">
            <v>19/01/01..19/12/31</v>
          </cell>
          <cell r="C190" t="str">
            <v>FA O.V._IT Equipment</v>
          </cell>
          <cell r="D190" t="str">
            <v>固定资产原值-IT设备</v>
          </cell>
          <cell r="E190" t="str">
            <v>Balance Sheet</v>
          </cell>
          <cell r="F190" t="str">
            <v>Posting</v>
          </cell>
          <cell r="G190" t="str">
            <v>No</v>
          </cell>
          <cell r="H190" t="str">
            <v/>
          </cell>
          <cell r="I190">
            <v>827649.42</v>
          </cell>
          <cell r="J190">
            <v>827649.42</v>
          </cell>
          <cell r="K190" t="str">
            <v/>
          </cell>
          <cell r="L190">
            <v>2899960.5</v>
          </cell>
          <cell r="M190" t="str">
            <v>217000</v>
          </cell>
        </row>
        <row r="191">
          <cell r="A191" t="str">
            <v>16019999</v>
          </cell>
          <cell r="B191" t="str">
            <v>19/01/01..19/12/31</v>
          </cell>
          <cell r="C191" t="str">
            <v>Fixed Asset O.V._Total</v>
          </cell>
          <cell r="D191" t="str">
            <v>固定资产原值-合计</v>
          </cell>
          <cell r="E191" t="str">
            <v>Balance Sheet</v>
          </cell>
          <cell r="F191" t="str">
            <v>End-Total</v>
          </cell>
          <cell r="G191" t="str">
            <v>No</v>
          </cell>
          <cell r="H191" t="str">
            <v>16010000..16019999</v>
          </cell>
          <cell r="I191">
            <v>11484265.01</v>
          </cell>
          <cell r="J191">
            <v>12485177.77</v>
          </cell>
          <cell r="K191">
            <v>1000912.76</v>
          </cell>
          <cell r="L191">
            <v>399776130.17000002</v>
          </cell>
          <cell r="M191" t="str">
            <v/>
          </cell>
        </row>
        <row r="192">
          <cell r="A192" t="str">
            <v>16020000</v>
          </cell>
          <cell r="B192" t="str">
            <v>19/01/01..19/12/31</v>
          </cell>
          <cell r="C192" t="str">
            <v>Accumulated Depreciation</v>
          </cell>
          <cell r="D192" t="str">
            <v>累计折旧</v>
          </cell>
          <cell r="E192" t="str">
            <v>Balance Sheet</v>
          </cell>
          <cell r="F192" t="str">
            <v>Begin-Total</v>
          </cell>
          <cell r="G192" t="str">
            <v>No</v>
          </cell>
          <cell r="H192" t="str">
            <v/>
          </cell>
          <cell r="I192" t="str">
            <v/>
          </cell>
          <cell r="J192" t="str">
            <v/>
          </cell>
          <cell r="K192" t="str">
            <v/>
          </cell>
          <cell r="L192" t="str">
            <v/>
          </cell>
          <cell r="M192" t="str">
            <v/>
          </cell>
        </row>
        <row r="193">
          <cell r="A193" t="str">
            <v>16020100</v>
          </cell>
          <cell r="B193" t="str">
            <v>19/01/01..19/12/31</v>
          </cell>
          <cell r="C193" t="str">
            <v>Accu.Depr._Building</v>
          </cell>
          <cell r="D193" t="str">
            <v>累计折旧-厂房及建筑物</v>
          </cell>
          <cell r="E193" t="str">
            <v>Balance Sheet</v>
          </cell>
          <cell r="F193" t="str">
            <v>Posting</v>
          </cell>
          <cell r="G193" t="str">
            <v>No</v>
          </cell>
          <cell r="H193" t="str">
            <v/>
          </cell>
          <cell r="I193">
            <v>-13222318.33</v>
          </cell>
          <cell r="J193" t="str">
            <v/>
          </cell>
          <cell r="K193">
            <v>13222318.33</v>
          </cell>
          <cell r="L193">
            <v>-43108159.909999996</v>
          </cell>
          <cell r="M193" t="str">
            <v>281300</v>
          </cell>
        </row>
        <row r="194">
          <cell r="A194" t="str">
            <v>16020200</v>
          </cell>
          <cell r="B194" t="str">
            <v>19/01/01..19/12/31</v>
          </cell>
          <cell r="C194" t="str">
            <v>Accu.Depr._Machine</v>
          </cell>
          <cell r="D194" t="str">
            <v>累计折旧-机器设备</v>
          </cell>
          <cell r="E194" t="str">
            <v>Balance Sheet</v>
          </cell>
          <cell r="F194" t="str">
            <v>Posting</v>
          </cell>
          <cell r="G194" t="str">
            <v>No</v>
          </cell>
          <cell r="H194" t="str">
            <v/>
          </cell>
          <cell r="I194">
            <v>-13128300.1</v>
          </cell>
          <cell r="J194">
            <v>203617.54</v>
          </cell>
          <cell r="K194">
            <v>13331917.640000001</v>
          </cell>
          <cell r="L194">
            <v>-38237037.18</v>
          </cell>
          <cell r="M194" t="str">
            <v>281500</v>
          </cell>
        </row>
        <row r="195">
          <cell r="A195" t="str">
            <v>16020300</v>
          </cell>
          <cell r="B195" t="str">
            <v>19/01/01..19/12/31</v>
          </cell>
          <cell r="C195" t="str">
            <v>Accu.Depr._Office Equipment</v>
          </cell>
          <cell r="D195" t="str">
            <v>累计折旧-办公设备</v>
          </cell>
          <cell r="E195" t="str">
            <v>Balance Sheet</v>
          </cell>
          <cell r="F195" t="str">
            <v>Posting</v>
          </cell>
          <cell r="G195" t="str">
            <v>No</v>
          </cell>
          <cell r="H195" t="str">
            <v/>
          </cell>
          <cell r="I195">
            <v>-497030.61</v>
          </cell>
          <cell r="J195" t="str">
            <v/>
          </cell>
          <cell r="K195">
            <v>497030.61</v>
          </cell>
          <cell r="L195">
            <v>-1724799.38</v>
          </cell>
          <cell r="M195" t="str">
            <v>281700</v>
          </cell>
        </row>
        <row r="196">
          <cell r="A196" t="str">
            <v>16020400</v>
          </cell>
          <cell r="B196" t="str">
            <v>19/01/01..19/12/31</v>
          </cell>
          <cell r="C196" t="str">
            <v>Accu.Depr._Vehicle</v>
          </cell>
          <cell r="D196" t="str">
            <v>累计折旧-运输工具</v>
          </cell>
          <cell r="E196" t="str">
            <v>Balance Sheet</v>
          </cell>
          <cell r="F196" t="str">
            <v>Posting</v>
          </cell>
          <cell r="G196" t="str">
            <v>No</v>
          </cell>
          <cell r="H196" t="str">
            <v/>
          </cell>
          <cell r="I196" t="str">
            <v/>
          </cell>
          <cell r="J196" t="str">
            <v/>
          </cell>
          <cell r="K196" t="str">
            <v/>
          </cell>
          <cell r="L196" t="str">
            <v/>
          </cell>
          <cell r="M196" t="str">
            <v>281700</v>
          </cell>
        </row>
        <row r="197">
          <cell r="A197" t="str">
            <v>16020500</v>
          </cell>
          <cell r="B197" t="str">
            <v>19/01/01..19/12/31</v>
          </cell>
          <cell r="C197" t="str">
            <v>Accu.Depr._IT Equipment</v>
          </cell>
          <cell r="D197" t="str">
            <v>累计折旧-IT设备</v>
          </cell>
          <cell r="E197" t="str">
            <v>Balance Sheet</v>
          </cell>
          <cell r="F197" t="str">
            <v>Posting</v>
          </cell>
          <cell r="G197" t="str">
            <v>No</v>
          </cell>
          <cell r="H197" t="str">
            <v/>
          </cell>
          <cell r="I197">
            <v>-744275.46</v>
          </cell>
          <cell r="J197" t="str">
            <v/>
          </cell>
          <cell r="K197">
            <v>744275.46</v>
          </cell>
          <cell r="L197">
            <v>-1749850.94</v>
          </cell>
          <cell r="M197" t="str">
            <v>281700</v>
          </cell>
        </row>
        <row r="198">
          <cell r="A198" t="str">
            <v>16029999</v>
          </cell>
          <cell r="B198" t="str">
            <v>19/01/01..19/12/31</v>
          </cell>
          <cell r="C198" t="str">
            <v>Accumulated Depreciation_Total</v>
          </cell>
          <cell r="D198" t="str">
            <v>累计折旧-合计</v>
          </cell>
          <cell r="E198" t="str">
            <v>Balance Sheet</v>
          </cell>
          <cell r="F198" t="str">
            <v>End-Total</v>
          </cell>
          <cell r="G198" t="str">
            <v>No</v>
          </cell>
          <cell r="H198" t="str">
            <v>16020000..16029999</v>
          </cell>
          <cell r="I198">
            <v>-27591924.5</v>
          </cell>
          <cell r="J198">
            <v>203617.54</v>
          </cell>
          <cell r="K198">
            <v>27795542.039999999</v>
          </cell>
          <cell r="L198">
            <v>-84819847.409999996</v>
          </cell>
          <cell r="M198" t="str">
            <v/>
          </cell>
        </row>
        <row r="199">
          <cell r="A199" t="str">
            <v>16030000</v>
          </cell>
          <cell r="B199" t="str">
            <v>19/01/01..19/12/31</v>
          </cell>
          <cell r="C199" t="str">
            <v>Fixed Assets Impairment</v>
          </cell>
          <cell r="D199" t="str">
            <v>固定资产减值准备</v>
          </cell>
          <cell r="E199" t="str">
            <v>Balance Sheet</v>
          </cell>
          <cell r="F199" t="str">
            <v>Begin-Total</v>
          </cell>
          <cell r="G199" t="str">
            <v>No</v>
          </cell>
          <cell r="H199" t="str">
            <v/>
          </cell>
          <cell r="I199" t="str">
            <v/>
          </cell>
          <cell r="J199" t="str">
            <v/>
          </cell>
          <cell r="K199" t="str">
            <v/>
          </cell>
          <cell r="L199" t="str">
            <v/>
          </cell>
          <cell r="M199" t="str">
            <v/>
          </cell>
        </row>
        <row r="200">
          <cell r="A200" t="str">
            <v>16030100</v>
          </cell>
          <cell r="B200" t="str">
            <v>19/01/01..19/12/31</v>
          </cell>
          <cell r="C200" t="str">
            <v>FA Impairment_Building</v>
          </cell>
          <cell r="D200" t="str">
            <v>固定资产减值准备-厂房及建筑物</v>
          </cell>
          <cell r="E200" t="str">
            <v>Balance Sheet</v>
          </cell>
          <cell r="F200" t="str">
            <v>Posting</v>
          </cell>
          <cell r="G200" t="str">
            <v>Yes</v>
          </cell>
          <cell r="H200" t="str">
            <v/>
          </cell>
          <cell r="I200" t="str">
            <v/>
          </cell>
          <cell r="J200" t="str">
            <v/>
          </cell>
          <cell r="K200" t="str">
            <v/>
          </cell>
          <cell r="L200" t="str">
            <v/>
          </cell>
          <cell r="M200" t="str">
            <v>291300</v>
          </cell>
        </row>
        <row r="201">
          <cell r="A201" t="str">
            <v>16030200</v>
          </cell>
          <cell r="B201" t="str">
            <v>19/01/01..19/12/31</v>
          </cell>
          <cell r="C201" t="str">
            <v>FA Impairment_Machine</v>
          </cell>
          <cell r="D201" t="str">
            <v>固定资产减值准备-机器设备</v>
          </cell>
          <cell r="E201" t="str">
            <v>Balance Sheet</v>
          </cell>
          <cell r="F201" t="str">
            <v>Posting</v>
          </cell>
          <cell r="G201" t="str">
            <v>Yes</v>
          </cell>
          <cell r="H201" t="str">
            <v/>
          </cell>
          <cell r="I201" t="str">
            <v/>
          </cell>
          <cell r="J201" t="str">
            <v/>
          </cell>
          <cell r="K201" t="str">
            <v/>
          </cell>
          <cell r="L201" t="str">
            <v/>
          </cell>
          <cell r="M201" t="str">
            <v>291500</v>
          </cell>
        </row>
        <row r="202">
          <cell r="A202" t="str">
            <v>16030300</v>
          </cell>
          <cell r="B202" t="str">
            <v>19/01/01..19/12/31</v>
          </cell>
          <cell r="C202" t="str">
            <v>FA Impairment_Office Equipment</v>
          </cell>
          <cell r="D202" t="str">
            <v>固定资产减值准备-办公设备</v>
          </cell>
          <cell r="E202" t="str">
            <v>Balance Sheet</v>
          </cell>
          <cell r="F202" t="str">
            <v>Posting</v>
          </cell>
          <cell r="G202" t="str">
            <v>Yes</v>
          </cell>
          <cell r="H202" t="str">
            <v/>
          </cell>
          <cell r="I202" t="str">
            <v/>
          </cell>
          <cell r="J202" t="str">
            <v/>
          </cell>
          <cell r="K202" t="str">
            <v/>
          </cell>
          <cell r="L202" t="str">
            <v/>
          </cell>
          <cell r="M202" t="str">
            <v>291700</v>
          </cell>
        </row>
        <row r="203">
          <cell r="A203" t="str">
            <v>16030400</v>
          </cell>
          <cell r="B203" t="str">
            <v>19/01/01..19/12/31</v>
          </cell>
          <cell r="C203" t="str">
            <v>FA Impairment_Vehicle</v>
          </cell>
          <cell r="D203" t="str">
            <v>固定资产减值准备-运输工具</v>
          </cell>
          <cell r="E203" t="str">
            <v>Balance Sheet</v>
          </cell>
          <cell r="F203" t="str">
            <v>Posting</v>
          </cell>
          <cell r="G203" t="str">
            <v>Yes</v>
          </cell>
          <cell r="H203" t="str">
            <v/>
          </cell>
          <cell r="I203" t="str">
            <v/>
          </cell>
          <cell r="J203" t="str">
            <v/>
          </cell>
          <cell r="K203" t="str">
            <v/>
          </cell>
          <cell r="L203" t="str">
            <v/>
          </cell>
          <cell r="M203" t="str">
            <v>291700</v>
          </cell>
        </row>
        <row r="204">
          <cell r="A204" t="str">
            <v>16030500</v>
          </cell>
          <cell r="B204" t="str">
            <v>19/01/01..19/12/31</v>
          </cell>
          <cell r="C204" t="str">
            <v>FA Impairment_IT Equipment</v>
          </cell>
          <cell r="D204" t="str">
            <v>固定资产减值准备-IT设备</v>
          </cell>
          <cell r="E204" t="str">
            <v>Balance Sheet</v>
          </cell>
          <cell r="F204" t="str">
            <v>Posting</v>
          </cell>
          <cell r="G204" t="str">
            <v>Yes</v>
          </cell>
          <cell r="H204" t="str">
            <v/>
          </cell>
          <cell r="I204" t="str">
            <v/>
          </cell>
          <cell r="J204" t="str">
            <v/>
          </cell>
          <cell r="K204" t="str">
            <v/>
          </cell>
          <cell r="L204" t="str">
            <v/>
          </cell>
          <cell r="M204" t="str">
            <v>291700</v>
          </cell>
        </row>
        <row r="205">
          <cell r="A205" t="str">
            <v>16039999</v>
          </cell>
          <cell r="B205" t="str">
            <v>19/01/01..19/12/31</v>
          </cell>
          <cell r="C205" t="str">
            <v>Fixed Assets Impairment_Total</v>
          </cell>
          <cell r="D205" t="str">
            <v>固定F资产减值准备-合计</v>
          </cell>
          <cell r="E205" t="str">
            <v>Balance Sheet</v>
          </cell>
          <cell r="F205" t="str">
            <v>End-Total</v>
          </cell>
          <cell r="G205" t="str">
            <v>No</v>
          </cell>
          <cell r="H205" t="str">
            <v>16030000..16039999</v>
          </cell>
          <cell r="I205" t="str">
            <v/>
          </cell>
          <cell r="J205" t="str">
            <v/>
          </cell>
          <cell r="K205" t="str">
            <v/>
          </cell>
          <cell r="L205" t="str">
            <v/>
          </cell>
          <cell r="M205" t="str">
            <v/>
          </cell>
        </row>
        <row r="206">
          <cell r="A206" t="str">
            <v>16041000</v>
          </cell>
          <cell r="B206" t="str">
            <v>19/01/01..19/12/31</v>
          </cell>
          <cell r="C206" t="str">
            <v>Construction In Progress</v>
          </cell>
          <cell r="D206" t="str">
            <v>在建工程</v>
          </cell>
          <cell r="E206" t="str">
            <v>Balance Sheet</v>
          </cell>
          <cell r="F206" t="str">
            <v>Posting</v>
          </cell>
          <cell r="G206" t="str">
            <v>Yes</v>
          </cell>
          <cell r="H206" t="str">
            <v/>
          </cell>
          <cell r="I206">
            <v>-10081902.59</v>
          </cell>
          <cell r="J206">
            <v>6550743.6699999999</v>
          </cell>
          <cell r="K206">
            <v>16632646.26</v>
          </cell>
          <cell r="L206">
            <v>11867322.99</v>
          </cell>
          <cell r="M206" t="str">
            <v>218000</v>
          </cell>
        </row>
        <row r="207">
          <cell r="A207" t="str">
            <v>16042000</v>
          </cell>
          <cell r="B207" t="str">
            <v>19/01/01..19/12/31</v>
          </cell>
          <cell r="C207" t="str">
            <v>CIP Impairment</v>
          </cell>
          <cell r="D207" t="str">
            <v>在建工程减值准备</v>
          </cell>
          <cell r="E207" t="str">
            <v>Balance Sheet</v>
          </cell>
          <cell r="F207" t="str">
            <v>Posting</v>
          </cell>
          <cell r="G207" t="str">
            <v>Yes</v>
          </cell>
          <cell r="H207" t="str">
            <v/>
          </cell>
          <cell r="I207">
            <v>-10781699.77</v>
          </cell>
          <cell r="J207" t="str">
            <v/>
          </cell>
          <cell r="K207">
            <v>10781699.77</v>
          </cell>
          <cell r="L207">
            <v>-10781699.77</v>
          </cell>
          <cell r="M207" t="str">
            <v>291800</v>
          </cell>
        </row>
        <row r="208">
          <cell r="A208" t="str">
            <v>16050000</v>
          </cell>
          <cell r="B208" t="str">
            <v>19/01/01..19/12/31</v>
          </cell>
          <cell r="C208" t="str">
            <v>Engineering Materials</v>
          </cell>
          <cell r="D208" t="str">
            <v>工程物资</v>
          </cell>
          <cell r="E208" t="str">
            <v>Balance Sheet</v>
          </cell>
          <cell r="F208" t="str">
            <v>Posting</v>
          </cell>
          <cell r="G208" t="str">
            <v>Yes</v>
          </cell>
          <cell r="H208" t="str">
            <v/>
          </cell>
          <cell r="I208" t="str">
            <v/>
          </cell>
          <cell r="J208" t="str">
            <v/>
          </cell>
          <cell r="K208" t="str">
            <v/>
          </cell>
          <cell r="L208" t="str">
            <v/>
          </cell>
          <cell r="M208" t="str">
            <v>218000</v>
          </cell>
        </row>
        <row r="209">
          <cell r="A209" t="str">
            <v>16060000</v>
          </cell>
          <cell r="B209" t="str">
            <v>19/01/01..19/12/31</v>
          </cell>
          <cell r="C209" t="str">
            <v>Disposal of Fixed Assets</v>
          </cell>
          <cell r="D209" t="str">
            <v>固定资产清理</v>
          </cell>
          <cell r="E209" t="str">
            <v>Balance Sheet</v>
          </cell>
          <cell r="F209" t="str">
            <v>Posting</v>
          </cell>
          <cell r="G209" t="str">
            <v>Yes</v>
          </cell>
          <cell r="H209" t="str">
            <v/>
          </cell>
          <cell r="I209" t="str">
            <v/>
          </cell>
          <cell r="J209">
            <v>797295.22</v>
          </cell>
          <cell r="K209">
            <v>797295.22</v>
          </cell>
          <cell r="L209" t="str">
            <v/>
          </cell>
          <cell r="M209" t="str">
            <v>219999</v>
          </cell>
        </row>
        <row r="210">
          <cell r="A210" t="str">
            <v>17010000</v>
          </cell>
          <cell r="B210" t="str">
            <v>19/01/01..19/12/31</v>
          </cell>
          <cell r="C210" t="str">
            <v>Intangible Assets O.V.</v>
          </cell>
          <cell r="D210" t="str">
            <v>无形资产原值</v>
          </cell>
          <cell r="E210" t="str">
            <v>Balance Sheet</v>
          </cell>
          <cell r="F210" t="str">
            <v>Begin-Total</v>
          </cell>
          <cell r="G210" t="str">
            <v>No</v>
          </cell>
          <cell r="H210" t="str">
            <v/>
          </cell>
          <cell r="I210" t="str">
            <v/>
          </cell>
          <cell r="J210" t="str">
            <v/>
          </cell>
          <cell r="K210" t="str">
            <v/>
          </cell>
          <cell r="L210" t="str">
            <v/>
          </cell>
          <cell r="M210" t="str">
            <v/>
          </cell>
        </row>
        <row r="211">
          <cell r="A211" t="str">
            <v>17010100</v>
          </cell>
          <cell r="B211" t="str">
            <v>19/01/01..19/12/31</v>
          </cell>
          <cell r="C211" t="str">
            <v>land use right</v>
          </cell>
          <cell r="D211" t="str">
            <v>无形资产-土地使用权</v>
          </cell>
          <cell r="E211" t="str">
            <v>Balance Sheet</v>
          </cell>
          <cell r="F211" t="str">
            <v>Posting</v>
          </cell>
          <cell r="G211" t="str">
            <v>Yes</v>
          </cell>
          <cell r="H211" t="str">
            <v/>
          </cell>
          <cell r="I211" t="str">
            <v/>
          </cell>
          <cell r="J211" t="str">
            <v/>
          </cell>
          <cell r="K211" t="str">
            <v/>
          </cell>
          <cell r="L211">
            <v>52119279.060000002</v>
          </cell>
          <cell r="M211" t="str">
            <v>208700</v>
          </cell>
        </row>
        <row r="212">
          <cell r="A212" t="str">
            <v>17010200</v>
          </cell>
          <cell r="B212" t="str">
            <v>19/01/01..19/12/31</v>
          </cell>
          <cell r="C212" t="str">
            <v>Patents &amp; patent rights</v>
          </cell>
          <cell r="D212" t="str">
            <v>无形资产-工业产权及专有技术</v>
          </cell>
          <cell r="E212" t="str">
            <v>Balance Sheet</v>
          </cell>
          <cell r="F212" t="str">
            <v>Posting</v>
          </cell>
          <cell r="G212" t="str">
            <v>Yes</v>
          </cell>
          <cell r="H212" t="str">
            <v/>
          </cell>
          <cell r="I212" t="str">
            <v/>
          </cell>
          <cell r="J212" t="str">
            <v/>
          </cell>
          <cell r="K212" t="str">
            <v/>
          </cell>
          <cell r="L212" t="str">
            <v/>
          </cell>
          <cell r="M212" t="str">
            <v>208300</v>
          </cell>
        </row>
        <row r="213">
          <cell r="A213" t="str">
            <v>17010300</v>
          </cell>
          <cell r="B213" t="str">
            <v>19/01/01..19/12/31</v>
          </cell>
          <cell r="C213" t="str">
            <v>Softwares (acquired)</v>
          </cell>
          <cell r="D213" t="str">
            <v>无形资产-软件（外购）</v>
          </cell>
          <cell r="E213" t="str">
            <v>Balance Sheet</v>
          </cell>
          <cell r="F213" t="str">
            <v>Posting</v>
          </cell>
          <cell r="G213" t="str">
            <v>Yes</v>
          </cell>
          <cell r="H213" t="str">
            <v/>
          </cell>
          <cell r="I213" t="str">
            <v/>
          </cell>
          <cell r="J213" t="str">
            <v/>
          </cell>
          <cell r="K213" t="str">
            <v/>
          </cell>
          <cell r="L213">
            <v>322390.43</v>
          </cell>
          <cell r="M213" t="str">
            <v>208100</v>
          </cell>
        </row>
        <row r="214">
          <cell r="A214" t="str">
            <v>17019999</v>
          </cell>
          <cell r="B214" t="str">
            <v>19/01/01..19/12/31</v>
          </cell>
          <cell r="C214" t="str">
            <v>Intangible Assets O.V._Total</v>
          </cell>
          <cell r="D214" t="str">
            <v>无形资产原值-合计</v>
          </cell>
          <cell r="E214" t="str">
            <v>Balance Sheet</v>
          </cell>
          <cell r="F214" t="str">
            <v>End-Total</v>
          </cell>
          <cell r="G214" t="str">
            <v>No</v>
          </cell>
          <cell r="H214" t="str">
            <v>17010000..17019999</v>
          </cell>
          <cell r="I214" t="str">
            <v/>
          </cell>
          <cell r="J214" t="str">
            <v/>
          </cell>
          <cell r="K214" t="str">
            <v/>
          </cell>
          <cell r="L214">
            <v>52441669.490000002</v>
          </cell>
          <cell r="M214" t="str">
            <v/>
          </cell>
        </row>
        <row r="215">
          <cell r="A215" t="str">
            <v>17020000</v>
          </cell>
          <cell r="B215" t="str">
            <v>19/01/01..19/12/31</v>
          </cell>
          <cell r="C215" t="str">
            <v>Amortization</v>
          </cell>
          <cell r="D215" t="str">
            <v>累计摊销</v>
          </cell>
          <cell r="E215" t="str">
            <v>Balance Sheet</v>
          </cell>
          <cell r="F215" t="str">
            <v>Begin-Total</v>
          </cell>
          <cell r="G215" t="str">
            <v>No</v>
          </cell>
          <cell r="H215" t="str">
            <v/>
          </cell>
          <cell r="I215" t="str">
            <v/>
          </cell>
          <cell r="J215" t="str">
            <v/>
          </cell>
          <cell r="K215" t="str">
            <v/>
          </cell>
          <cell r="L215" t="str">
            <v/>
          </cell>
          <cell r="M215" t="str">
            <v/>
          </cell>
        </row>
        <row r="216">
          <cell r="A216" t="str">
            <v>17020100</v>
          </cell>
          <cell r="B216" t="str">
            <v>19/01/01..19/12/31</v>
          </cell>
          <cell r="C216" t="str">
            <v xml:space="preserve">Amort._land use rights </v>
          </cell>
          <cell r="D216" t="str">
            <v>累计摊销-土地使用权</v>
          </cell>
          <cell r="E216" t="str">
            <v>Balance Sheet</v>
          </cell>
          <cell r="F216" t="str">
            <v>Posting</v>
          </cell>
          <cell r="G216" t="str">
            <v>Yes</v>
          </cell>
          <cell r="H216" t="str">
            <v/>
          </cell>
          <cell r="I216">
            <v>-1108921.32</v>
          </cell>
          <cell r="J216" t="str">
            <v/>
          </cell>
          <cell r="K216">
            <v>1108921.32</v>
          </cell>
          <cell r="L216">
            <v>-3881223.42</v>
          </cell>
          <cell r="M216" t="str">
            <v>280700</v>
          </cell>
        </row>
        <row r="217">
          <cell r="A217" t="str">
            <v>17020200</v>
          </cell>
          <cell r="B217" t="str">
            <v>19/01/01..19/12/31</v>
          </cell>
          <cell r="C217" t="str">
            <v>Amort._Patents &amp; patent rights</v>
          </cell>
          <cell r="D217" t="str">
            <v>累计摊销-专有技术</v>
          </cell>
          <cell r="E217" t="str">
            <v>Balance Sheet</v>
          </cell>
          <cell r="F217" t="str">
            <v>Posting</v>
          </cell>
          <cell r="G217" t="str">
            <v>Yes</v>
          </cell>
          <cell r="H217" t="str">
            <v/>
          </cell>
          <cell r="I217" t="str">
            <v/>
          </cell>
          <cell r="J217" t="str">
            <v/>
          </cell>
          <cell r="K217" t="str">
            <v/>
          </cell>
          <cell r="L217" t="str">
            <v/>
          </cell>
          <cell r="M217" t="str">
            <v>280300</v>
          </cell>
        </row>
        <row r="218">
          <cell r="A218" t="str">
            <v>17020300</v>
          </cell>
          <cell r="B218" t="str">
            <v>19/01/01..19/12/31</v>
          </cell>
          <cell r="C218" t="str">
            <v>Amort._Softwares (acquired)</v>
          </cell>
          <cell r="D218" t="str">
            <v>累计摊销-软件（外购）</v>
          </cell>
          <cell r="E218" t="str">
            <v>Balance Sheet</v>
          </cell>
          <cell r="F218" t="str">
            <v>Posting</v>
          </cell>
          <cell r="G218" t="str">
            <v>Yes</v>
          </cell>
          <cell r="H218" t="str">
            <v/>
          </cell>
          <cell r="I218">
            <v>-64478.04</v>
          </cell>
          <cell r="J218" t="str">
            <v/>
          </cell>
          <cell r="K218">
            <v>64478.04</v>
          </cell>
          <cell r="L218">
            <v>-155821.93</v>
          </cell>
          <cell r="M218" t="str">
            <v>280100</v>
          </cell>
        </row>
        <row r="219">
          <cell r="A219" t="str">
            <v>17029999</v>
          </cell>
          <cell r="B219" t="str">
            <v>19/01/01..19/12/31</v>
          </cell>
          <cell r="C219" t="str">
            <v>Amortization_Total</v>
          </cell>
          <cell r="D219" t="str">
            <v>累计摊销-合计</v>
          </cell>
          <cell r="E219" t="str">
            <v>Balance Sheet</v>
          </cell>
          <cell r="F219" t="str">
            <v>End-Total</v>
          </cell>
          <cell r="G219" t="str">
            <v>No</v>
          </cell>
          <cell r="H219" t="str">
            <v>17020000..17029999</v>
          </cell>
          <cell r="I219">
            <v>-1173399.3600000001</v>
          </cell>
          <cell r="J219" t="str">
            <v/>
          </cell>
          <cell r="K219">
            <v>1173399.3600000001</v>
          </cell>
          <cell r="L219">
            <v>-4037045.35</v>
          </cell>
          <cell r="M219" t="str">
            <v/>
          </cell>
        </row>
        <row r="220">
          <cell r="A220" t="str">
            <v>17030000</v>
          </cell>
          <cell r="B220" t="str">
            <v>19/01/01..19/12/31</v>
          </cell>
          <cell r="C220" t="str">
            <v>Intangible Asset Impairment</v>
          </cell>
          <cell r="D220" t="str">
            <v>无形资产减值准备</v>
          </cell>
          <cell r="E220" t="str">
            <v>Balance Sheet</v>
          </cell>
          <cell r="F220" t="str">
            <v>Begin-Total</v>
          </cell>
          <cell r="G220" t="str">
            <v>No</v>
          </cell>
          <cell r="H220" t="str">
            <v/>
          </cell>
          <cell r="I220" t="str">
            <v/>
          </cell>
          <cell r="J220" t="str">
            <v/>
          </cell>
          <cell r="K220" t="str">
            <v/>
          </cell>
          <cell r="L220" t="str">
            <v/>
          </cell>
          <cell r="M220" t="str">
            <v/>
          </cell>
        </row>
        <row r="221">
          <cell r="A221" t="str">
            <v>17030100</v>
          </cell>
          <cell r="B221" t="str">
            <v>19/01/01..19/12/31</v>
          </cell>
          <cell r="C221" t="str">
            <v>Res._land use right</v>
          </cell>
          <cell r="D221" t="str">
            <v>无形资产减值准备-土地使用权</v>
          </cell>
          <cell r="E221" t="str">
            <v>Balance Sheet</v>
          </cell>
          <cell r="F221" t="str">
            <v>Posting</v>
          </cell>
          <cell r="G221" t="str">
            <v>Yes</v>
          </cell>
          <cell r="H221" t="str">
            <v/>
          </cell>
          <cell r="I221" t="str">
            <v/>
          </cell>
          <cell r="J221" t="str">
            <v/>
          </cell>
          <cell r="K221" t="str">
            <v/>
          </cell>
          <cell r="L221" t="str">
            <v/>
          </cell>
          <cell r="M221" t="str">
            <v>290700</v>
          </cell>
        </row>
        <row r="222">
          <cell r="A222" t="str">
            <v>17030200</v>
          </cell>
          <cell r="B222" t="str">
            <v>19/01/01..19/12/31</v>
          </cell>
          <cell r="C222" t="str">
            <v>Res._Patents &amp; patent rights</v>
          </cell>
          <cell r="D222" t="str">
            <v>无形资产减值准备-专有技术</v>
          </cell>
          <cell r="E222" t="str">
            <v>Balance Sheet</v>
          </cell>
          <cell r="F222" t="str">
            <v>Posting</v>
          </cell>
          <cell r="G222" t="str">
            <v>Yes</v>
          </cell>
          <cell r="H222" t="str">
            <v/>
          </cell>
          <cell r="I222" t="str">
            <v/>
          </cell>
          <cell r="J222" t="str">
            <v/>
          </cell>
          <cell r="K222" t="str">
            <v/>
          </cell>
          <cell r="L222" t="str">
            <v/>
          </cell>
          <cell r="M222" t="str">
            <v>290300</v>
          </cell>
        </row>
        <row r="223">
          <cell r="A223" t="str">
            <v>17030300</v>
          </cell>
          <cell r="B223" t="str">
            <v>19/01/01..19/12/31</v>
          </cell>
          <cell r="C223" t="str">
            <v>Res._Softwares (acquired)</v>
          </cell>
          <cell r="D223" t="str">
            <v>无形资产减值准备-软件</v>
          </cell>
          <cell r="E223" t="str">
            <v>Balance Sheet</v>
          </cell>
          <cell r="F223" t="str">
            <v>Posting</v>
          </cell>
          <cell r="G223" t="str">
            <v>Yes</v>
          </cell>
          <cell r="H223" t="str">
            <v/>
          </cell>
          <cell r="I223" t="str">
            <v/>
          </cell>
          <cell r="J223" t="str">
            <v/>
          </cell>
          <cell r="K223" t="str">
            <v/>
          </cell>
          <cell r="L223" t="str">
            <v/>
          </cell>
          <cell r="M223" t="str">
            <v>290100</v>
          </cell>
        </row>
        <row r="224">
          <cell r="A224" t="str">
            <v>17039999</v>
          </cell>
          <cell r="B224" t="str">
            <v>19/01/01..19/12/31</v>
          </cell>
          <cell r="C224" t="str">
            <v>Intan. Asset  Impairment_Total</v>
          </cell>
          <cell r="D224" t="str">
            <v>无形资产减值准备-合计</v>
          </cell>
          <cell r="E224" t="str">
            <v>Balance Sheet</v>
          </cell>
          <cell r="F224" t="str">
            <v>End-Total</v>
          </cell>
          <cell r="G224" t="str">
            <v>No</v>
          </cell>
          <cell r="H224" t="str">
            <v>17030000..17039999</v>
          </cell>
          <cell r="I224" t="str">
            <v/>
          </cell>
          <cell r="J224" t="str">
            <v/>
          </cell>
          <cell r="K224" t="str">
            <v/>
          </cell>
          <cell r="L224" t="str">
            <v/>
          </cell>
          <cell r="M224" t="str">
            <v/>
          </cell>
        </row>
        <row r="225">
          <cell r="A225" t="str">
            <v>17110000</v>
          </cell>
          <cell r="B225" t="str">
            <v>19/01/01..19/12/31</v>
          </cell>
          <cell r="C225" t="str">
            <v>Goodwill</v>
          </cell>
          <cell r="D225" t="str">
            <v>商誉</v>
          </cell>
          <cell r="E225" t="str">
            <v>Balance Sheet</v>
          </cell>
          <cell r="F225" t="str">
            <v>Posting</v>
          </cell>
          <cell r="G225" t="str">
            <v>Yes</v>
          </cell>
          <cell r="H225" t="str">
            <v/>
          </cell>
          <cell r="I225" t="str">
            <v/>
          </cell>
          <cell r="J225" t="str">
            <v/>
          </cell>
          <cell r="K225" t="str">
            <v/>
          </cell>
          <cell r="L225" t="str">
            <v/>
          </cell>
          <cell r="M225" t="str">
            <v>202000</v>
          </cell>
        </row>
        <row r="226">
          <cell r="A226" t="str">
            <v>18010000</v>
          </cell>
          <cell r="B226" t="str">
            <v>19/01/01..19/12/31</v>
          </cell>
          <cell r="C226" t="str">
            <v>Long-term deferred expenses</v>
          </cell>
          <cell r="D226" t="str">
            <v>长期待摊费用</v>
          </cell>
          <cell r="E226" t="str">
            <v>Balance Sheet</v>
          </cell>
          <cell r="F226" t="str">
            <v>Posting</v>
          </cell>
          <cell r="G226" t="str">
            <v>Yes</v>
          </cell>
          <cell r="H226" t="str">
            <v/>
          </cell>
          <cell r="I226" t="str">
            <v/>
          </cell>
          <cell r="J226" t="str">
            <v/>
          </cell>
          <cell r="K226" t="str">
            <v/>
          </cell>
          <cell r="L226" t="str">
            <v/>
          </cell>
          <cell r="M226" t="str">
            <v>208700</v>
          </cell>
        </row>
        <row r="227">
          <cell r="A227" t="str">
            <v>18110000</v>
          </cell>
          <cell r="B227" t="str">
            <v>19/01/01..19/12/31</v>
          </cell>
          <cell r="C227" t="str">
            <v>Deferred income tax asset</v>
          </cell>
          <cell r="D227" t="str">
            <v>递延所得税资产</v>
          </cell>
          <cell r="E227" t="str">
            <v>Balance Sheet</v>
          </cell>
          <cell r="F227" t="str">
            <v>Posting</v>
          </cell>
          <cell r="G227" t="str">
            <v>Yes</v>
          </cell>
          <cell r="H227" t="str">
            <v/>
          </cell>
          <cell r="I227">
            <v>-2292000</v>
          </cell>
          <cell r="J227">
            <v>7799000</v>
          </cell>
          <cell r="K227">
            <v>10091000</v>
          </cell>
          <cell r="L227">
            <v>13823000</v>
          </cell>
          <cell r="M227" t="str">
            <v>155110</v>
          </cell>
        </row>
        <row r="228">
          <cell r="A228" t="str">
            <v>19010000</v>
          </cell>
          <cell r="B228" t="str">
            <v>19/01/01..19/12/31</v>
          </cell>
          <cell r="C228" t="str">
            <v>Pending Disposals</v>
          </cell>
          <cell r="D228" t="str">
            <v>待处理财产损溢</v>
          </cell>
          <cell r="E228" t="str">
            <v>Balance Sheet</v>
          </cell>
          <cell r="F228" t="str">
            <v>Posting</v>
          </cell>
          <cell r="G228" t="str">
            <v>Yes</v>
          </cell>
          <cell r="H228" t="str">
            <v/>
          </cell>
          <cell r="I228">
            <v>-5767938.21</v>
          </cell>
          <cell r="J228">
            <v>401505885.45999998</v>
          </cell>
          <cell r="K228">
            <v>407273823.67000002</v>
          </cell>
          <cell r="L228">
            <v>-5767938.21</v>
          </cell>
          <cell r="M228" t="str">
            <v>350000</v>
          </cell>
        </row>
        <row r="229">
          <cell r="A229" t="str">
            <v>19020000</v>
          </cell>
          <cell r="B229" t="str">
            <v>19/01/01..19/12/31</v>
          </cell>
          <cell r="C229" t="str">
            <v>Other Non-current Assets</v>
          </cell>
          <cell r="D229" t="str">
            <v>其他非流动资产</v>
          </cell>
          <cell r="E229" t="str">
            <v>Balance Sheet</v>
          </cell>
          <cell r="F229" t="str">
            <v>Total</v>
          </cell>
          <cell r="G229" t="str">
            <v>No</v>
          </cell>
          <cell r="H229" t="str">
            <v>32010102|32010202|32010302</v>
          </cell>
          <cell r="I229" t="str">
            <v/>
          </cell>
          <cell r="J229" t="str">
            <v/>
          </cell>
          <cell r="K229" t="str">
            <v/>
          </cell>
          <cell r="L229" t="str">
            <v/>
          </cell>
          <cell r="M229" t="str">
            <v/>
          </cell>
        </row>
        <row r="230">
          <cell r="A230" t="str">
            <v>19099999</v>
          </cell>
          <cell r="B230" t="str">
            <v>19/01/01..19/12/31</v>
          </cell>
          <cell r="C230" t="str">
            <v>Non-current Assets_Total</v>
          </cell>
          <cell r="D230" t="str">
            <v>非流动资产-合计</v>
          </cell>
          <cell r="E230" t="str">
            <v>Balance Sheet</v>
          </cell>
          <cell r="F230" t="str">
            <v>End-Total</v>
          </cell>
          <cell r="G230" t="str">
            <v>No</v>
          </cell>
          <cell r="H230" t="str">
            <v>15000100..19099999</v>
          </cell>
          <cell r="I230">
            <v>-46204599.420000002</v>
          </cell>
          <cell r="J230">
            <v>429341719.66000003</v>
          </cell>
          <cell r="K230">
            <v>475546319.07999998</v>
          </cell>
          <cell r="L230">
            <v>372501591.91000003</v>
          </cell>
          <cell r="M230" t="str">
            <v/>
          </cell>
        </row>
        <row r="231">
          <cell r="A231" t="str">
            <v>19999999</v>
          </cell>
          <cell r="B231" t="str">
            <v>19/01/01..19/12/31</v>
          </cell>
          <cell r="C231" t="str">
            <v>Assets_Total</v>
          </cell>
          <cell r="D231" t="str">
            <v>资产-合计</v>
          </cell>
          <cell r="E231" t="str">
            <v>Balance Sheet</v>
          </cell>
          <cell r="F231" t="str">
            <v>Total</v>
          </cell>
          <cell r="G231" t="str">
            <v>No</v>
          </cell>
          <cell r="H231" t="str">
            <v>10000000..19999999</v>
          </cell>
          <cell r="I231">
            <v>49079198.670000002</v>
          </cell>
          <cell r="J231">
            <v>3653487772765.5801</v>
          </cell>
          <cell r="K231">
            <v>3653438693566.9102</v>
          </cell>
          <cell r="L231">
            <v>778903719.07000005</v>
          </cell>
          <cell r="M231" t="str">
            <v/>
          </cell>
        </row>
        <row r="232">
          <cell r="A232" t="str">
            <v>20000000</v>
          </cell>
          <cell r="B232" t="str">
            <v>19/01/01..19/12/31</v>
          </cell>
          <cell r="C232" t="str">
            <v>Liability and Equity</v>
          </cell>
          <cell r="D232" t="str">
            <v>负债和所有者权益</v>
          </cell>
          <cell r="E232" t="str">
            <v>Balance Sheet</v>
          </cell>
          <cell r="F232" t="str">
            <v>Heading</v>
          </cell>
          <cell r="G232" t="str">
            <v>No</v>
          </cell>
          <cell r="H232" t="str">
            <v/>
          </cell>
          <cell r="I232" t="str">
            <v/>
          </cell>
          <cell r="J232" t="str">
            <v/>
          </cell>
          <cell r="K232" t="str">
            <v/>
          </cell>
          <cell r="L232" t="str">
            <v/>
          </cell>
          <cell r="M232" t="str">
            <v/>
          </cell>
        </row>
        <row r="233">
          <cell r="A233" t="str">
            <v>20000001</v>
          </cell>
          <cell r="B233" t="str">
            <v>19/01/01..19/12/31</v>
          </cell>
          <cell r="C233" t="str">
            <v xml:space="preserve">Liability </v>
          </cell>
          <cell r="D233" t="str">
            <v>负债</v>
          </cell>
          <cell r="E233" t="str">
            <v>Balance Sheet</v>
          </cell>
          <cell r="F233" t="str">
            <v>Begin-Total</v>
          </cell>
          <cell r="G233" t="str">
            <v>No</v>
          </cell>
          <cell r="H233" t="str">
            <v/>
          </cell>
          <cell r="I233" t="str">
            <v/>
          </cell>
          <cell r="J233" t="str">
            <v/>
          </cell>
          <cell r="K233" t="str">
            <v/>
          </cell>
          <cell r="L233" t="str">
            <v/>
          </cell>
          <cell r="M233" t="str">
            <v/>
          </cell>
        </row>
        <row r="234">
          <cell r="A234" t="str">
            <v>20000010</v>
          </cell>
          <cell r="B234" t="str">
            <v>19/01/01..19/12/31</v>
          </cell>
          <cell r="C234" t="str">
            <v>Current Liability</v>
          </cell>
          <cell r="D234" t="str">
            <v>流动负债</v>
          </cell>
          <cell r="E234" t="str">
            <v>Balance Sheet</v>
          </cell>
          <cell r="F234" t="str">
            <v>Begin-Total</v>
          </cell>
          <cell r="G234" t="str">
            <v>No</v>
          </cell>
          <cell r="H234" t="str">
            <v/>
          </cell>
          <cell r="I234" t="str">
            <v/>
          </cell>
          <cell r="J234" t="str">
            <v/>
          </cell>
          <cell r="K234" t="str">
            <v/>
          </cell>
          <cell r="L234" t="str">
            <v/>
          </cell>
          <cell r="M234" t="str">
            <v/>
          </cell>
        </row>
        <row r="235">
          <cell r="A235" t="str">
            <v>20010000</v>
          </cell>
          <cell r="B235" t="str">
            <v>19/01/01..19/12/31</v>
          </cell>
          <cell r="C235" t="str">
            <v>Short-term loans</v>
          </cell>
          <cell r="D235" t="str">
            <v>短期借款</v>
          </cell>
          <cell r="E235" t="str">
            <v>Balance Sheet</v>
          </cell>
          <cell r="F235" t="str">
            <v>Begin-Total</v>
          </cell>
          <cell r="G235" t="str">
            <v>No</v>
          </cell>
          <cell r="H235" t="str">
            <v/>
          </cell>
          <cell r="I235" t="str">
            <v/>
          </cell>
          <cell r="J235" t="str">
            <v/>
          </cell>
          <cell r="K235" t="str">
            <v/>
          </cell>
          <cell r="L235" t="str">
            <v/>
          </cell>
          <cell r="M235" t="str">
            <v/>
          </cell>
        </row>
        <row r="236">
          <cell r="A236" t="str">
            <v>20010100</v>
          </cell>
          <cell r="B236" t="str">
            <v>19/01/01..19/12/31</v>
          </cell>
          <cell r="C236" t="str">
            <v>Short-term loans_CNY</v>
          </cell>
          <cell r="D236" t="str">
            <v>短期借款_人民币</v>
          </cell>
          <cell r="E236" t="str">
            <v>Balance Sheet</v>
          </cell>
          <cell r="F236" t="str">
            <v>Begin-Total</v>
          </cell>
          <cell r="G236" t="str">
            <v>No</v>
          </cell>
          <cell r="H236" t="str">
            <v/>
          </cell>
          <cell r="I236" t="str">
            <v/>
          </cell>
          <cell r="J236" t="str">
            <v/>
          </cell>
          <cell r="K236" t="str">
            <v/>
          </cell>
          <cell r="L236" t="str">
            <v/>
          </cell>
          <cell r="M236" t="str">
            <v/>
          </cell>
        </row>
        <row r="237">
          <cell r="A237" t="str">
            <v>20010101</v>
          </cell>
          <cell r="B237" t="str">
            <v>19/01/01..19/12/31</v>
          </cell>
          <cell r="C237" t="str">
            <v>ST loans_CNY_Overdraft</v>
          </cell>
          <cell r="D237" t="str">
            <v>短期借款_人民币_透支</v>
          </cell>
          <cell r="E237" t="str">
            <v>Balance Sheet</v>
          </cell>
          <cell r="F237" t="str">
            <v>Posting</v>
          </cell>
          <cell r="G237" t="str">
            <v>Yes</v>
          </cell>
          <cell r="H237" t="str">
            <v/>
          </cell>
          <cell r="I237" t="str">
            <v/>
          </cell>
          <cell r="J237" t="str">
            <v/>
          </cell>
          <cell r="K237" t="str">
            <v/>
          </cell>
          <cell r="L237" t="str">
            <v/>
          </cell>
          <cell r="M237" t="str">
            <v>510000</v>
          </cell>
        </row>
        <row r="238">
          <cell r="A238" t="str">
            <v>20010102</v>
          </cell>
          <cell r="B238" t="str">
            <v>19/01/01..19/12/31</v>
          </cell>
          <cell r="C238" t="str">
            <v>ST loans_CNY_Others</v>
          </cell>
          <cell r="D238" t="str">
            <v>短期借款_人民币_贷款</v>
          </cell>
          <cell r="E238" t="str">
            <v>Balance Sheet</v>
          </cell>
          <cell r="F238" t="str">
            <v>Posting</v>
          </cell>
          <cell r="G238" t="str">
            <v>Yes</v>
          </cell>
          <cell r="H238" t="str">
            <v/>
          </cell>
          <cell r="I238">
            <v>49000000</v>
          </cell>
          <cell r="J238">
            <v>49000000</v>
          </cell>
          <cell r="K238" t="str">
            <v/>
          </cell>
          <cell r="L238" t="str">
            <v/>
          </cell>
          <cell r="M238" t="str">
            <v>161000</v>
          </cell>
        </row>
        <row r="239">
          <cell r="A239" t="str">
            <v>20010103</v>
          </cell>
          <cell r="B239" t="str">
            <v>19/01/01..19/12/31</v>
          </cell>
          <cell r="C239" t="str">
            <v>ST loans_CNY_cash pool</v>
          </cell>
          <cell r="D239" t="str">
            <v>短期借款_现金池</v>
          </cell>
          <cell r="E239" t="str">
            <v>Balance Sheet</v>
          </cell>
          <cell r="F239" t="str">
            <v>Posting</v>
          </cell>
          <cell r="G239" t="str">
            <v>Yes</v>
          </cell>
          <cell r="H239" t="str">
            <v/>
          </cell>
          <cell r="I239">
            <v>95704415.180000007</v>
          </cell>
          <cell r="J239">
            <v>615585650.39999998</v>
          </cell>
          <cell r="K239">
            <v>519881235.22000003</v>
          </cell>
          <cell r="L239" t="str">
            <v/>
          </cell>
          <cell r="M239" t="str">
            <v>501200</v>
          </cell>
        </row>
        <row r="240">
          <cell r="A240" t="str">
            <v>20010199</v>
          </cell>
          <cell r="B240" t="str">
            <v>19/01/01..19/12/31</v>
          </cell>
          <cell r="C240" t="str">
            <v>Short-term loans_CNY_Total</v>
          </cell>
          <cell r="D240" t="str">
            <v>短期借款_人民币_合计</v>
          </cell>
          <cell r="E240" t="str">
            <v>Balance Sheet</v>
          </cell>
          <cell r="F240" t="str">
            <v>End-Total</v>
          </cell>
          <cell r="G240" t="str">
            <v>No</v>
          </cell>
          <cell r="H240" t="str">
            <v>20010100..20010199</v>
          </cell>
          <cell r="I240">
            <v>144704415.18000001</v>
          </cell>
          <cell r="J240">
            <v>664585650.39999998</v>
          </cell>
          <cell r="K240">
            <v>519881235.22000003</v>
          </cell>
          <cell r="L240" t="str">
            <v/>
          </cell>
          <cell r="M240" t="str">
            <v/>
          </cell>
        </row>
        <row r="241">
          <cell r="A241" t="str">
            <v>20010200</v>
          </cell>
          <cell r="B241" t="str">
            <v>19/01/01..19/12/31</v>
          </cell>
          <cell r="C241" t="str">
            <v>Short-term loans_USD</v>
          </cell>
          <cell r="D241" t="str">
            <v>短期借款_美金</v>
          </cell>
          <cell r="E241" t="str">
            <v>Balance Sheet</v>
          </cell>
          <cell r="F241" t="str">
            <v>Begin-Total</v>
          </cell>
          <cell r="G241" t="str">
            <v>No</v>
          </cell>
          <cell r="H241" t="str">
            <v/>
          </cell>
          <cell r="I241" t="str">
            <v/>
          </cell>
          <cell r="J241" t="str">
            <v/>
          </cell>
          <cell r="K241" t="str">
            <v/>
          </cell>
          <cell r="L241" t="str">
            <v/>
          </cell>
          <cell r="M241" t="str">
            <v/>
          </cell>
        </row>
        <row r="242">
          <cell r="A242" t="str">
            <v>20010201</v>
          </cell>
          <cell r="B242" t="str">
            <v>19/01/01..19/12/31</v>
          </cell>
          <cell r="C242" t="str">
            <v>ST loans_USD_Overdraft</v>
          </cell>
          <cell r="D242" t="str">
            <v>短期借款_美金_透支</v>
          </cell>
          <cell r="E242" t="str">
            <v>Balance Sheet</v>
          </cell>
          <cell r="F242" t="str">
            <v>Posting</v>
          </cell>
          <cell r="G242" t="str">
            <v>Yes</v>
          </cell>
          <cell r="H242" t="str">
            <v/>
          </cell>
          <cell r="I242" t="str">
            <v/>
          </cell>
          <cell r="J242" t="str">
            <v/>
          </cell>
          <cell r="K242" t="str">
            <v/>
          </cell>
          <cell r="L242" t="str">
            <v/>
          </cell>
          <cell r="M242" t="str">
            <v>510000</v>
          </cell>
        </row>
        <row r="243">
          <cell r="A243" t="str">
            <v>20010202</v>
          </cell>
          <cell r="B243" t="str">
            <v>19/01/01..19/12/31</v>
          </cell>
          <cell r="C243" t="str">
            <v>ST loans_USD_Others</v>
          </cell>
          <cell r="D243" t="str">
            <v>短期借款_美金_贷款</v>
          </cell>
          <cell r="E243" t="str">
            <v>Balance Sheet</v>
          </cell>
          <cell r="F243" t="str">
            <v>Posting</v>
          </cell>
          <cell r="G243" t="str">
            <v>Yes</v>
          </cell>
          <cell r="H243" t="str">
            <v/>
          </cell>
          <cell r="I243" t="str">
            <v/>
          </cell>
          <cell r="J243" t="str">
            <v/>
          </cell>
          <cell r="K243" t="str">
            <v/>
          </cell>
          <cell r="L243" t="str">
            <v/>
          </cell>
          <cell r="M243" t="str">
            <v>161000</v>
          </cell>
        </row>
        <row r="244">
          <cell r="A244" t="str">
            <v>20010299</v>
          </cell>
          <cell r="B244" t="str">
            <v>19/01/01..19/12/31</v>
          </cell>
          <cell r="C244" t="str">
            <v>Short-term loans_USD_Total</v>
          </cell>
          <cell r="D244" t="str">
            <v>短期借款_美金_合计</v>
          </cell>
          <cell r="E244" t="str">
            <v>Balance Sheet</v>
          </cell>
          <cell r="F244" t="str">
            <v>End-Total</v>
          </cell>
          <cell r="G244" t="str">
            <v>No</v>
          </cell>
          <cell r="H244" t="str">
            <v>20010200..20010299</v>
          </cell>
          <cell r="I244" t="str">
            <v/>
          </cell>
          <cell r="J244" t="str">
            <v/>
          </cell>
          <cell r="K244" t="str">
            <v/>
          </cell>
          <cell r="L244" t="str">
            <v/>
          </cell>
          <cell r="M244" t="str">
            <v/>
          </cell>
        </row>
        <row r="245">
          <cell r="A245" t="str">
            <v>20010300</v>
          </cell>
          <cell r="B245" t="str">
            <v>19/01/01..19/12/31</v>
          </cell>
          <cell r="C245" t="str">
            <v>Short-term loans_EUR</v>
          </cell>
          <cell r="D245" t="str">
            <v>短期借款_欧元</v>
          </cell>
          <cell r="E245" t="str">
            <v>Balance Sheet</v>
          </cell>
          <cell r="F245" t="str">
            <v>Begin-Total</v>
          </cell>
          <cell r="G245" t="str">
            <v>No</v>
          </cell>
          <cell r="H245" t="str">
            <v/>
          </cell>
          <cell r="I245" t="str">
            <v/>
          </cell>
          <cell r="J245" t="str">
            <v/>
          </cell>
          <cell r="K245" t="str">
            <v/>
          </cell>
          <cell r="L245" t="str">
            <v/>
          </cell>
          <cell r="M245" t="str">
            <v/>
          </cell>
        </row>
        <row r="246">
          <cell r="A246" t="str">
            <v>20010301</v>
          </cell>
          <cell r="B246" t="str">
            <v>19/01/01..19/12/31</v>
          </cell>
          <cell r="C246" t="str">
            <v>ST loans_EUR_Overdraft</v>
          </cell>
          <cell r="D246" t="str">
            <v>短期借款_欧元_透支</v>
          </cell>
          <cell r="E246" t="str">
            <v>Balance Sheet</v>
          </cell>
          <cell r="F246" t="str">
            <v>Posting</v>
          </cell>
          <cell r="G246" t="str">
            <v>Yes</v>
          </cell>
          <cell r="H246" t="str">
            <v/>
          </cell>
          <cell r="I246" t="str">
            <v/>
          </cell>
          <cell r="J246" t="str">
            <v/>
          </cell>
          <cell r="K246" t="str">
            <v/>
          </cell>
          <cell r="L246" t="str">
            <v/>
          </cell>
          <cell r="M246" t="str">
            <v>510000</v>
          </cell>
        </row>
        <row r="247">
          <cell r="A247" t="str">
            <v>20010302</v>
          </cell>
          <cell r="B247" t="str">
            <v>19/01/01..19/12/31</v>
          </cell>
          <cell r="C247" t="str">
            <v>ST loans_EUR_Others</v>
          </cell>
          <cell r="D247" t="str">
            <v>短期借款_欧元_贷款</v>
          </cell>
          <cell r="E247" t="str">
            <v>Balance Sheet</v>
          </cell>
          <cell r="F247" t="str">
            <v>Posting</v>
          </cell>
          <cell r="G247" t="str">
            <v>Yes</v>
          </cell>
          <cell r="H247" t="str">
            <v/>
          </cell>
          <cell r="I247" t="str">
            <v/>
          </cell>
          <cell r="J247" t="str">
            <v/>
          </cell>
          <cell r="K247" t="str">
            <v/>
          </cell>
          <cell r="L247" t="str">
            <v/>
          </cell>
          <cell r="M247" t="str">
            <v>161000</v>
          </cell>
        </row>
        <row r="248">
          <cell r="A248" t="str">
            <v>20010399</v>
          </cell>
          <cell r="B248" t="str">
            <v>19/01/01..19/12/31</v>
          </cell>
          <cell r="C248" t="str">
            <v>Short-term loans_EUR_Total</v>
          </cell>
          <cell r="D248" t="str">
            <v>短期借款_欧元_合计</v>
          </cell>
          <cell r="E248" t="str">
            <v>Balance Sheet</v>
          </cell>
          <cell r="F248" t="str">
            <v>End-Total</v>
          </cell>
          <cell r="G248" t="str">
            <v>No</v>
          </cell>
          <cell r="H248" t="str">
            <v>20010300..20010399</v>
          </cell>
          <cell r="I248" t="str">
            <v/>
          </cell>
          <cell r="J248" t="str">
            <v/>
          </cell>
          <cell r="K248" t="str">
            <v/>
          </cell>
          <cell r="L248" t="str">
            <v/>
          </cell>
          <cell r="M248" t="str">
            <v/>
          </cell>
        </row>
        <row r="249">
          <cell r="A249" t="str">
            <v>20019999</v>
          </cell>
          <cell r="B249" t="str">
            <v>19/01/01..19/12/31</v>
          </cell>
          <cell r="C249" t="str">
            <v>Short-term loans_Total</v>
          </cell>
          <cell r="D249" t="str">
            <v>短期借款_合计</v>
          </cell>
          <cell r="E249" t="str">
            <v>Balance Sheet</v>
          </cell>
          <cell r="F249" t="str">
            <v>End-Total</v>
          </cell>
          <cell r="G249" t="str">
            <v>No</v>
          </cell>
          <cell r="H249" t="str">
            <v>20010000..20019999</v>
          </cell>
          <cell r="I249">
            <v>144704415.18000001</v>
          </cell>
          <cell r="J249">
            <v>664585650.39999998</v>
          </cell>
          <cell r="K249">
            <v>519881235.22000003</v>
          </cell>
          <cell r="L249" t="str">
            <v/>
          </cell>
          <cell r="M249" t="str">
            <v/>
          </cell>
        </row>
        <row r="250">
          <cell r="A250" t="str">
            <v>21010000</v>
          </cell>
          <cell r="B250" t="str">
            <v>19/01/01..19/12/31</v>
          </cell>
          <cell r="C250" t="str">
            <v>Financial liabilities</v>
          </cell>
          <cell r="D250" t="str">
            <v>交易性金融负债</v>
          </cell>
          <cell r="E250" t="str">
            <v>Balance Sheet</v>
          </cell>
          <cell r="F250" t="str">
            <v>Posting</v>
          </cell>
          <cell r="G250" t="str">
            <v>Yes</v>
          </cell>
          <cell r="H250" t="str">
            <v/>
          </cell>
          <cell r="I250" t="str">
            <v/>
          </cell>
          <cell r="J250" t="str">
            <v/>
          </cell>
          <cell r="K250" t="str">
            <v/>
          </cell>
          <cell r="L250" t="str">
            <v/>
          </cell>
          <cell r="M250" t="str">
            <v>161700</v>
          </cell>
        </row>
        <row r="251">
          <cell r="A251" t="str">
            <v>22010000</v>
          </cell>
          <cell r="B251" t="str">
            <v>19/01/01..19/12/31</v>
          </cell>
          <cell r="C251" t="str">
            <v>Notes payable</v>
          </cell>
          <cell r="D251" t="str">
            <v>应付票据</v>
          </cell>
          <cell r="E251" t="str">
            <v>Balance Sheet</v>
          </cell>
          <cell r="F251" t="str">
            <v>Begin-Total</v>
          </cell>
          <cell r="G251" t="str">
            <v>No</v>
          </cell>
          <cell r="H251" t="str">
            <v/>
          </cell>
          <cell r="I251" t="str">
            <v/>
          </cell>
          <cell r="J251" t="str">
            <v/>
          </cell>
          <cell r="K251" t="str">
            <v/>
          </cell>
          <cell r="L251" t="str">
            <v/>
          </cell>
          <cell r="M251" t="str">
            <v/>
          </cell>
        </row>
        <row r="252">
          <cell r="A252" t="str">
            <v>22010001</v>
          </cell>
          <cell r="B252" t="str">
            <v>19/01/01..19/12/31</v>
          </cell>
          <cell r="C252" t="str">
            <v>Notes payable_TP</v>
          </cell>
          <cell r="D252" t="str">
            <v>应付票据_第三方</v>
          </cell>
          <cell r="E252" t="str">
            <v>Balance Sheet</v>
          </cell>
          <cell r="F252" t="str">
            <v>Posting</v>
          </cell>
          <cell r="G252" t="str">
            <v>Yes</v>
          </cell>
          <cell r="H252" t="str">
            <v/>
          </cell>
          <cell r="I252" t="str">
            <v/>
          </cell>
          <cell r="J252" t="str">
            <v/>
          </cell>
          <cell r="K252" t="str">
            <v/>
          </cell>
          <cell r="L252" t="str">
            <v/>
          </cell>
          <cell r="M252" t="str">
            <v>161300</v>
          </cell>
        </row>
        <row r="253">
          <cell r="A253" t="str">
            <v>22010002</v>
          </cell>
          <cell r="B253" t="str">
            <v>19/01/01..19/12/31</v>
          </cell>
          <cell r="C253" t="str">
            <v>Notes payable_IC</v>
          </cell>
          <cell r="D253" t="str">
            <v>应付票据_关联方</v>
          </cell>
          <cell r="E253" t="str">
            <v>Balance Sheet</v>
          </cell>
          <cell r="F253" t="str">
            <v>Posting</v>
          </cell>
          <cell r="G253" t="str">
            <v>Yes</v>
          </cell>
          <cell r="H253" t="str">
            <v/>
          </cell>
          <cell r="I253" t="str">
            <v/>
          </cell>
          <cell r="J253" t="str">
            <v/>
          </cell>
          <cell r="K253" t="str">
            <v/>
          </cell>
          <cell r="L253" t="str">
            <v/>
          </cell>
          <cell r="M253" t="str">
            <v>161300</v>
          </cell>
        </row>
        <row r="254">
          <cell r="A254" t="str">
            <v>22019999</v>
          </cell>
          <cell r="B254" t="str">
            <v>19/01/01..19/12/31</v>
          </cell>
          <cell r="C254" t="str">
            <v>Notes payable_Total</v>
          </cell>
          <cell r="D254" t="str">
            <v>应付票据-合计</v>
          </cell>
          <cell r="E254" t="str">
            <v>Balance Sheet</v>
          </cell>
          <cell r="F254" t="str">
            <v>End-Total</v>
          </cell>
          <cell r="G254" t="str">
            <v>No</v>
          </cell>
          <cell r="H254" t="str">
            <v>22010000..22019999</v>
          </cell>
          <cell r="I254" t="str">
            <v/>
          </cell>
          <cell r="J254" t="str">
            <v/>
          </cell>
          <cell r="K254" t="str">
            <v/>
          </cell>
          <cell r="L254" t="str">
            <v/>
          </cell>
          <cell r="M254" t="str">
            <v/>
          </cell>
        </row>
        <row r="255">
          <cell r="A255" t="str">
            <v>22020000</v>
          </cell>
          <cell r="B255" t="str">
            <v>19/01/01..19/12/31</v>
          </cell>
          <cell r="C255" t="str">
            <v>Accounts Payable</v>
          </cell>
          <cell r="D255" t="str">
            <v>应付账款</v>
          </cell>
          <cell r="E255" t="str">
            <v>Balance Sheet</v>
          </cell>
          <cell r="F255" t="str">
            <v>Begin-Total</v>
          </cell>
          <cell r="G255" t="str">
            <v>No</v>
          </cell>
          <cell r="H255" t="str">
            <v/>
          </cell>
          <cell r="I255" t="str">
            <v/>
          </cell>
          <cell r="J255" t="str">
            <v/>
          </cell>
          <cell r="K255" t="str">
            <v/>
          </cell>
          <cell r="L255" t="str">
            <v/>
          </cell>
          <cell r="M255" t="str">
            <v/>
          </cell>
        </row>
        <row r="256">
          <cell r="A256" t="str">
            <v>22020101</v>
          </cell>
          <cell r="B256" t="str">
            <v>19/01/01..19/12/31</v>
          </cell>
          <cell r="C256" t="str">
            <v>Accounts Payable_TP_Domestic</v>
          </cell>
          <cell r="D256" t="str">
            <v>应付账款_第三方_国内</v>
          </cell>
          <cell r="E256" t="str">
            <v>Balance Sheet</v>
          </cell>
          <cell r="F256" t="str">
            <v>Posting</v>
          </cell>
          <cell r="G256" t="str">
            <v>Yes</v>
          </cell>
          <cell r="H256" t="str">
            <v/>
          </cell>
          <cell r="I256">
            <v>-77737712.620000005</v>
          </cell>
          <cell r="J256">
            <v>257954939.81</v>
          </cell>
          <cell r="K256">
            <v>335692652.43000001</v>
          </cell>
          <cell r="L256">
            <v>-122044107.39</v>
          </cell>
          <cell r="M256" t="str">
            <v>400000</v>
          </cell>
        </row>
        <row r="257">
          <cell r="A257" t="str">
            <v>22020102</v>
          </cell>
          <cell r="B257" t="str">
            <v>19/01/01..19/12/31</v>
          </cell>
          <cell r="C257" t="str">
            <v>Accounts Payable_TP_Oversea</v>
          </cell>
          <cell r="D257" t="str">
            <v>应付账款_第三方_国外</v>
          </cell>
          <cell r="E257" t="str">
            <v>Balance Sheet</v>
          </cell>
          <cell r="F257" t="str">
            <v>Posting</v>
          </cell>
          <cell r="G257" t="str">
            <v>Yes</v>
          </cell>
          <cell r="H257" t="str">
            <v/>
          </cell>
          <cell r="I257">
            <v>-1492920.28</v>
          </cell>
          <cell r="J257">
            <v>13597890.65</v>
          </cell>
          <cell r="K257">
            <v>15090810.93</v>
          </cell>
          <cell r="L257">
            <v>-4295394.46</v>
          </cell>
          <cell r="M257" t="str">
            <v>400000</v>
          </cell>
        </row>
        <row r="258">
          <cell r="A258" t="str">
            <v>22020200</v>
          </cell>
          <cell r="B258" t="str">
            <v>19/01/01..19/12/31</v>
          </cell>
          <cell r="C258" t="str">
            <v>Accounts Payable_TP_Reclass</v>
          </cell>
          <cell r="D258" t="str">
            <v>应付账款_第三方_重分类</v>
          </cell>
          <cell r="E258" t="str">
            <v>Balance Sheet</v>
          </cell>
          <cell r="F258" t="str">
            <v>Posting</v>
          </cell>
          <cell r="G258" t="str">
            <v>Yes</v>
          </cell>
          <cell r="H258" t="str">
            <v/>
          </cell>
          <cell r="I258">
            <v>-244249.83</v>
          </cell>
          <cell r="J258">
            <v>37969802.729999997</v>
          </cell>
          <cell r="K258">
            <v>38214052.560000002</v>
          </cell>
          <cell r="L258">
            <v>-2121328.1</v>
          </cell>
          <cell r="M258" t="str">
            <v>400000</v>
          </cell>
        </row>
        <row r="259">
          <cell r="A259" t="str">
            <v>22020301</v>
          </cell>
          <cell r="B259" t="str">
            <v>19/01/01..19/12/31</v>
          </cell>
          <cell r="C259" t="str">
            <v>Accounts Payable_IC_Domestic</v>
          </cell>
          <cell r="D259" t="str">
            <v>应付账款_关联方_国内</v>
          </cell>
          <cell r="E259" t="str">
            <v>Balance Sheet</v>
          </cell>
          <cell r="F259" t="str">
            <v>Posting</v>
          </cell>
          <cell r="G259" t="str">
            <v>Yes</v>
          </cell>
          <cell r="H259" t="str">
            <v/>
          </cell>
          <cell r="I259">
            <v>-34527598.450000003</v>
          </cell>
          <cell r="J259">
            <v>12433437.07</v>
          </cell>
          <cell r="K259">
            <v>46961035.520000003</v>
          </cell>
          <cell r="L259">
            <v>-33623212.200000003</v>
          </cell>
          <cell r="M259" t="str">
            <v>400000</v>
          </cell>
        </row>
        <row r="260">
          <cell r="A260" t="str">
            <v>22020302</v>
          </cell>
          <cell r="B260" t="str">
            <v>19/01/01..19/12/31</v>
          </cell>
          <cell r="C260" t="str">
            <v>Accounts Payable_IC_Oversea</v>
          </cell>
          <cell r="D260" t="str">
            <v>应付账款_关联方_国外</v>
          </cell>
          <cell r="E260" t="str">
            <v>Balance Sheet</v>
          </cell>
          <cell r="F260" t="str">
            <v>Posting</v>
          </cell>
          <cell r="G260" t="str">
            <v>Yes</v>
          </cell>
          <cell r="H260" t="str">
            <v/>
          </cell>
          <cell r="I260">
            <v>-7997822.21</v>
          </cell>
          <cell r="J260">
            <v>98310464.269999996</v>
          </cell>
          <cell r="K260">
            <v>106308286.48</v>
          </cell>
          <cell r="L260">
            <v>-20434067.09</v>
          </cell>
          <cell r="M260" t="str">
            <v>400000</v>
          </cell>
        </row>
        <row r="261">
          <cell r="A261" t="str">
            <v>22020400</v>
          </cell>
          <cell r="B261" t="str">
            <v>19/01/01..19/12/31</v>
          </cell>
          <cell r="C261" t="str">
            <v>Accounts Payable_IC_OOB</v>
          </cell>
          <cell r="D261" t="str">
            <v>应付账款_关联方对账差异</v>
          </cell>
          <cell r="E261" t="str">
            <v>Balance Sheet</v>
          </cell>
          <cell r="F261" t="str">
            <v>Posting</v>
          </cell>
          <cell r="G261" t="str">
            <v>Yes</v>
          </cell>
          <cell r="H261" t="str">
            <v/>
          </cell>
          <cell r="I261" t="str">
            <v/>
          </cell>
          <cell r="J261">
            <v>841442.83</v>
          </cell>
          <cell r="K261">
            <v>841442.83</v>
          </cell>
          <cell r="L261" t="str">
            <v/>
          </cell>
          <cell r="M261" t="str">
            <v>400000</v>
          </cell>
        </row>
        <row r="262">
          <cell r="A262" t="str">
            <v>22020500</v>
          </cell>
          <cell r="B262" t="str">
            <v>19/01/01..19/12/31</v>
          </cell>
          <cell r="C262" t="str">
            <v>Accounts Payable_IC_Reclass</v>
          </cell>
          <cell r="D262" t="str">
            <v>应付账款_关联方_重分类</v>
          </cell>
          <cell r="E262" t="str">
            <v>Balance Sheet</v>
          </cell>
          <cell r="F262" t="str">
            <v>Posting</v>
          </cell>
          <cell r="G262" t="str">
            <v>Yes</v>
          </cell>
          <cell r="H262" t="str">
            <v/>
          </cell>
          <cell r="I262">
            <v>37802793.759999998</v>
          </cell>
          <cell r="J262">
            <v>37802793.759999998</v>
          </cell>
          <cell r="K262" t="str">
            <v/>
          </cell>
          <cell r="L262">
            <v>37802793.759999998</v>
          </cell>
          <cell r="M262" t="str">
            <v>400000</v>
          </cell>
        </row>
        <row r="263">
          <cell r="A263" t="str">
            <v>22020600</v>
          </cell>
          <cell r="B263" t="str">
            <v>19/01/01..19/12/31</v>
          </cell>
          <cell r="C263" t="str">
            <v>Accounts Payable_Accruals</v>
          </cell>
          <cell r="D263" t="str">
            <v>应付账款_暂估</v>
          </cell>
          <cell r="E263" t="str">
            <v>Balance Sheet</v>
          </cell>
          <cell r="F263" t="str">
            <v>Begin-Total</v>
          </cell>
          <cell r="G263" t="str">
            <v>No</v>
          </cell>
          <cell r="H263" t="str">
            <v/>
          </cell>
          <cell r="I263" t="str">
            <v/>
          </cell>
          <cell r="J263" t="str">
            <v/>
          </cell>
          <cell r="K263" t="str">
            <v/>
          </cell>
          <cell r="L263" t="str">
            <v/>
          </cell>
          <cell r="M263" t="str">
            <v/>
          </cell>
        </row>
        <row r="264">
          <cell r="A264" t="str">
            <v>22020601</v>
          </cell>
          <cell r="B264" t="str">
            <v>19/01/01..19/12/31</v>
          </cell>
          <cell r="C264" t="str">
            <v>Accounts Payable_Accruals_TP</v>
          </cell>
          <cell r="D264" t="str">
            <v>应付账款_暂估_第三方</v>
          </cell>
          <cell r="E264" t="str">
            <v>Balance Sheet</v>
          </cell>
          <cell r="F264" t="str">
            <v>Posting</v>
          </cell>
          <cell r="G264" t="str">
            <v>No</v>
          </cell>
          <cell r="H264" t="str">
            <v/>
          </cell>
          <cell r="I264">
            <v>-9067368.7699999996</v>
          </cell>
          <cell r="J264">
            <v>188004174.52000001</v>
          </cell>
          <cell r="K264">
            <v>197071543.28999999</v>
          </cell>
          <cell r="L264">
            <v>-13178760.52</v>
          </cell>
          <cell r="M264" t="str">
            <v>400000</v>
          </cell>
        </row>
        <row r="265">
          <cell r="A265" t="str">
            <v>22020602</v>
          </cell>
          <cell r="B265" t="str">
            <v>19/01/01..19/12/31</v>
          </cell>
          <cell r="C265" t="str">
            <v>Accounts Payable_Accruals_IC</v>
          </cell>
          <cell r="D265" t="str">
            <v>应付账款_暂估_关联方</v>
          </cell>
          <cell r="E265" t="str">
            <v>Balance Sheet</v>
          </cell>
          <cell r="F265" t="str">
            <v>Posting</v>
          </cell>
          <cell r="G265" t="str">
            <v>No</v>
          </cell>
          <cell r="H265" t="str">
            <v/>
          </cell>
          <cell r="I265">
            <v>-4443058.13</v>
          </cell>
          <cell r="J265">
            <v>128146134.23999999</v>
          </cell>
          <cell r="K265">
            <v>132589192.37</v>
          </cell>
          <cell r="L265">
            <v>-7241046.3200000003</v>
          </cell>
          <cell r="M265" t="str">
            <v>400000</v>
          </cell>
        </row>
        <row r="266">
          <cell r="A266" t="str">
            <v>22020603</v>
          </cell>
          <cell r="B266" t="str">
            <v>19/01/01..19/12/31</v>
          </cell>
          <cell r="C266" t="str">
            <v>AP_Accruals_IC OOB</v>
          </cell>
          <cell r="D266" t="str">
            <v>应付账款_暂估_关联方对账差异</v>
          </cell>
          <cell r="E266" t="str">
            <v>Balance Sheet</v>
          </cell>
          <cell r="F266" t="str">
            <v>Posting</v>
          </cell>
          <cell r="G266" t="str">
            <v>Yes</v>
          </cell>
          <cell r="H266" t="str">
            <v/>
          </cell>
          <cell r="I266">
            <v>5471218.9500000002</v>
          </cell>
          <cell r="J266">
            <v>31097718.18</v>
          </cell>
          <cell r="K266">
            <v>25626499.23</v>
          </cell>
          <cell r="L266">
            <v>7956818.3200000003</v>
          </cell>
          <cell r="M266" t="str">
            <v>400000</v>
          </cell>
        </row>
        <row r="267">
          <cell r="A267" t="str">
            <v>22020604</v>
          </cell>
          <cell r="B267" t="str">
            <v>19/01/01..19/12/31</v>
          </cell>
          <cell r="C267" t="str">
            <v>AP_Accruals_CU</v>
          </cell>
          <cell r="D267" t="str">
            <v>应付账款_暂估-铜差</v>
          </cell>
          <cell r="E267" t="str">
            <v>Balance Sheet</v>
          </cell>
          <cell r="F267" t="str">
            <v>Posting</v>
          </cell>
          <cell r="G267" t="str">
            <v>Yes</v>
          </cell>
          <cell r="H267" t="str">
            <v/>
          </cell>
          <cell r="I267">
            <v>1772992.9</v>
          </cell>
          <cell r="J267">
            <v>15650851.33</v>
          </cell>
          <cell r="K267">
            <v>13877858.43</v>
          </cell>
          <cell r="L267">
            <v>16347.47</v>
          </cell>
          <cell r="M267" t="str">
            <v>400000</v>
          </cell>
        </row>
        <row r="268">
          <cell r="A268" t="str">
            <v>22020699</v>
          </cell>
          <cell r="B268" t="str">
            <v>19/01/01..19/12/31</v>
          </cell>
          <cell r="C268" t="str">
            <v>AP_Accruals_Total</v>
          </cell>
          <cell r="D268" t="str">
            <v>应付账款_暂估合计</v>
          </cell>
          <cell r="E268" t="str">
            <v>Balance Sheet</v>
          </cell>
          <cell r="F268" t="str">
            <v>End-Total</v>
          </cell>
          <cell r="G268" t="str">
            <v>No</v>
          </cell>
          <cell r="H268" t="str">
            <v>22020600..22020699</v>
          </cell>
          <cell r="I268">
            <v>-6266215.0499999998</v>
          </cell>
          <cell r="J268">
            <v>362898878.26999998</v>
          </cell>
          <cell r="K268">
            <v>369165093.31999999</v>
          </cell>
          <cell r="L268">
            <v>-12446641.050000001</v>
          </cell>
          <cell r="M268" t="str">
            <v/>
          </cell>
        </row>
        <row r="269">
          <cell r="A269" t="str">
            <v>22020700</v>
          </cell>
          <cell r="B269" t="str">
            <v>19/01/01..19/12/31</v>
          </cell>
          <cell r="C269" t="str">
            <v>Accounts Payable_AP/OP Reclass</v>
          </cell>
          <cell r="D269" t="str">
            <v>应付账款_AP/OP重分类</v>
          </cell>
          <cell r="E269" t="str">
            <v>Balance Sheet</v>
          </cell>
          <cell r="F269" t="str">
            <v>Posting</v>
          </cell>
          <cell r="G269" t="str">
            <v>Yes</v>
          </cell>
          <cell r="H269" t="str">
            <v/>
          </cell>
          <cell r="I269">
            <v>-53401080.920000002</v>
          </cell>
          <cell r="J269">
            <v>77683983.909999996</v>
          </cell>
          <cell r="K269">
            <v>131085064.83</v>
          </cell>
          <cell r="L269">
            <v>-52034701.689999998</v>
          </cell>
          <cell r="M269" t="str">
            <v>999999</v>
          </cell>
        </row>
        <row r="270">
          <cell r="A270" t="str">
            <v>22029999</v>
          </cell>
          <cell r="B270" t="str">
            <v>19/01/01..19/12/31</v>
          </cell>
          <cell r="C270" t="str">
            <v>Accounts Payable_Total</v>
          </cell>
          <cell r="D270" t="str">
            <v>应付账款-合计</v>
          </cell>
          <cell r="E270" t="str">
            <v>Balance Sheet</v>
          </cell>
          <cell r="F270" t="str">
            <v>End-Total</v>
          </cell>
          <cell r="G270" t="str">
            <v>No</v>
          </cell>
          <cell r="H270" t="str">
            <v>22020000..22029999</v>
          </cell>
          <cell r="I270">
            <v>-143864805.59999999</v>
          </cell>
          <cell r="J270">
            <v>899493633.29999995</v>
          </cell>
          <cell r="K270">
            <v>1043358438.9</v>
          </cell>
          <cell r="L270">
            <v>-209196658.22</v>
          </cell>
          <cell r="M270" t="str">
            <v/>
          </cell>
        </row>
        <row r="271">
          <cell r="A271" t="str">
            <v>22030000</v>
          </cell>
          <cell r="B271" t="str">
            <v>19/01/01..19/12/31</v>
          </cell>
          <cell r="C271" t="str">
            <v>Advances from customers</v>
          </cell>
          <cell r="D271" t="str">
            <v>预收账款</v>
          </cell>
          <cell r="E271" t="str">
            <v>Balance Sheet</v>
          </cell>
          <cell r="F271" t="str">
            <v>Begin-Total</v>
          </cell>
          <cell r="G271" t="str">
            <v>No</v>
          </cell>
          <cell r="H271" t="str">
            <v/>
          </cell>
          <cell r="I271" t="str">
            <v/>
          </cell>
          <cell r="J271" t="str">
            <v/>
          </cell>
          <cell r="K271" t="str">
            <v/>
          </cell>
          <cell r="L271" t="str">
            <v/>
          </cell>
          <cell r="M271" t="str">
            <v/>
          </cell>
        </row>
        <row r="272">
          <cell r="A272" t="str">
            <v>22030001</v>
          </cell>
          <cell r="B272" t="str">
            <v>19/01/01..19/12/31</v>
          </cell>
          <cell r="C272" t="str">
            <v>Advance from customer_Domestic</v>
          </cell>
          <cell r="D272" t="str">
            <v>预收账款_国内</v>
          </cell>
          <cell r="E272" t="str">
            <v>Balance Sheet</v>
          </cell>
          <cell r="F272" t="str">
            <v>Posting</v>
          </cell>
          <cell r="G272" t="str">
            <v>Yes</v>
          </cell>
          <cell r="H272" t="str">
            <v/>
          </cell>
          <cell r="I272">
            <v>8096439.6799999997</v>
          </cell>
          <cell r="J272">
            <v>39228356</v>
          </cell>
          <cell r="K272">
            <v>31131916.32</v>
          </cell>
          <cell r="L272">
            <v>-607910.84</v>
          </cell>
          <cell r="M272" t="str">
            <v>419200</v>
          </cell>
        </row>
        <row r="273">
          <cell r="A273" t="str">
            <v>22030002</v>
          </cell>
          <cell r="B273" t="str">
            <v>19/01/01..19/12/31</v>
          </cell>
          <cell r="C273" t="str">
            <v>Advance from customer_Oversea</v>
          </cell>
          <cell r="D273" t="str">
            <v>预收账款_国外</v>
          </cell>
          <cell r="E273" t="str">
            <v>Balance Sheet</v>
          </cell>
          <cell r="F273" t="str">
            <v>Posting</v>
          </cell>
          <cell r="G273" t="str">
            <v>Yes</v>
          </cell>
          <cell r="H273" t="str">
            <v/>
          </cell>
          <cell r="I273">
            <v>97850.880000000005</v>
          </cell>
          <cell r="J273">
            <v>1546174.21</v>
          </cell>
          <cell r="K273">
            <v>1448323.33</v>
          </cell>
          <cell r="L273" t="str">
            <v/>
          </cell>
          <cell r="M273" t="str">
            <v>419200</v>
          </cell>
        </row>
        <row r="274">
          <cell r="A274" t="str">
            <v>22039999</v>
          </cell>
          <cell r="B274" t="str">
            <v>19/01/01..19/12/31</v>
          </cell>
          <cell r="C274" t="str">
            <v>Advances from customers_Total</v>
          </cell>
          <cell r="D274" t="str">
            <v>预收账款_合计</v>
          </cell>
          <cell r="E274" t="str">
            <v>Balance Sheet</v>
          </cell>
          <cell r="F274" t="str">
            <v>End-Total</v>
          </cell>
          <cell r="G274" t="str">
            <v>No</v>
          </cell>
          <cell r="H274" t="str">
            <v>22030000..22039999</v>
          </cell>
          <cell r="I274">
            <v>8194290.5599999996</v>
          </cell>
          <cell r="J274">
            <v>40774530.210000001</v>
          </cell>
          <cell r="K274">
            <v>32580239.649999999</v>
          </cell>
          <cell r="L274">
            <v>-607910.84</v>
          </cell>
          <cell r="M274" t="str">
            <v/>
          </cell>
        </row>
        <row r="275">
          <cell r="A275" t="str">
            <v>22110000</v>
          </cell>
          <cell r="B275" t="str">
            <v>19/01/01..19/12/31</v>
          </cell>
          <cell r="C275" t="str">
            <v>Payroll Payable</v>
          </cell>
          <cell r="D275" t="str">
            <v>应付职工薪酬</v>
          </cell>
          <cell r="E275" t="str">
            <v>Balance Sheet</v>
          </cell>
          <cell r="F275" t="str">
            <v>Begin-Total</v>
          </cell>
          <cell r="G275" t="str">
            <v>No</v>
          </cell>
          <cell r="H275" t="str">
            <v/>
          </cell>
          <cell r="I275" t="str">
            <v/>
          </cell>
          <cell r="J275" t="str">
            <v/>
          </cell>
          <cell r="K275" t="str">
            <v/>
          </cell>
          <cell r="L275" t="str">
            <v/>
          </cell>
          <cell r="M275" t="str">
            <v/>
          </cell>
        </row>
        <row r="276">
          <cell r="A276" t="str">
            <v>22110100</v>
          </cell>
          <cell r="B276" t="str">
            <v>19/01/01..19/12/31</v>
          </cell>
          <cell r="C276" t="str">
            <v>Payroll Payable-Salary</v>
          </cell>
          <cell r="D276" t="str">
            <v>应付职工薪酬-工资</v>
          </cell>
          <cell r="E276" t="str">
            <v>Balance Sheet</v>
          </cell>
          <cell r="F276" t="str">
            <v>Posting</v>
          </cell>
          <cell r="G276" t="str">
            <v>Yes</v>
          </cell>
          <cell r="H276" t="str">
            <v/>
          </cell>
          <cell r="I276">
            <v>-224464.78</v>
          </cell>
          <cell r="J276">
            <v>26245299.800000001</v>
          </cell>
          <cell r="K276">
            <v>26469764.579999998</v>
          </cell>
          <cell r="L276">
            <v>-459753.95</v>
          </cell>
          <cell r="M276" t="str">
            <v>463020</v>
          </cell>
        </row>
        <row r="277">
          <cell r="A277" t="str">
            <v>22110200</v>
          </cell>
          <cell r="B277" t="str">
            <v>19/01/01..19/12/31</v>
          </cell>
          <cell r="C277" t="str">
            <v>Payroll Payable-Benefit</v>
          </cell>
          <cell r="D277" t="str">
            <v>应付职工薪酬-福利费</v>
          </cell>
          <cell r="E277" t="str">
            <v>Balance Sheet</v>
          </cell>
          <cell r="F277" t="str">
            <v>Posting</v>
          </cell>
          <cell r="G277" t="str">
            <v>No</v>
          </cell>
          <cell r="H277" t="str">
            <v/>
          </cell>
          <cell r="I277" t="str">
            <v/>
          </cell>
          <cell r="J277" t="str">
            <v/>
          </cell>
          <cell r="K277" t="str">
            <v/>
          </cell>
          <cell r="L277" t="str">
            <v/>
          </cell>
          <cell r="M277" t="str">
            <v>463020</v>
          </cell>
        </row>
        <row r="278">
          <cell r="A278" t="str">
            <v>22110300</v>
          </cell>
          <cell r="B278" t="str">
            <v>19/01/01..19/12/31</v>
          </cell>
          <cell r="C278" t="str">
            <v>Payroll Payable-Social Insur.</v>
          </cell>
          <cell r="D278" t="str">
            <v>应付职工薪酬-社会保险费</v>
          </cell>
          <cell r="E278" t="str">
            <v>Balance Sheet</v>
          </cell>
          <cell r="F278" t="str">
            <v>Posting</v>
          </cell>
          <cell r="G278" t="str">
            <v>Yes</v>
          </cell>
          <cell r="H278" t="str">
            <v/>
          </cell>
          <cell r="I278">
            <v>37688.129999999997</v>
          </cell>
          <cell r="J278">
            <v>8325991.1699999999</v>
          </cell>
          <cell r="K278">
            <v>8288303.04</v>
          </cell>
          <cell r="L278">
            <v>-39048.76</v>
          </cell>
          <cell r="M278" t="str">
            <v>463020</v>
          </cell>
        </row>
        <row r="279">
          <cell r="A279" t="str">
            <v>22110400</v>
          </cell>
          <cell r="B279" t="str">
            <v>19/01/01..19/12/31</v>
          </cell>
          <cell r="C279" t="str">
            <v>Payroll Payable-Housing Fund</v>
          </cell>
          <cell r="D279" t="str">
            <v>应付职工薪酬-住房公积金</v>
          </cell>
          <cell r="E279" t="str">
            <v>Balance Sheet</v>
          </cell>
          <cell r="F279" t="str">
            <v>Posting</v>
          </cell>
          <cell r="G279" t="str">
            <v>Yes</v>
          </cell>
          <cell r="H279" t="str">
            <v/>
          </cell>
          <cell r="I279" t="str">
            <v/>
          </cell>
          <cell r="J279">
            <v>3672829.92</v>
          </cell>
          <cell r="K279">
            <v>3672829.92</v>
          </cell>
          <cell r="L279" t="str">
            <v/>
          </cell>
          <cell r="M279" t="str">
            <v>463020</v>
          </cell>
        </row>
        <row r="280">
          <cell r="A280" t="str">
            <v>22110500</v>
          </cell>
          <cell r="B280" t="str">
            <v>19/01/01..19/12/31</v>
          </cell>
          <cell r="C280" t="str">
            <v>Payroll Payable-Union Fee</v>
          </cell>
          <cell r="D280" t="str">
            <v>应付职工薪酬-工会经费</v>
          </cell>
          <cell r="E280" t="str">
            <v>Balance Sheet</v>
          </cell>
          <cell r="F280" t="str">
            <v>Posting</v>
          </cell>
          <cell r="G280" t="str">
            <v>Yes</v>
          </cell>
          <cell r="H280" t="str">
            <v/>
          </cell>
          <cell r="I280">
            <v>338071.49</v>
          </cell>
          <cell r="J280">
            <v>927930.9</v>
          </cell>
          <cell r="K280">
            <v>589859.41</v>
          </cell>
          <cell r="L280">
            <v>-174792.01</v>
          </cell>
          <cell r="M280" t="str">
            <v>463020</v>
          </cell>
        </row>
        <row r="281">
          <cell r="A281" t="str">
            <v>22110600</v>
          </cell>
          <cell r="B281" t="str">
            <v>19/01/01..19/12/31</v>
          </cell>
          <cell r="C281" t="str">
            <v>Payroll Payable-Housing allow.</v>
          </cell>
          <cell r="D281" t="str">
            <v>应付职工薪酬-房屋补贴</v>
          </cell>
          <cell r="E281" t="str">
            <v>Balance Sheet</v>
          </cell>
          <cell r="F281" t="str">
            <v>Posting</v>
          </cell>
          <cell r="G281" t="str">
            <v>Yes</v>
          </cell>
          <cell r="H281" t="str">
            <v/>
          </cell>
          <cell r="I281">
            <v>-17260.39</v>
          </cell>
          <cell r="J281">
            <v>480046.42</v>
          </cell>
          <cell r="K281">
            <v>497306.81</v>
          </cell>
          <cell r="L281">
            <v>-1088524.18</v>
          </cell>
          <cell r="M281" t="str">
            <v>463020</v>
          </cell>
        </row>
        <row r="282">
          <cell r="A282" t="str">
            <v>22110700</v>
          </cell>
          <cell r="B282" t="str">
            <v>19/01/01..19/12/31</v>
          </cell>
          <cell r="C282" t="str">
            <v>Payroll Accr.-13th payroll</v>
          </cell>
          <cell r="D282" t="str">
            <v>应付职工薪酬-13薪</v>
          </cell>
          <cell r="E282" t="str">
            <v>Balance Sheet</v>
          </cell>
          <cell r="F282" t="str">
            <v>Posting</v>
          </cell>
          <cell r="G282" t="str">
            <v>Yes</v>
          </cell>
          <cell r="H282" t="str">
            <v/>
          </cell>
          <cell r="I282">
            <v>450711.51</v>
          </cell>
          <cell r="J282">
            <v>2311727.46</v>
          </cell>
          <cell r="K282">
            <v>1861015.95</v>
          </cell>
          <cell r="L282">
            <v>-1248118.3999999999</v>
          </cell>
          <cell r="M282" t="str">
            <v>463020</v>
          </cell>
        </row>
        <row r="283">
          <cell r="A283" t="str">
            <v>22110800</v>
          </cell>
          <cell r="B283" t="str">
            <v>19/01/01..19/12/31</v>
          </cell>
          <cell r="C283" t="str">
            <v>Payroll Accr.-Bonus-cur. year</v>
          </cell>
          <cell r="D283" t="str">
            <v>应付职工薪酬-当年奖金</v>
          </cell>
          <cell r="E283" t="str">
            <v>Balance Sheet</v>
          </cell>
          <cell r="F283" t="str">
            <v>Posting</v>
          </cell>
          <cell r="G283" t="str">
            <v>Yes</v>
          </cell>
          <cell r="H283" t="str">
            <v/>
          </cell>
          <cell r="I283">
            <v>-435206.16</v>
          </cell>
          <cell r="J283">
            <v>6475129.4400000004</v>
          </cell>
          <cell r="K283">
            <v>6910335.5999999996</v>
          </cell>
          <cell r="L283">
            <v>-3459521.8</v>
          </cell>
          <cell r="M283" t="str">
            <v>463020</v>
          </cell>
        </row>
        <row r="284">
          <cell r="A284" t="str">
            <v>22110900</v>
          </cell>
          <cell r="B284" t="str">
            <v>19/01/01..19/12/31</v>
          </cell>
          <cell r="C284" t="str">
            <v>Payroll Accr.-Bonus-pre. year</v>
          </cell>
          <cell r="D284" t="str">
            <v>应付职工薪酬-以前年度奖金</v>
          </cell>
          <cell r="E284" t="str">
            <v>Balance Sheet</v>
          </cell>
          <cell r="F284" t="str">
            <v>Posting</v>
          </cell>
          <cell r="G284" t="str">
            <v>Yes</v>
          </cell>
          <cell r="H284" t="str">
            <v/>
          </cell>
          <cell r="I284" t="str">
            <v/>
          </cell>
          <cell r="J284">
            <v>3053992.51</v>
          </cell>
          <cell r="K284">
            <v>3053992.51</v>
          </cell>
          <cell r="L284" t="str">
            <v/>
          </cell>
          <cell r="M284" t="str">
            <v>463020</v>
          </cell>
        </row>
        <row r="285">
          <cell r="A285" t="str">
            <v>22111000</v>
          </cell>
          <cell r="B285" t="str">
            <v>19/01/01..19/12/31</v>
          </cell>
          <cell r="C285" t="str">
            <v>Payroll Payable-Training exp.</v>
          </cell>
          <cell r="D285" t="str">
            <v>应付职工薪酬-职工教育经费</v>
          </cell>
          <cell r="E285" t="str">
            <v>Balance Sheet</v>
          </cell>
          <cell r="F285" t="str">
            <v>Posting</v>
          </cell>
          <cell r="G285" t="str">
            <v>Yes</v>
          </cell>
          <cell r="H285" t="str">
            <v/>
          </cell>
          <cell r="I285" t="str">
            <v/>
          </cell>
          <cell r="J285" t="str">
            <v/>
          </cell>
          <cell r="K285" t="str">
            <v/>
          </cell>
          <cell r="L285" t="str">
            <v/>
          </cell>
          <cell r="M285" t="str">
            <v>463020</v>
          </cell>
        </row>
        <row r="286">
          <cell r="A286" t="str">
            <v>22111100</v>
          </cell>
          <cell r="B286" t="str">
            <v>19/01/01..19/12/31</v>
          </cell>
          <cell r="C286" t="str">
            <v>Payroll Payable-Other</v>
          </cell>
          <cell r="D286" t="str">
            <v>应付职工薪酬-其他</v>
          </cell>
          <cell r="E286" t="str">
            <v>Balance Sheet</v>
          </cell>
          <cell r="F286" t="str">
            <v>Posting</v>
          </cell>
          <cell r="G286" t="str">
            <v>Yes</v>
          </cell>
          <cell r="H286" t="str">
            <v/>
          </cell>
          <cell r="I286" t="str">
            <v/>
          </cell>
          <cell r="J286" t="str">
            <v/>
          </cell>
          <cell r="K286" t="str">
            <v/>
          </cell>
          <cell r="L286" t="str">
            <v/>
          </cell>
          <cell r="M286" t="str">
            <v>463020</v>
          </cell>
        </row>
        <row r="287">
          <cell r="A287" t="str">
            <v>22111200</v>
          </cell>
          <cell r="B287" t="str">
            <v>19/01/01..19/12/31</v>
          </cell>
          <cell r="C287" t="str">
            <v>Payroll Accr.-13th payroll-pre. year</v>
          </cell>
          <cell r="D287" t="str">
            <v>应付职工薪酬-以前年度13薪</v>
          </cell>
          <cell r="E287" t="str">
            <v>Balance Sheet</v>
          </cell>
          <cell r="F287" t="str">
            <v>Posting</v>
          </cell>
          <cell r="G287" t="str">
            <v>Yes</v>
          </cell>
          <cell r="H287" t="str">
            <v/>
          </cell>
          <cell r="I287" t="str">
            <v/>
          </cell>
          <cell r="J287">
            <v>458211.41</v>
          </cell>
          <cell r="K287">
            <v>458211.41</v>
          </cell>
          <cell r="L287" t="str">
            <v/>
          </cell>
          <cell r="M287" t="str">
            <v>463020</v>
          </cell>
        </row>
        <row r="288">
          <cell r="A288" t="str">
            <v>22119999</v>
          </cell>
          <cell r="B288" t="str">
            <v>19/01/01..19/12/31</v>
          </cell>
          <cell r="C288" t="str">
            <v>Payroll Payable-Total</v>
          </cell>
          <cell r="D288" t="str">
            <v>应付职工薪酬-合计</v>
          </cell>
          <cell r="E288" t="str">
            <v>Balance Sheet</v>
          </cell>
          <cell r="F288" t="str">
            <v>End-Total</v>
          </cell>
          <cell r="G288" t="str">
            <v>No</v>
          </cell>
          <cell r="H288" t="str">
            <v>22110000..22119999</v>
          </cell>
          <cell r="I288">
            <v>149539.79999999999</v>
          </cell>
          <cell r="J288">
            <v>51951159.030000001</v>
          </cell>
          <cell r="K288">
            <v>51801619.229999997</v>
          </cell>
          <cell r="L288">
            <v>-6469759.0999999996</v>
          </cell>
          <cell r="M288" t="str">
            <v/>
          </cell>
        </row>
        <row r="289">
          <cell r="A289" t="str">
            <v>22210000</v>
          </cell>
          <cell r="B289" t="str">
            <v>19/01/01..19/12/31</v>
          </cell>
          <cell r="C289" t="str">
            <v>Tax Payable</v>
          </cell>
          <cell r="D289" t="str">
            <v>应交税费</v>
          </cell>
          <cell r="E289" t="str">
            <v>Balance Sheet</v>
          </cell>
          <cell r="F289" t="str">
            <v>Begin-Total</v>
          </cell>
          <cell r="G289" t="str">
            <v>No</v>
          </cell>
          <cell r="H289" t="str">
            <v/>
          </cell>
          <cell r="I289" t="str">
            <v/>
          </cell>
          <cell r="J289" t="str">
            <v/>
          </cell>
          <cell r="K289" t="str">
            <v/>
          </cell>
          <cell r="L289" t="str">
            <v/>
          </cell>
          <cell r="M289" t="str">
            <v/>
          </cell>
        </row>
        <row r="290">
          <cell r="A290" t="str">
            <v>22210100</v>
          </cell>
          <cell r="B290" t="str">
            <v>19/01/01..19/12/31</v>
          </cell>
          <cell r="C290" t="str">
            <v>Tax Payable_VAT</v>
          </cell>
          <cell r="D290" t="str">
            <v>应交税费_应交增值税</v>
          </cell>
          <cell r="E290" t="str">
            <v>Balance Sheet</v>
          </cell>
          <cell r="F290" t="str">
            <v>Begin-Total</v>
          </cell>
          <cell r="G290" t="str">
            <v>No</v>
          </cell>
          <cell r="H290" t="str">
            <v/>
          </cell>
          <cell r="I290" t="str">
            <v/>
          </cell>
          <cell r="J290" t="str">
            <v/>
          </cell>
          <cell r="K290" t="str">
            <v/>
          </cell>
          <cell r="L290" t="str">
            <v/>
          </cell>
          <cell r="M290" t="str">
            <v/>
          </cell>
        </row>
        <row r="291">
          <cell r="A291" t="str">
            <v>22210101</v>
          </cell>
          <cell r="B291" t="str">
            <v>19/01/01..19/12/31</v>
          </cell>
          <cell r="C291" t="str">
            <v>Tax Payable_VAT_Input VAT</v>
          </cell>
          <cell r="D291" t="str">
            <v>应交税费_应交增值税_进项税额</v>
          </cell>
          <cell r="E291" t="str">
            <v>Balance Sheet</v>
          </cell>
          <cell r="F291" t="str">
            <v>Posting</v>
          </cell>
          <cell r="G291" t="str">
            <v>Yes</v>
          </cell>
          <cell r="H291" t="str">
            <v/>
          </cell>
          <cell r="I291">
            <v>69055522.140000001</v>
          </cell>
          <cell r="J291">
            <v>74061166.560000002</v>
          </cell>
          <cell r="K291">
            <v>5005644.42</v>
          </cell>
          <cell r="L291">
            <v>225826670.97999999</v>
          </cell>
          <cell r="M291" t="str">
            <v>448100</v>
          </cell>
        </row>
        <row r="292">
          <cell r="A292" t="str">
            <v>22210102</v>
          </cell>
          <cell r="B292" t="str">
            <v>19/01/01..19/12/31</v>
          </cell>
          <cell r="C292" t="str">
            <v>Tax Payable_VAT_Output VAT</v>
          </cell>
          <cell r="D292" t="str">
            <v>应交税费_应交增值税_销项税额</v>
          </cell>
          <cell r="E292" t="str">
            <v>Balance Sheet</v>
          </cell>
          <cell r="F292" t="str">
            <v>Posting</v>
          </cell>
          <cell r="G292" t="str">
            <v>Yes</v>
          </cell>
          <cell r="H292" t="str">
            <v/>
          </cell>
          <cell r="I292">
            <v>-81276098.459999993</v>
          </cell>
          <cell r="J292">
            <v>4978578.54</v>
          </cell>
          <cell r="K292">
            <v>86254677</v>
          </cell>
          <cell r="L292">
            <v>-219893986.16999999</v>
          </cell>
          <cell r="M292" t="str">
            <v>448100</v>
          </cell>
        </row>
        <row r="293">
          <cell r="A293" t="str">
            <v>22210103</v>
          </cell>
          <cell r="B293" t="str">
            <v>19/01/01..19/12/31</v>
          </cell>
          <cell r="C293" t="str">
            <v>Payable_Input VAT transfer out</v>
          </cell>
          <cell r="D293" t="str">
            <v>应交税费_应交增值税_进项税额转出</v>
          </cell>
          <cell r="E293" t="str">
            <v>Balance Sheet</v>
          </cell>
          <cell r="F293" t="str">
            <v>Posting</v>
          </cell>
          <cell r="G293" t="str">
            <v>Yes</v>
          </cell>
          <cell r="H293" t="str">
            <v/>
          </cell>
          <cell r="I293">
            <v>1753.3</v>
          </cell>
          <cell r="J293">
            <v>3398.7</v>
          </cell>
          <cell r="K293">
            <v>1645.4</v>
          </cell>
          <cell r="L293">
            <v>-426802.06</v>
          </cell>
          <cell r="M293" t="str">
            <v>448100</v>
          </cell>
        </row>
        <row r="294">
          <cell r="A294" t="str">
            <v>22210104</v>
          </cell>
          <cell r="B294" t="str">
            <v>19/01/01..19/12/31</v>
          </cell>
          <cell r="C294" t="str">
            <v>Payable_VAT_Export tax refund</v>
          </cell>
          <cell r="D294" t="str">
            <v>应交税费_应交增值税_出口退税</v>
          </cell>
          <cell r="E294" t="str">
            <v>Balance Sheet</v>
          </cell>
          <cell r="F294" t="str">
            <v>Posting</v>
          </cell>
          <cell r="G294" t="str">
            <v>Yes</v>
          </cell>
          <cell r="H294" t="str">
            <v/>
          </cell>
          <cell r="I294">
            <v>-5157743.93</v>
          </cell>
          <cell r="J294" t="str">
            <v/>
          </cell>
          <cell r="K294">
            <v>5157743.93</v>
          </cell>
          <cell r="L294">
            <v>-19501253.510000002</v>
          </cell>
          <cell r="M294" t="str">
            <v>448100</v>
          </cell>
        </row>
        <row r="295">
          <cell r="A295" t="str">
            <v>22210105</v>
          </cell>
          <cell r="B295" t="str">
            <v>19/01/01..19/12/31</v>
          </cell>
          <cell r="C295" t="str">
            <v>Tax Payable_VAT_Paid tax</v>
          </cell>
          <cell r="D295" t="str">
            <v>应交税费_应交增值税_已交税金</v>
          </cell>
          <cell r="E295" t="str">
            <v>Balance Sheet</v>
          </cell>
          <cell r="F295" t="str">
            <v>Posting</v>
          </cell>
          <cell r="G295" t="str">
            <v>Yes</v>
          </cell>
          <cell r="H295" t="str">
            <v/>
          </cell>
          <cell r="I295">
            <v>11808971.890000001</v>
          </cell>
          <cell r="J295">
            <v>11808971.890000001</v>
          </cell>
          <cell r="K295" t="str">
            <v/>
          </cell>
          <cell r="L295">
            <v>11809811.890000001</v>
          </cell>
          <cell r="M295" t="str">
            <v>448100</v>
          </cell>
        </row>
        <row r="296">
          <cell r="A296" t="str">
            <v>22210106</v>
          </cell>
          <cell r="B296" t="str">
            <v>19/01/01..19/12/31</v>
          </cell>
          <cell r="C296" t="str">
            <v>Payable_Input VAT to de claim</v>
          </cell>
          <cell r="D296" t="str">
            <v>应交税费_应交增值税_待抵扣进项税额</v>
          </cell>
          <cell r="E296" t="str">
            <v>Balance Sheet</v>
          </cell>
          <cell r="F296" t="str">
            <v>Posting</v>
          </cell>
          <cell r="G296" t="str">
            <v>Yes</v>
          </cell>
          <cell r="H296" t="str">
            <v/>
          </cell>
          <cell r="I296" t="str">
            <v/>
          </cell>
          <cell r="J296">
            <v>4722813.9800000004</v>
          </cell>
          <cell r="K296">
            <v>4722813.9800000004</v>
          </cell>
          <cell r="L296">
            <v>2292.62</v>
          </cell>
          <cell r="M296" t="str">
            <v>448100</v>
          </cell>
        </row>
        <row r="297">
          <cell r="A297" t="str">
            <v>22210107</v>
          </cell>
          <cell r="B297" t="str">
            <v>19/01/01..19/12/31</v>
          </cell>
          <cell r="C297" t="str">
            <v>Tax Payable_VAT_Non-paid VAT</v>
          </cell>
          <cell r="D297" t="str">
            <v>应交税费-应交增值税-转出未交增值税</v>
          </cell>
          <cell r="E297" t="str">
            <v>Balance Sheet</v>
          </cell>
          <cell r="F297" t="str">
            <v>Posting</v>
          </cell>
          <cell r="G297" t="str">
            <v>Yes</v>
          </cell>
          <cell r="H297" t="str">
            <v/>
          </cell>
          <cell r="I297" t="str">
            <v/>
          </cell>
          <cell r="J297" t="str">
            <v/>
          </cell>
          <cell r="K297" t="str">
            <v/>
          </cell>
          <cell r="L297" t="str">
            <v/>
          </cell>
          <cell r="M297" t="str">
            <v>448100</v>
          </cell>
        </row>
        <row r="298">
          <cell r="A298" t="str">
            <v>22210108</v>
          </cell>
          <cell r="B298" t="str">
            <v>19/01/01..19/12/31</v>
          </cell>
          <cell r="C298" t="str">
            <v>Tax Payable_VAT_Over-paid VAT</v>
          </cell>
          <cell r="D298" t="str">
            <v>应交税费-应交增值税-转出多交增值税</v>
          </cell>
          <cell r="E298" t="str">
            <v>Balance Sheet</v>
          </cell>
          <cell r="F298" t="str">
            <v>Posting</v>
          </cell>
          <cell r="G298" t="str">
            <v>Yes</v>
          </cell>
          <cell r="H298" t="str">
            <v/>
          </cell>
          <cell r="I298" t="str">
            <v/>
          </cell>
          <cell r="J298" t="str">
            <v/>
          </cell>
          <cell r="K298" t="str">
            <v/>
          </cell>
          <cell r="L298" t="str">
            <v/>
          </cell>
          <cell r="M298" t="str">
            <v>448100</v>
          </cell>
        </row>
        <row r="299">
          <cell r="A299" t="str">
            <v>22210109</v>
          </cell>
          <cell r="B299" t="str">
            <v>19/01/01..19/12/31</v>
          </cell>
          <cell r="C299" t="str">
            <v>Tax Payable_VAT_To be paid VAT</v>
          </cell>
          <cell r="D299" t="str">
            <v>应交税费-应交增值税-未交增值税</v>
          </cell>
          <cell r="E299" t="str">
            <v>Balance Sheet</v>
          </cell>
          <cell r="F299" t="str">
            <v>Posting</v>
          </cell>
          <cell r="G299" t="str">
            <v>Yes</v>
          </cell>
          <cell r="H299" t="str">
            <v/>
          </cell>
          <cell r="I299" t="str">
            <v/>
          </cell>
          <cell r="J299" t="str">
            <v/>
          </cell>
          <cell r="K299" t="str">
            <v/>
          </cell>
          <cell r="L299" t="str">
            <v/>
          </cell>
          <cell r="M299" t="str">
            <v>448100</v>
          </cell>
        </row>
        <row r="300">
          <cell r="A300" t="str">
            <v>22210199</v>
          </cell>
          <cell r="B300" t="str">
            <v>19/01/01..19/12/31</v>
          </cell>
          <cell r="C300" t="str">
            <v>Tax Payable_VAT_Total</v>
          </cell>
          <cell r="D300" t="str">
            <v>应交税费_应交增值税合计</v>
          </cell>
          <cell r="E300" t="str">
            <v>Balance Sheet</v>
          </cell>
          <cell r="F300" t="str">
            <v>End-Total</v>
          </cell>
          <cell r="G300" t="str">
            <v>Yes</v>
          </cell>
          <cell r="H300" t="str">
            <v>22210100..22210199</v>
          </cell>
          <cell r="I300">
            <v>-5567595.0599999996</v>
          </cell>
          <cell r="J300">
            <v>95574929.670000002</v>
          </cell>
          <cell r="K300">
            <v>101142524.73</v>
          </cell>
          <cell r="L300">
            <v>-2183266.25</v>
          </cell>
          <cell r="M300" t="str">
            <v/>
          </cell>
        </row>
        <row r="301">
          <cell r="A301" t="str">
            <v>22210200</v>
          </cell>
          <cell r="B301" t="str">
            <v>19/01/01..19/12/31</v>
          </cell>
          <cell r="C301" t="str">
            <v>Tax Payable_BT</v>
          </cell>
          <cell r="D301" t="str">
            <v>应交税费_营业税</v>
          </cell>
          <cell r="E301" t="str">
            <v>Balance Sheet</v>
          </cell>
          <cell r="F301" t="str">
            <v>Posting</v>
          </cell>
          <cell r="G301" t="str">
            <v>No</v>
          </cell>
          <cell r="H301" t="str">
            <v/>
          </cell>
          <cell r="I301" t="str">
            <v/>
          </cell>
          <cell r="J301" t="str">
            <v/>
          </cell>
          <cell r="K301" t="str">
            <v/>
          </cell>
          <cell r="L301" t="str">
            <v/>
          </cell>
          <cell r="M301" t="str">
            <v>444400</v>
          </cell>
        </row>
        <row r="302">
          <cell r="A302" t="str">
            <v>22210300</v>
          </cell>
          <cell r="B302" t="str">
            <v>19/01/01..19/12/31</v>
          </cell>
          <cell r="C302" t="str">
            <v>Tax Payable_CIT</v>
          </cell>
          <cell r="D302" t="str">
            <v>应交税费_企业所得税</v>
          </cell>
          <cell r="E302" t="str">
            <v>Balance Sheet</v>
          </cell>
          <cell r="F302" t="str">
            <v>Posting</v>
          </cell>
          <cell r="G302" t="str">
            <v>Yes</v>
          </cell>
          <cell r="H302" t="str">
            <v/>
          </cell>
          <cell r="I302">
            <v>-7214000</v>
          </cell>
          <cell r="J302" t="str">
            <v/>
          </cell>
          <cell r="K302">
            <v>7214000</v>
          </cell>
          <cell r="L302">
            <v>-7214000</v>
          </cell>
          <cell r="M302" t="str">
            <v>444200</v>
          </cell>
        </row>
        <row r="303">
          <cell r="A303" t="str">
            <v>22210400</v>
          </cell>
          <cell r="B303" t="str">
            <v>19/01/01..19/12/31</v>
          </cell>
          <cell r="C303" t="str">
            <v>Tax Payable_IIT</v>
          </cell>
          <cell r="D303" t="str">
            <v>应交税费_个人所得税</v>
          </cell>
          <cell r="E303" t="str">
            <v>Balance Sheet</v>
          </cell>
          <cell r="F303" t="str">
            <v>Posting</v>
          </cell>
          <cell r="G303" t="str">
            <v>Yes</v>
          </cell>
          <cell r="H303" t="str">
            <v/>
          </cell>
          <cell r="I303">
            <v>-19767.14</v>
          </cell>
          <cell r="J303">
            <v>1158114.81</v>
          </cell>
          <cell r="K303">
            <v>1177881.95</v>
          </cell>
          <cell r="L303">
            <v>-88937.52</v>
          </cell>
          <cell r="M303" t="str">
            <v>444400</v>
          </cell>
        </row>
        <row r="304">
          <cell r="A304" t="str">
            <v>22210500</v>
          </cell>
          <cell r="B304" t="str">
            <v>19/01/01..19/12/31</v>
          </cell>
          <cell r="C304" t="str">
            <v>Tax Payable_City main. tax</v>
          </cell>
          <cell r="D304" t="str">
            <v>应交税费_城市维护建设税</v>
          </cell>
          <cell r="E304" t="str">
            <v>Balance Sheet</v>
          </cell>
          <cell r="F304" t="str">
            <v>Posting</v>
          </cell>
          <cell r="G304" t="str">
            <v>Yes</v>
          </cell>
          <cell r="H304" t="str">
            <v/>
          </cell>
          <cell r="I304" t="str">
            <v/>
          </cell>
          <cell r="J304">
            <v>854911.01</v>
          </cell>
          <cell r="K304">
            <v>854911.01</v>
          </cell>
          <cell r="L304" t="str">
            <v/>
          </cell>
          <cell r="M304" t="str">
            <v>444400</v>
          </cell>
        </row>
        <row r="305">
          <cell r="A305" t="str">
            <v>22210600</v>
          </cell>
          <cell r="B305" t="str">
            <v>19/01/01..19/12/31</v>
          </cell>
          <cell r="C305" t="str">
            <v>Tax Payable_Property tax</v>
          </cell>
          <cell r="D305" t="str">
            <v>应交税费_房产税</v>
          </cell>
          <cell r="E305" t="str">
            <v>Balance Sheet</v>
          </cell>
          <cell r="F305" t="str">
            <v>Posting</v>
          </cell>
          <cell r="G305" t="str">
            <v>Yes</v>
          </cell>
          <cell r="H305" t="str">
            <v/>
          </cell>
          <cell r="I305" t="str">
            <v/>
          </cell>
          <cell r="J305">
            <v>2520000</v>
          </cell>
          <cell r="K305">
            <v>2520000</v>
          </cell>
          <cell r="L305">
            <v>-630000</v>
          </cell>
          <cell r="M305" t="str">
            <v>444400</v>
          </cell>
        </row>
        <row r="306">
          <cell r="A306" t="str">
            <v>22210700</v>
          </cell>
          <cell r="B306" t="str">
            <v>19/01/01..19/12/31</v>
          </cell>
          <cell r="C306" t="str">
            <v>Tax Payable_Land-use tax</v>
          </cell>
          <cell r="D306" t="str">
            <v>应交税费_土地使用税</v>
          </cell>
          <cell r="E306" t="str">
            <v>Balance Sheet</v>
          </cell>
          <cell r="F306" t="str">
            <v>Posting</v>
          </cell>
          <cell r="G306" t="str">
            <v>Yes</v>
          </cell>
          <cell r="H306" t="str">
            <v/>
          </cell>
          <cell r="I306" t="str">
            <v/>
          </cell>
          <cell r="J306">
            <v>762502.85</v>
          </cell>
          <cell r="K306">
            <v>762502.85</v>
          </cell>
          <cell r="L306">
            <v>-150000</v>
          </cell>
          <cell r="M306" t="str">
            <v>444400</v>
          </cell>
        </row>
        <row r="307">
          <cell r="A307" t="str">
            <v>22210800</v>
          </cell>
          <cell r="B307" t="str">
            <v>19/01/01..19/12/31</v>
          </cell>
          <cell r="C307" t="str">
            <v>Tax Payable_Vihicle tax</v>
          </cell>
          <cell r="D307" t="str">
            <v>应交税费_车船使用税</v>
          </cell>
          <cell r="E307" t="str">
            <v>Balance Sheet</v>
          </cell>
          <cell r="F307" t="str">
            <v>Posting</v>
          </cell>
          <cell r="G307" t="str">
            <v>Yes</v>
          </cell>
          <cell r="H307" t="str">
            <v/>
          </cell>
          <cell r="I307" t="str">
            <v/>
          </cell>
          <cell r="J307" t="str">
            <v/>
          </cell>
          <cell r="K307" t="str">
            <v/>
          </cell>
          <cell r="L307" t="str">
            <v/>
          </cell>
          <cell r="M307" t="str">
            <v>444400</v>
          </cell>
        </row>
        <row r="308">
          <cell r="A308" t="str">
            <v>22210900</v>
          </cell>
          <cell r="B308" t="str">
            <v>19/01/01..19/12/31</v>
          </cell>
          <cell r="C308" t="str">
            <v>Tax Payable_Stamp duty</v>
          </cell>
          <cell r="D308" t="str">
            <v>应交税费_印花税</v>
          </cell>
          <cell r="E308" t="str">
            <v>Balance Sheet</v>
          </cell>
          <cell r="F308" t="str">
            <v>Posting</v>
          </cell>
          <cell r="G308" t="str">
            <v>Yes</v>
          </cell>
          <cell r="H308" t="str">
            <v/>
          </cell>
          <cell r="I308" t="str">
            <v/>
          </cell>
          <cell r="J308">
            <v>234850.4</v>
          </cell>
          <cell r="K308">
            <v>234850.4</v>
          </cell>
          <cell r="L308" t="str">
            <v/>
          </cell>
          <cell r="M308" t="str">
            <v>444400</v>
          </cell>
        </row>
        <row r="309">
          <cell r="A309" t="str">
            <v>22211000</v>
          </cell>
          <cell r="B309" t="str">
            <v>19/01/01..19/12/31</v>
          </cell>
          <cell r="C309" t="str">
            <v>Tax Payable_Custom duty</v>
          </cell>
          <cell r="D309" t="str">
            <v>应交税费_关税</v>
          </cell>
          <cell r="E309" t="str">
            <v>Balance Sheet</v>
          </cell>
          <cell r="F309" t="str">
            <v>Posting</v>
          </cell>
          <cell r="G309" t="str">
            <v>Yes</v>
          </cell>
          <cell r="H309" t="str">
            <v/>
          </cell>
          <cell r="I309" t="str">
            <v/>
          </cell>
          <cell r="J309" t="str">
            <v/>
          </cell>
          <cell r="K309" t="str">
            <v/>
          </cell>
          <cell r="L309" t="str">
            <v/>
          </cell>
          <cell r="M309" t="str">
            <v>444400</v>
          </cell>
        </row>
        <row r="310">
          <cell r="A310" t="str">
            <v>22211100</v>
          </cell>
          <cell r="B310" t="str">
            <v>19/01/01..19/12/31</v>
          </cell>
          <cell r="C310" t="str">
            <v>Tax Payable_Education fee</v>
          </cell>
          <cell r="D310" t="str">
            <v>应交税费_教育费附加</v>
          </cell>
          <cell r="E310" t="str">
            <v>Balance Sheet</v>
          </cell>
          <cell r="F310" t="str">
            <v>Posting</v>
          </cell>
          <cell r="G310" t="str">
            <v>Yes</v>
          </cell>
          <cell r="H310" t="str">
            <v/>
          </cell>
          <cell r="I310" t="str">
            <v/>
          </cell>
          <cell r="J310">
            <v>854911.03</v>
          </cell>
          <cell r="K310">
            <v>854911.03</v>
          </cell>
          <cell r="L310" t="str">
            <v/>
          </cell>
          <cell r="M310" t="str">
            <v>444400</v>
          </cell>
        </row>
        <row r="311">
          <cell r="A311" t="str">
            <v>22211200</v>
          </cell>
          <cell r="B311" t="str">
            <v>19/01/01..19/12/31</v>
          </cell>
          <cell r="C311" t="str">
            <v>Tax Payable_Withholding Tax</v>
          </cell>
          <cell r="D311" t="str">
            <v>应交税费_代扣代缴</v>
          </cell>
          <cell r="E311" t="str">
            <v>Balance Sheet</v>
          </cell>
          <cell r="F311" t="str">
            <v>Posting</v>
          </cell>
          <cell r="G311" t="str">
            <v>Yes</v>
          </cell>
          <cell r="H311" t="str">
            <v/>
          </cell>
          <cell r="I311" t="str">
            <v/>
          </cell>
          <cell r="J311">
            <v>426079.62</v>
          </cell>
          <cell r="K311">
            <v>426079.62</v>
          </cell>
          <cell r="L311" t="str">
            <v/>
          </cell>
          <cell r="M311" t="str">
            <v>444400</v>
          </cell>
        </row>
        <row r="312">
          <cell r="A312" t="str">
            <v>22211300</v>
          </cell>
          <cell r="B312" t="str">
            <v>19/01/01..19/12/31</v>
          </cell>
          <cell r="C312" t="str">
            <v>Tax Payable_Other</v>
          </cell>
          <cell r="D312" t="str">
            <v>应交税费_其它</v>
          </cell>
          <cell r="E312" t="str">
            <v>Balance Sheet</v>
          </cell>
          <cell r="F312" t="str">
            <v>Posting</v>
          </cell>
          <cell r="G312" t="str">
            <v>No</v>
          </cell>
          <cell r="H312" t="str">
            <v/>
          </cell>
          <cell r="I312" t="str">
            <v/>
          </cell>
          <cell r="J312" t="str">
            <v/>
          </cell>
          <cell r="K312" t="str">
            <v/>
          </cell>
          <cell r="L312" t="str">
            <v/>
          </cell>
          <cell r="M312" t="str">
            <v>444400</v>
          </cell>
        </row>
        <row r="313">
          <cell r="A313" t="str">
            <v>22219999</v>
          </cell>
          <cell r="B313" t="str">
            <v>19/01/01..19/12/31</v>
          </cell>
          <cell r="C313" t="str">
            <v>Tax Payable_Total</v>
          </cell>
          <cell r="D313" t="str">
            <v>应交税费-合计</v>
          </cell>
          <cell r="E313" t="str">
            <v>Balance Sheet</v>
          </cell>
          <cell r="F313" t="str">
            <v>End-Total</v>
          </cell>
          <cell r="G313" t="str">
            <v>No</v>
          </cell>
          <cell r="H313" t="str">
            <v>22210000..22219999</v>
          </cell>
          <cell r="I313">
            <v>-12801362.199999999</v>
          </cell>
          <cell r="J313">
            <v>102386299.39</v>
          </cell>
          <cell r="K313">
            <v>115187661.59</v>
          </cell>
          <cell r="L313">
            <v>-10266203.77</v>
          </cell>
          <cell r="M313" t="str">
            <v/>
          </cell>
        </row>
        <row r="314">
          <cell r="A314" t="str">
            <v>22310000</v>
          </cell>
          <cell r="B314" t="str">
            <v>19/01/01..19/12/31</v>
          </cell>
          <cell r="C314" t="str">
            <v>Interest Payable_third party</v>
          </cell>
          <cell r="D314" t="str">
            <v>应付利息_第三方</v>
          </cell>
          <cell r="E314" t="str">
            <v>Balance Sheet</v>
          </cell>
          <cell r="F314" t="str">
            <v>Posting</v>
          </cell>
          <cell r="G314" t="str">
            <v>Yes</v>
          </cell>
          <cell r="H314" t="str">
            <v/>
          </cell>
          <cell r="I314">
            <v>360963</v>
          </cell>
          <cell r="J314">
            <v>1471857.56</v>
          </cell>
          <cell r="K314">
            <v>1110894.56</v>
          </cell>
          <cell r="L314" t="str">
            <v/>
          </cell>
          <cell r="M314" t="str">
            <v>161800</v>
          </cell>
        </row>
        <row r="315">
          <cell r="A315" t="str">
            <v>22310001</v>
          </cell>
          <cell r="B315" t="str">
            <v>19/01/01..19/12/31</v>
          </cell>
          <cell r="C315" t="str">
            <v>Interest Payable_inco(exclude cash pool)</v>
          </cell>
          <cell r="D315" t="str">
            <v>应付利息_关联方（除现金池）</v>
          </cell>
          <cell r="E315" t="str">
            <v>Balance Sheet</v>
          </cell>
          <cell r="F315" t="str">
            <v>Posting</v>
          </cell>
          <cell r="G315" t="str">
            <v>Yes</v>
          </cell>
          <cell r="H315" t="str">
            <v/>
          </cell>
          <cell r="I315">
            <v>58996.88</v>
          </cell>
          <cell r="J315">
            <v>519553.13</v>
          </cell>
          <cell r="K315">
            <v>460556.25</v>
          </cell>
          <cell r="L315" t="str">
            <v/>
          </cell>
          <cell r="M315" t="str">
            <v>501200</v>
          </cell>
        </row>
        <row r="316">
          <cell r="A316" t="str">
            <v>22310002</v>
          </cell>
          <cell r="B316" t="str">
            <v>19/01/01..19/12/31</v>
          </cell>
          <cell r="C316" t="str">
            <v>Interest Payable_group loan</v>
          </cell>
          <cell r="D316" t="str">
            <v>应付利息_集团贷款</v>
          </cell>
          <cell r="E316" t="str">
            <v>Balance Sheet</v>
          </cell>
          <cell r="F316" t="str">
            <v>Posting</v>
          </cell>
          <cell r="G316" t="str">
            <v>Yes</v>
          </cell>
          <cell r="H316" t="str">
            <v/>
          </cell>
          <cell r="I316">
            <v>8635.9</v>
          </cell>
          <cell r="J316">
            <v>6191819.9299999997</v>
          </cell>
          <cell r="K316">
            <v>6183184.0300000003</v>
          </cell>
          <cell r="L316">
            <v>-1236942.44</v>
          </cell>
          <cell r="M316" t="str">
            <v>501100</v>
          </cell>
        </row>
        <row r="317">
          <cell r="A317" t="str">
            <v>22310003</v>
          </cell>
          <cell r="B317" t="str">
            <v>19/01/01..19/12/31</v>
          </cell>
          <cell r="C317" t="str">
            <v>Interest Payable_cash pool</v>
          </cell>
          <cell r="D317" t="str">
            <v>应付利息_现金池</v>
          </cell>
          <cell r="E317" t="str">
            <v>Balance Sheet</v>
          </cell>
          <cell r="F317" t="str">
            <v>Posting</v>
          </cell>
          <cell r="G317" t="str">
            <v>Yes</v>
          </cell>
          <cell r="H317" t="str">
            <v/>
          </cell>
          <cell r="I317">
            <v>357124.64</v>
          </cell>
          <cell r="J317">
            <v>2546377.98</v>
          </cell>
          <cell r="K317">
            <v>2189253.34</v>
          </cell>
          <cell r="L317">
            <v>-86106.07</v>
          </cell>
          <cell r="M317" t="str">
            <v>501200</v>
          </cell>
        </row>
        <row r="318">
          <cell r="A318" t="str">
            <v>22319999</v>
          </cell>
          <cell r="B318" t="str">
            <v>19/01/01..19/12/31</v>
          </cell>
          <cell r="C318" t="str">
            <v>Interest Payable_Total</v>
          </cell>
          <cell r="D318" t="str">
            <v>应付利息</v>
          </cell>
          <cell r="E318" t="str">
            <v>Balance Sheet</v>
          </cell>
          <cell r="F318" t="str">
            <v>End-Total</v>
          </cell>
          <cell r="G318" t="str">
            <v>No</v>
          </cell>
          <cell r="H318" t="str">
            <v>22310000..22319999</v>
          </cell>
          <cell r="I318">
            <v>785720.42</v>
          </cell>
          <cell r="J318">
            <v>10729608.6</v>
          </cell>
          <cell r="K318">
            <v>9943888.1799999997</v>
          </cell>
          <cell r="L318">
            <v>-1323048.51</v>
          </cell>
          <cell r="M318" t="str">
            <v/>
          </cell>
        </row>
        <row r="319">
          <cell r="A319" t="str">
            <v>22320000</v>
          </cell>
          <cell r="B319" t="str">
            <v>19/01/01..19/12/31</v>
          </cell>
          <cell r="C319" t="str">
            <v>Divident Payable</v>
          </cell>
          <cell r="D319" t="str">
            <v>应付股利</v>
          </cell>
          <cell r="E319" t="str">
            <v>Balance Sheet</v>
          </cell>
          <cell r="F319" t="str">
            <v>Posting</v>
          </cell>
          <cell r="G319" t="str">
            <v>Yes</v>
          </cell>
          <cell r="H319" t="str">
            <v/>
          </cell>
          <cell r="I319" t="str">
            <v/>
          </cell>
          <cell r="J319" t="str">
            <v/>
          </cell>
          <cell r="K319" t="str">
            <v/>
          </cell>
          <cell r="L319" t="str">
            <v/>
          </cell>
          <cell r="M319" t="str">
            <v>463110</v>
          </cell>
        </row>
        <row r="320">
          <cell r="A320" t="str">
            <v>22410000</v>
          </cell>
          <cell r="B320" t="str">
            <v>19/01/01..19/12/31</v>
          </cell>
          <cell r="C320" t="str">
            <v>Other Payable</v>
          </cell>
          <cell r="D320" t="str">
            <v>其他应付款</v>
          </cell>
          <cell r="E320" t="str">
            <v>Balance Sheet</v>
          </cell>
          <cell r="F320" t="str">
            <v>Begin-Total</v>
          </cell>
          <cell r="G320" t="str">
            <v>No</v>
          </cell>
          <cell r="H320" t="str">
            <v/>
          </cell>
          <cell r="I320" t="str">
            <v/>
          </cell>
          <cell r="J320" t="str">
            <v/>
          </cell>
          <cell r="K320" t="str">
            <v/>
          </cell>
          <cell r="L320" t="str">
            <v/>
          </cell>
          <cell r="M320" t="str">
            <v/>
          </cell>
        </row>
        <row r="321">
          <cell r="A321" t="str">
            <v>22410100</v>
          </cell>
          <cell r="B321" t="str">
            <v>19/01/01..19/12/31</v>
          </cell>
          <cell r="C321" t="str">
            <v>Other Payable_Staff Claim</v>
          </cell>
          <cell r="D321" t="str">
            <v>其他应付款_员工报销</v>
          </cell>
          <cell r="E321" t="str">
            <v>Balance Sheet</v>
          </cell>
          <cell r="F321" t="str">
            <v>Posting</v>
          </cell>
          <cell r="G321" t="str">
            <v>No</v>
          </cell>
          <cell r="H321" t="str">
            <v/>
          </cell>
          <cell r="I321" t="str">
            <v/>
          </cell>
          <cell r="J321" t="str">
            <v/>
          </cell>
          <cell r="K321" t="str">
            <v/>
          </cell>
          <cell r="L321" t="str">
            <v/>
          </cell>
          <cell r="M321" t="str">
            <v>463000</v>
          </cell>
        </row>
        <row r="322">
          <cell r="A322" t="str">
            <v>22410201</v>
          </cell>
          <cell r="B322" t="str">
            <v>19/01/01..19/12/31</v>
          </cell>
          <cell r="C322" t="str">
            <v>Other Payable_TP Domestics</v>
          </cell>
          <cell r="D322" t="str">
            <v>其他应付款_第三方 国内</v>
          </cell>
          <cell r="E322" t="str">
            <v>Balance Sheet</v>
          </cell>
          <cell r="F322" t="str">
            <v>Posting</v>
          </cell>
          <cell r="G322" t="str">
            <v>Yes</v>
          </cell>
          <cell r="H322" t="str">
            <v/>
          </cell>
          <cell r="I322">
            <v>7531056.9000000004</v>
          </cell>
          <cell r="J322">
            <v>123452829.29000001</v>
          </cell>
          <cell r="K322">
            <v>115921772.39</v>
          </cell>
          <cell r="L322">
            <v>-10797353.140000001</v>
          </cell>
          <cell r="M322" t="str">
            <v>463000</v>
          </cell>
        </row>
        <row r="323">
          <cell r="A323" t="str">
            <v>22410202</v>
          </cell>
          <cell r="B323" t="str">
            <v>19/01/01..19/12/31</v>
          </cell>
          <cell r="C323" t="str">
            <v>Other Payable_TP Oversea</v>
          </cell>
          <cell r="D323" t="str">
            <v>其他应付款_第三方 国外</v>
          </cell>
          <cell r="E323" t="str">
            <v>Balance Sheet</v>
          </cell>
          <cell r="F323" t="str">
            <v>Posting</v>
          </cell>
          <cell r="G323" t="str">
            <v>Yes</v>
          </cell>
          <cell r="H323" t="str">
            <v/>
          </cell>
          <cell r="I323">
            <v>254700.5</v>
          </cell>
          <cell r="J323">
            <v>1249744.33</v>
          </cell>
          <cell r="K323">
            <v>995043.83</v>
          </cell>
          <cell r="L323">
            <v>-21411.61</v>
          </cell>
          <cell r="M323" t="str">
            <v>463000</v>
          </cell>
        </row>
        <row r="324">
          <cell r="A324" t="str">
            <v>22410203</v>
          </cell>
          <cell r="B324" t="str">
            <v>19/01/01..19/12/31</v>
          </cell>
          <cell r="C324" t="str">
            <v>Other Payable_TP_Reclass</v>
          </cell>
          <cell r="D324" t="str">
            <v>其他应付款_第三方_重分类</v>
          </cell>
          <cell r="E324" t="str">
            <v>Balance Sheet</v>
          </cell>
          <cell r="F324" t="str">
            <v>Posting</v>
          </cell>
          <cell r="G324" t="str">
            <v>Yes</v>
          </cell>
          <cell r="H324" t="str">
            <v/>
          </cell>
          <cell r="I324">
            <v>-1059604.6499999999</v>
          </cell>
          <cell r="J324">
            <v>38071644.609999999</v>
          </cell>
          <cell r="K324">
            <v>39131249.259999998</v>
          </cell>
          <cell r="L324">
            <v>-3452650.84</v>
          </cell>
          <cell r="M324" t="str">
            <v>463000</v>
          </cell>
        </row>
        <row r="325">
          <cell r="A325" t="str">
            <v>22410301</v>
          </cell>
          <cell r="B325" t="str">
            <v>19/01/01..19/12/31</v>
          </cell>
          <cell r="C325" t="str">
            <v>Other Payable_IC Domestics</v>
          </cell>
          <cell r="D325" t="str">
            <v>其他应付款_关联方 国内</v>
          </cell>
          <cell r="E325" t="str">
            <v>Balance Sheet</v>
          </cell>
          <cell r="F325" t="str">
            <v>Posting</v>
          </cell>
          <cell r="G325" t="str">
            <v>No</v>
          </cell>
          <cell r="H325" t="str">
            <v/>
          </cell>
          <cell r="I325">
            <v>-39047764.869999997</v>
          </cell>
          <cell r="J325">
            <v>21451166.18</v>
          </cell>
          <cell r="K325">
            <v>60498931.049999997</v>
          </cell>
          <cell r="L325">
            <v>-64276843.850000001</v>
          </cell>
          <cell r="M325" t="str">
            <v>463000</v>
          </cell>
        </row>
        <row r="326">
          <cell r="A326" t="str">
            <v>22410302</v>
          </cell>
          <cell r="B326" t="str">
            <v>19/01/01..19/12/31</v>
          </cell>
          <cell r="C326" t="str">
            <v>Other Payable_IC Oversea</v>
          </cell>
          <cell r="D326" t="str">
            <v>其他应付款_关联方 国外</v>
          </cell>
          <cell r="E326" t="str">
            <v>Balance Sheet</v>
          </cell>
          <cell r="F326" t="str">
            <v>Posting</v>
          </cell>
          <cell r="G326" t="str">
            <v>Yes</v>
          </cell>
          <cell r="H326" t="str">
            <v/>
          </cell>
          <cell r="I326">
            <v>-11270736.699999999</v>
          </cell>
          <cell r="J326">
            <v>33140206.719999999</v>
          </cell>
          <cell r="K326">
            <v>44410943.420000002</v>
          </cell>
          <cell r="L326">
            <v>-10448245.57</v>
          </cell>
          <cell r="M326" t="str">
            <v>463000</v>
          </cell>
        </row>
        <row r="327">
          <cell r="A327" t="str">
            <v>22410303</v>
          </cell>
          <cell r="B327" t="str">
            <v>19/01/01..19/12/31</v>
          </cell>
          <cell r="C327" t="str">
            <v>Other Payable_IC_Reclass</v>
          </cell>
          <cell r="D327" t="str">
            <v>其他应付款_关联方_重分类</v>
          </cell>
          <cell r="E327" t="str">
            <v>Balance Sheet</v>
          </cell>
          <cell r="F327" t="str">
            <v>Posting</v>
          </cell>
          <cell r="G327" t="str">
            <v>Yes</v>
          </cell>
          <cell r="H327" t="str">
            <v/>
          </cell>
          <cell r="I327">
            <v>-37802793.759999998</v>
          </cell>
          <cell r="J327" t="str">
            <v/>
          </cell>
          <cell r="K327">
            <v>37802793.759999998</v>
          </cell>
          <cell r="L327">
            <v>-37802793.759999998</v>
          </cell>
          <cell r="M327" t="str">
            <v>463000</v>
          </cell>
        </row>
        <row r="328">
          <cell r="A328" t="str">
            <v>22410400</v>
          </cell>
          <cell r="B328" t="str">
            <v>19/01/01..19/12/31</v>
          </cell>
          <cell r="C328" t="str">
            <v>Other Payable_IC OOB</v>
          </cell>
          <cell r="D328" t="str">
            <v>其他应付款_关联方对账差异</v>
          </cell>
          <cell r="E328" t="str">
            <v>Balance Sheet</v>
          </cell>
          <cell r="F328" t="str">
            <v>Posting</v>
          </cell>
          <cell r="G328" t="str">
            <v>Yes</v>
          </cell>
          <cell r="H328" t="str">
            <v/>
          </cell>
          <cell r="I328" t="str">
            <v/>
          </cell>
          <cell r="J328" t="str">
            <v/>
          </cell>
          <cell r="K328" t="str">
            <v/>
          </cell>
          <cell r="L328" t="str">
            <v/>
          </cell>
          <cell r="M328" t="str">
            <v>463000</v>
          </cell>
        </row>
        <row r="329">
          <cell r="A329" t="str">
            <v>22410401</v>
          </cell>
          <cell r="B329" t="str">
            <v>19/01/01..19/12/31</v>
          </cell>
          <cell r="C329" t="str">
            <v>Other Payable_AP/OP Reclass</v>
          </cell>
          <cell r="D329" t="str">
            <v>其他应付款_AP/OP重分类</v>
          </cell>
          <cell r="E329" t="str">
            <v>Balance Sheet</v>
          </cell>
          <cell r="F329" t="str">
            <v>Posting</v>
          </cell>
          <cell r="G329" t="str">
            <v>Yes</v>
          </cell>
          <cell r="H329" t="str">
            <v/>
          </cell>
          <cell r="I329">
            <v>53401080.920000002</v>
          </cell>
          <cell r="J329">
            <v>131085064.83</v>
          </cell>
          <cell r="K329">
            <v>77683983.909999996</v>
          </cell>
          <cell r="L329">
            <v>52034701.689999998</v>
          </cell>
          <cell r="M329" t="str">
            <v>999999</v>
          </cell>
        </row>
        <row r="330">
          <cell r="A330" t="str">
            <v>22410500</v>
          </cell>
          <cell r="B330" t="str">
            <v>19/01/01..19/12/31</v>
          </cell>
          <cell r="C330" t="str">
            <v>OP_Accrued Expense</v>
          </cell>
          <cell r="D330" t="str">
            <v>其他应付款_预提费用</v>
          </cell>
          <cell r="E330" t="str">
            <v>Balance Sheet</v>
          </cell>
          <cell r="F330" t="str">
            <v>Begin-Total</v>
          </cell>
          <cell r="G330" t="str">
            <v>No</v>
          </cell>
          <cell r="H330" t="str">
            <v/>
          </cell>
          <cell r="I330" t="str">
            <v/>
          </cell>
          <cell r="J330" t="str">
            <v/>
          </cell>
          <cell r="K330" t="str">
            <v/>
          </cell>
          <cell r="L330" t="str">
            <v/>
          </cell>
          <cell r="M330" t="str">
            <v/>
          </cell>
        </row>
        <row r="331">
          <cell r="A331" t="str">
            <v>22410501</v>
          </cell>
          <cell r="B331" t="str">
            <v>19/01/01..19/12/31</v>
          </cell>
          <cell r="C331" t="str">
            <v>OP_Accr. Expe.-Insurance</v>
          </cell>
          <cell r="D331" t="str">
            <v>其他应付款_预提保险费</v>
          </cell>
          <cell r="E331" t="str">
            <v>Balance Sheet</v>
          </cell>
          <cell r="F331" t="str">
            <v>Posting</v>
          </cell>
          <cell r="G331" t="str">
            <v>Yes</v>
          </cell>
          <cell r="H331" t="str">
            <v/>
          </cell>
          <cell r="I331" t="str">
            <v/>
          </cell>
          <cell r="J331" t="str">
            <v/>
          </cell>
          <cell r="K331" t="str">
            <v/>
          </cell>
          <cell r="L331" t="str">
            <v/>
          </cell>
          <cell r="M331" t="str">
            <v>463111</v>
          </cell>
        </row>
        <row r="332">
          <cell r="A332" t="str">
            <v>22410502</v>
          </cell>
          <cell r="B332" t="str">
            <v>19/01/01..19/12/31</v>
          </cell>
          <cell r="C332" t="str">
            <v>OP_Accr. Expe.-Rental</v>
          </cell>
          <cell r="D332" t="str">
            <v>其他应付款_预提租金</v>
          </cell>
          <cell r="E332" t="str">
            <v>Balance Sheet</v>
          </cell>
          <cell r="F332" t="str">
            <v>Posting</v>
          </cell>
          <cell r="G332" t="str">
            <v>Yes</v>
          </cell>
          <cell r="H332" t="str">
            <v/>
          </cell>
          <cell r="I332" t="str">
            <v/>
          </cell>
          <cell r="J332" t="str">
            <v/>
          </cell>
          <cell r="K332" t="str">
            <v/>
          </cell>
          <cell r="L332" t="str">
            <v/>
          </cell>
          <cell r="M332" t="str">
            <v>463111</v>
          </cell>
        </row>
        <row r="333">
          <cell r="A333" t="str">
            <v>22410503</v>
          </cell>
          <cell r="B333" t="str">
            <v>19/01/01..19/12/31</v>
          </cell>
          <cell r="C333" t="str">
            <v>OP_Accr. Expe.-Electricity</v>
          </cell>
          <cell r="D333" t="str">
            <v>其他应付款_预提电费</v>
          </cell>
          <cell r="E333" t="str">
            <v>Balance Sheet</v>
          </cell>
          <cell r="F333" t="str">
            <v>Posting</v>
          </cell>
          <cell r="G333" t="str">
            <v>Yes</v>
          </cell>
          <cell r="H333" t="str">
            <v/>
          </cell>
          <cell r="I333" t="str">
            <v/>
          </cell>
          <cell r="J333" t="str">
            <v/>
          </cell>
          <cell r="K333" t="str">
            <v/>
          </cell>
          <cell r="L333" t="str">
            <v/>
          </cell>
          <cell r="M333" t="str">
            <v>463111</v>
          </cell>
        </row>
        <row r="334">
          <cell r="A334" t="str">
            <v>22410504</v>
          </cell>
          <cell r="B334" t="str">
            <v>19/01/01..19/12/31</v>
          </cell>
          <cell r="C334" t="str">
            <v>OP_Accr. Expe.-Water</v>
          </cell>
          <cell r="D334" t="str">
            <v>其他应付款_预提水费</v>
          </cell>
          <cell r="E334" t="str">
            <v>Balance Sheet</v>
          </cell>
          <cell r="F334" t="str">
            <v>Posting</v>
          </cell>
          <cell r="G334" t="str">
            <v>Yes</v>
          </cell>
          <cell r="H334" t="str">
            <v/>
          </cell>
          <cell r="I334" t="str">
            <v/>
          </cell>
          <cell r="J334" t="str">
            <v/>
          </cell>
          <cell r="K334" t="str">
            <v/>
          </cell>
          <cell r="L334" t="str">
            <v/>
          </cell>
          <cell r="M334" t="str">
            <v>463111</v>
          </cell>
        </row>
        <row r="335">
          <cell r="A335" t="str">
            <v>22410505</v>
          </cell>
          <cell r="B335" t="str">
            <v>19/01/01..19/12/31</v>
          </cell>
          <cell r="C335" t="str">
            <v>OP_Accr. Expe.-Consultant fee</v>
          </cell>
          <cell r="D335" t="str">
            <v>其他应付款_预提咨询费</v>
          </cell>
          <cell r="E335" t="str">
            <v>Balance Sheet</v>
          </cell>
          <cell r="F335" t="str">
            <v>Posting</v>
          </cell>
          <cell r="G335" t="str">
            <v>Yes</v>
          </cell>
          <cell r="H335" t="str">
            <v/>
          </cell>
          <cell r="I335" t="str">
            <v/>
          </cell>
          <cell r="J335" t="str">
            <v/>
          </cell>
          <cell r="K335" t="str">
            <v/>
          </cell>
          <cell r="L335" t="str">
            <v/>
          </cell>
          <cell r="M335" t="str">
            <v>463111</v>
          </cell>
        </row>
        <row r="336">
          <cell r="A336" t="str">
            <v>22410506</v>
          </cell>
          <cell r="B336" t="str">
            <v>19/01/01..19/12/31</v>
          </cell>
          <cell r="C336" t="str">
            <v>OP_Accr. Expe.-Internet</v>
          </cell>
          <cell r="D336" t="str">
            <v>其他应付款_预提网络费</v>
          </cell>
          <cell r="E336" t="str">
            <v>Balance Sheet</v>
          </cell>
          <cell r="F336" t="str">
            <v>Posting</v>
          </cell>
          <cell r="G336" t="str">
            <v>Yes</v>
          </cell>
          <cell r="H336" t="str">
            <v/>
          </cell>
          <cell r="I336">
            <v>70000</v>
          </cell>
          <cell r="J336">
            <v>1350000</v>
          </cell>
          <cell r="K336">
            <v>1280000</v>
          </cell>
          <cell r="L336" t="str">
            <v/>
          </cell>
          <cell r="M336" t="str">
            <v>463111</v>
          </cell>
        </row>
        <row r="337">
          <cell r="A337" t="str">
            <v>22410507</v>
          </cell>
          <cell r="B337" t="str">
            <v>19/01/01..19/12/31</v>
          </cell>
          <cell r="C337" t="str">
            <v>OP_Accr. Expe.-Commission fee</v>
          </cell>
          <cell r="D337" t="str">
            <v>其他应付款_预提佣金</v>
          </cell>
          <cell r="E337" t="str">
            <v>Balance Sheet</v>
          </cell>
          <cell r="F337" t="str">
            <v>Posting</v>
          </cell>
          <cell r="G337" t="str">
            <v>Yes</v>
          </cell>
          <cell r="H337" t="str">
            <v/>
          </cell>
          <cell r="I337" t="str">
            <v/>
          </cell>
          <cell r="J337">
            <v>944383.79</v>
          </cell>
          <cell r="K337">
            <v>944383.79</v>
          </cell>
          <cell r="L337" t="str">
            <v/>
          </cell>
          <cell r="M337" t="str">
            <v>463009</v>
          </cell>
        </row>
        <row r="338">
          <cell r="A338" t="str">
            <v>22410508</v>
          </cell>
          <cell r="B338" t="str">
            <v>19/01/01..19/12/31</v>
          </cell>
          <cell r="C338" t="str">
            <v>OP_Accr. Expe.-Royalties</v>
          </cell>
          <cell r="D338" t="str">
            <v>其他应付款_预提技术提成费</v>
          </cell>
          <cell r="E338" t="str">
            <v>Balance Sheet</v>
          </cell>
          <cell r="F338" t="str">
            <v>Posting</v>
          </cell>
          <cell r="G338" t="str">
            <v>Yes</v>
          </cell>
          <cell r="H338" t="str">
            <v/>
          </cell>
          <cell r="I338" t="str">
            <v/>
          </cell>
          <cell r="J338" t="str">
            <v/>
          </cell>
          <cell r="K338" t="str">
            <v/>
          </cell>
          <cell r="L338" t="str">
            <v/>
          </cell>
          <cell r="M338" t="str">
            <v>463111</v>
          </cell>
        </row>
        <row r="339">
          <cell r="A339" t="str">
            <v>22410509</v>
          </cell>
          <cell r="B339" t="str">
            <v>19/01/01..19/12/31</v>
          </cell>
          <cell r="C339" t="str">
            <v>OP_Accr. Expe.-Audit fee</v>
          </cell>
          <cell r="D339" t="str">
            <v>其他应付款_预提审计费</v>
          </cell>
          <cell r="E339" t="str">
            <v>Balance Sheet</v>
          </cell>
          <cell r="F339" t="str">
            <v>Posting</v>
          </cell>
          <cell r="G339" t="str">
            <v>Yes</v>
          </cell>
          <cell r="H339" t="str">
            <v/>
          </cell>
          <cell r="I339">
            <v>-159768.85999999999</v>
          </cell>
          <cell r="J339">
            <v>481831.14</v>
          </cell>
          <cell r="K339">
            <v>641600</v>
          </cell>
          <cell r="L339">
            <v>-719768.86</v>
          </cell>
          <cell r="M339" t="str">
            <v>463111</v>
          </cell>
        </row>
        <row r="340">
          <cell r="A340" t="str">
            <v>22410510</v>
          </cell>
          <cell r="B340" t="str">
            <v>19/01/01..19/12/31</v>
          </cell>
          <cell r="C340" t="str">
            <v>OP_Accr. Expe.-Others</v>
          </cell>
          <cell r="D340" t="str">
            <v>其他应付款_预提费用其他</v>
          </cell>
          <cell r="E340" t="str">
            <v>Balance Sheet</v>
          </cell>
          <cell r="F340" t="str">
            <v>Posting</v>
          </cell>
          <cell r="G340" t="str">
            <v>Yes</v>
          </cell>
          <cell r="H340" t="str">
            <v/>
          </cell>
          <cell r="I340">
            <v>-6318224.54</v>
          </cell>
          <cell r="J340">
            <v>21819418.960000001</v>
          </cell>
          <cell r="K340">
            <v>28137643.5</v>
          </cell>
          <cell r="L340">
            <v>-13907918.810000001</v>
          </cell>
          <cell r="M340" t="str">
            <v>463111</v>
          </cell>
        </row>
        <row r="341">
          <cell r="A341" t="str">
            <v>22410511</v>
          </cell>
          <cell r="B341" t="str">
            <v>19/01/01..19/12/31</v>
          </cell>
          <cell r="C341" t="str">
            <v>OP_Accr. Expe.-Restructuring</v>
          </cell>
          <cell r="D341" t="str">
            <v>其他应付款_预提重组</v>
          </cell>
          <cell r="E341" t="str">
            <v>Balance Sheet</v>
          </cell>
          <cell r="F341" t="str">
            <v>Posting</v>
          </cell>
          <cell r="G341" t="str">
            <v>Yes</v>
          </cell>
          <cell r="H341" t="str">
            <v/>
          </cell>
          <cell r="I341" t="str">
            <v/>
          </cell>
          <cell r="J341" t="str">
            <v/>
          </cell>
          <cell r="K341" t="str">
            <v/>
          </cell>
          <cell r="L341" t="str">
            <v/>
          </cell>
          <cell r="M341" t="str">
            <v>152110</v>
          </cell>
        </row>
        <row r="342">
          <cell r="A342" t="str">
            <v>22410599</v>
          </cell>
          <cell r="B342" t="str">
            <v>19/01/01..19/12/31</v>
          </cell>
          <cell r="C342" t="str">
            <v>OP_Accrued Expense_Total</v>
          </cell>
          <cell r="D342" t="str">
            <v>其他应付款_预提费用合计</v>
          </cell>
          <cell r="E342" t="str">
            <v>Balance Sheet</v>
          </cell>
          <cell r="F342" t="str">
            <v>End-Total</v>
          </cell>
          <cell r="G342" t="str">
            <v>Yes</v>
          </cell>
          <cell r="H342" t="str">
            <v>22410500..22410599</v>
          </cell>
          <cell r="I342">
            <v>-6407993.4000000004</v>
          </cell>
          <cell r="J342">
            <v>24595633.890000001</v>
          </cell>
          <cell r="K342">
            <v>31003627.289999999</v>
          </cell>
          <cell r="L342">
            <v>-14627687.67</v>
          </cell>
          <cell r="M342" t="str">
            <v/>
          </cell>
        </row>
        <row r="343">
          <cell r="A343" t="str">
            <v>22419999</v>
          </cell>
          <cell r="B343" t="str">
            <v>19/01/01..19/12/31</v>
          </cell>
          <cell r="C343" t="str">
            <v>Other Payable_Total</v>
          </cell>
          <cell r="D343" t="str">
            <v>其他应付款-合计</v>
          </cell>
          <cell r="E343" t="str">
            <v>Balance Sheet</v>
          </cell>
          <cell r="F343" t="str">
            <v>End-Total</v>
          </cell>
          <cell r="G343" t="str">
            <v>No</v>
          </cell>
          <cell r="H343" t="str">
            <v>22410000..22419999</v>
          </cell>
          <cell r="I343">
            <v>-34402055.060000002</v>
          </cell>
          <cell r="J343">
            <v>373046289.85000002</v>
          </cell>
          <cell r="K343">
            <v>407448344.91000003</v>
          </cell>
          <cell r="L343">
            <v>-89392284.75</v>
          </cell>
          <cell r="M343" t="str">
            <v/>
          </cell>
        </row>
        <row r="344">
          <cell r="A344" t="str">
            <v>23000000</v>
          </cell>
          <cell r="B344" t="str">
            <v>19/01/01..19/12/31</v>
          </cell>
          <cell r="C344" t="str">
            <v>Other Current Liability</v>
          </cell>
          <cell r="D344" t="str">
            <v>其他流动负债</v>
          </cell>
          <cell r="E344" t="str">
            <v>Balance Sheet</v>
          </cell>
          <cell r="F344" t="str">
            <v>Total</v>
          </cell>
          <cell r="G344" t="str">
            <v>No</v>
          </cell>
          <cell r="H344" t="str">
            <v>32011101|32011201|32011301</v>
          </cell>
          <cell r="I344">
            <v>3447396</v>
          </cell>
          <cell r="J344">
            <v>75589941.359999999</v>
          </cell>
          <cell r="K344">
            <v>72142545.359999999</v>
          </cell>
          <cell r="L344">
            <v>-1000663.93</v>
          </cell>
          <cell r="M344" t="str">
            <v/>
          </cell>
        </row>
        <row r="345">
          <cell r="A345" t="str">
            <v>24000000</v>
          </cell>
          <cell r="B345" t="str">
            <v>19/01/01..19/12/31</v>
          </cell>
          <cell r="C345" t="str">
            <v>Current Liability_Total</v>
          </cell>
          <cell r="D345" t="str">
            <v>流动负债-合计</v>
          </cell>
          <cell r="E345" t="str">
            <v>Balance Sheet</v>
          </cell>
          <cell r="F345" t="str">
            <v>End-Total</v>
          </cell>
          <cell r="G345" t="str">
            <v>No</v>
          </cell>
          <cell r="H345" t="str">
            <v>20000010..24000000</v>
          </cell>
          <cell r="I345">
            <v>-37234256.899999999</v>
          </cell>
          <cell r="J345">
            <v>2142967170.78</v>
          </cell>
          <cell r="K345">
            <v>2180201427.6799998</v>
          </cell>
          <cell r="L345">
            <v>-317255865.19</v>
          </cell>
          <cell r="M345" t="str">
            <v/>
          </cell>
        </row>
        <row r="346">
          <cell r="A346" t="str">
            <v>24000010</v>
          </cell>
          <cell r="B346" t="str">
            <v>19/01/01..19/12/31</v>
          </cell>
          <cell r="C346" t="str">
            <v>Non-current Liability</v>
          </cell>
          <cell r="D346" t="str">
            <v>非流动负债</v>
          </cell>
          <cell r="E346" t="str">
            <v>Balance Sheet</v>
          </cell>
          <cell r="F346" t="str">
            <v>Begin-Total</v>
          </cell>
          <cell r="G346" t="str">
            <v>No</v>
          </cell>
          <cell r="H346" t="str">
            <v/>
          </cell>
          <cell r="I346" t="str">
            <v/>
          </cell>
          <cell r="J346" t="str">
            <v/>
          </cell>
          <cell r="K346" t="str">
            <v/>
          </cell>
          <cell r="L346" t="str">
            <v/>
          </cell>
          <cell r="M346" t="str">
            <v/>
          </cell>
        </row>
        <row r="347">
          <cell r="A347" t="str">
            <v>24010000</v>
          </cell>
          <cell r="B347" t="str">
            <v>19/01/01..19/12/31</v>
          </cell>
          <cell r="C347" t="str">
            <v xml:space="preserve">Deferred Income </v>
          </cell>
          <cell r="D347" t="str">
            <v>递延收益</v>
          </cell>
          <cell r="E347" t="str">
            <v>Balance Sheet</v>
          </cell>
          <cell r="F347" t="str">
            <v>Posting</v>
          </cell>
          <cell r="G347" t="str">
            <v>Yes</v>
          </cell>
          <cell r="H347" t="str">
            <v/>
          </cell>
          <cell r="I347" t="str">
            <v/>
          </cell>
          <cell r="J347" t="str">
            <v/>
          </cell>
          <cell r="K347" t="str">
            <v/>
          </cell>
          <cell r="L347" t="str">
            <v/>
          </cell>
          <cell r="M347" t="str">
            <v>487000</v>
          </cell>
        </row>
        <row r="348">
          <cell r="A348" t="str">
            <v>25010000</v>
          </cell>
          <cell r="B348" t="str">
            <v>19/01/01..19/12/31</v>
          </cell>
          <cell r="C348" t="str">
            <v>Long-term loans</v>
          </cell>
          <cell r="D348" t="str">
            <v>长期借款</v>
          </cell>
          <cell r="E348" t="str">
            <v>Balance Sheet</v>
          </cell>
          <cell r="F348" t="str">
            <v>Begin-Total</v>
          </cell>
          <cell r="G348" t="str">
            <v>No</v>
          </cell>
          <cell r="H348" t="str">
            <v/>
          </cell>
          <cell r="I348" t="str">
            <v/>
          </cell>
          <cell r="J348" t="str">
            <v/>
          </cell>
          <cell r="K348" t="str">
            <v/>
          </cell>
          <cell r="L348" t="str">
            <v/>
          </cell>
          <cell r="M348" t="str">
            <v/>
          </cell>
        </row>
        <row r="349">
          <cell r="A349" t="str">
            <v>25010100</v>
          </cell>
          <cell r="B349" t="str">
            <v>19/01/01..19/12/31</v>
          </cell>
          <cell r="C349" t="str">
            <v>Long-term loans_CNY</v>
          </cell>
          <cell r="D349" t="str">
            <v>长期借款_人民币</v>
          </cell>
          <cell r="E349" t="str">
            <v>Balance Sheet</v>
          </cell>
          <cell r="F349" t="str">
            <v>Posting</v>
          </cell>
          <cell r="G349" t="str">
            <v>Yes</v>
          </cell>
          <cell r="H349" t="str">
            <v/>
          </cell>
          <cell r="I349" t="str">
            <v/>
          </cell>
          <cell r="J349" t="str">
            <v/>
          </cell>
          <cell r="K349" t="str">
            <v/>
          </cell>
          <cell r="L349" t="str">
            <v/>
          </cell>
          <cell r="M349" t="str">
            <v>160000</v>
          </cell>
        </row>
        <row r="350">
          <cell r="A350" t="str">
            <v>25010200</v>
          </cell>
          <cell r="B350" t="str">
            <v>19/01/01..19/12/31</v>
          </cell>
          <cell r="C350" t="str">
            <v>Long-term loans_USD</v>
          </cell>
          <cell r="D350" t="str">
            <v>长期借款_美金</v>
          </cell>
          <cell r="E350" t="str">
            <v>Balance Sheet</v>
          </cell>
          <cell r="F350" t="str">
            <v>Posting</v>
          </cell>
          <cell r="G350" t="str">
            <v>Yes</v>
          </cell>
          <cell r="H350" t="str">
            <v/>
          </cell>
          <cell r="I350" t="str">
            <v/>
          </cell>
          <cell r="J350" t="str">
            <v/>
          </cell>
          <cell r="K350" t="str">
            <v/>
          </cell>
          <cell r="L350" t="str">
            <v/>
          </cell>
          <cell r="M350" t="str">
            <v>160000</v>
          </cell>
        </row>
        <row r="351">
          <cell r="A351" t="str">
            <v>25010300</v>
          </cell>
          <cell r="B351" t="str">
            <v>19/01/01..19/12/31</v>
          </cell>
          <cell r="C351" t="str">
            <v>Long-term loans_EUR</v>
          </cell>
          <cell r="D351" t="str">
            <v>长期借款_欧元</v>
          </cell>
          <cell r="E351" t="str">
            <v>Balance Sheet</v>
          </cell>
          <cell r="F351" t="str">
            <v>Posting</v>
          </cell>
          <cell r="G351" t="str">
            <v>Yes</v>
          </cell>
          <cell r="H351" t="str">
            <v/>
          </cell>
          <cell r="I351">
            <v>1092000</v>
          </cell>
          <cell r="J351">
            <v>14576000</v>
          </cell>
          <cell r="K351">
            <v>13484000</v>
          </cell>
          <cell r="L351">
            <v>-156410000</v>
          </cell>
          <cell r="M351" t="str">
            <v>160000</v>
          </cell>
        </row>
        <row r="352">
          <cell r="A352" t="str">
            <v>25019999</v>
          </cell>
          <cell r="B352" t="str">
            <v>19/01/01..19/12/31</v>
          </cell>
          <cell r="C352" t="str">
            <v>Long-term loans_Total</v>
          </cell>
          <cell r="D352" t="str">
            <v>长期借款_合计</v>
          </cell>
          <cell r="E352" t="str">
            <v>Balance Sheet</v>
          </cell>
          <cell r="F352" t="str">
            <v>End-Total</v>
          </cell>
          <cell r="G352" t="str">
            <v>No</v>
          </cell>
          <cell r="H352" t="str">
            <v>25010000..25019999</v>
          </cell>
          <cell r="I352">
            <v>1092000</v>
          </cell>
          <cell r="J352">
            <v>14576000</v>
          </cell>
          <cell r="K352">
            <v>13484000</v>
          </cell>
          <cell r="L352">
            <v>-156410000</v>
          </cell>
          <cell r="M352" t="str">
            <v/>
          </cell>
        </row>
        <row r="353">
          <cell r="A353" t="str">
            <v>25020000</v>
          </cell>
          <cell r="B353" t="str">
            <v>19/01/01..19/12/31</v>
          </cell>
          <cell r="C353" t="str">
            <v>Bond Payable</v>
          </cell>
          <cell r="D353" t="str">
            <v>应付债券</v>
          </cell>
          <cell r="E353" t="str">
            <v>Balance Sheet</v>
          </cell>
          <cell r="F353" t="str">
            <v>Posting</v>
          </cell>
          <cell r="G353" t="str">
            <v>Yes</v>
          </cell>
          <cell r="H353" t="str">
            <v/>
          </cell>
          <cell r="I353" t="str">
            <v/>
          </cell>
          <cell r="J353" t="str">
            <v/>
          </cell>
          <cell r="K353" t="str">
            <v/>
          </cell>
          <cell r="L353" t="str">
            <v/>
          </cell>
          <cell r="M353" t="str">
            <v>160200</v>
          </cell>
        </row>
        <row r="354">
          <cell r="A354" t="str">
            <v>27010000</v>
          </cell>
          <cell r="B354" t="str">
            <v>19/01/01..19/12/31</v>
          </cell>
          <cell r="C354" t="str">
            <v>Long-term Payable</v>
          </cell>
          <cell r="D354" t="str">
            <v>长期应付款</v>
          </cell>
          <cell r="E354" t="str">
            <v>Balance Sheet</v>
          </cell>
          <cell r="F354" t="str">
            <v>Posting</v>
          </cell>
          <cell r="G354" t="str">
            <v>Yes</v>
          </cell>
          <cell r="H354" t="str">
            <v/>
          </cell>
          <cell r="I354" t="str">
            <v/>
          </cell>
          <cell r="J354" t="str">
            <v/>
          </cell>
          <cell r="K354" t="str">
            <v/>
          </cell>
          <cell r="L354" t="str">
            <v/>
          </cell>
          <cell r="M354" t="str">
            <v>463101</v>
          </cell>
        </row>
        <row r="355">
          <cell r="A355" t="str">
            <v>27020000</v>
          </cell>
          <cell r="B355" t="str">
            <v>19/01/01..19/12/31</v>
          </cell>
          <cell r="C355" t="str">
            <v>Unrealized Finance fees</v>
          </cell>
          <cell r="D355" t="str">
            <v>未确认融资费用</v>
          </cell>
          <cell r="E355" t="str">
            <v>Balance Sheet</v>
          </cell>
          <cell r="F355" t="str">
            <v>Posting</v>
          </cell>
          <cell r="G355" t="str">
            <v>Yes</v>
          </cell>
          <cell r="H355" t="str">
            <v/>
          </cell>
          <cell r="I355" t="str">
            <v/>
          </cell>
          <cell r="J355" t="str">
            <v/>
          </cell>
          <cell r="K355" t="str">
            <v/>
          </cell>
          <cell r="L355" t="str">
            <v/>
          </cell>
          <cell r="M355" t="str">
            <v>463000</v>
          </cell>
        </row>
        <row r="356">
          <cell r="A356" t="str">
            <v>27110000</v>
          </cell>
          <cell r="B356" t="str">
            <v>19/01/01..19/12/31</v>
          </cell>
          <cell r="C356" t="str">
            <v>Grants &amp; Subsidies received</v>
          </cell>
          <cell r="D356" t="str">
            <v>专项应付款</v>
          </cell>
          <cell r="E356" t="str">
            <v>Balance Sheet</v>
          </cell>
          <cell r="F356" t="str">
            <v>Posting</v>
          </cell>
          <cell r="G356" t="str">
            <v>Yes</v>
          </cell>
          <cell r="H356" t="str">
            <v/>
          </cell>
          <cell r="I356" t="str">
            <v/>
          </cell>
          <cell r="J356" t="str">
            <v/>
          </cell>
          <cell r="K356" t="str">
            <v/>
          </cell>
          <cell r="L356" t="str">
            <v/>
          </cell>
          <cell r="M356" t="str">
            <v>463000</v>
          </cell>
        </row>
        <row r="357">
          <cell r="A357" t="str">
            <v>28010000</v>
          </cell>
          <cell r="B357" t="str">
            <v>19/01/01..19/12/31</v>
          </cell>
          <cell r="C357" t="str">
            <v>Estimated Liabilities</v>
          </cell>
          <cell r="D357" t="str">
            <v>预计负债</v>
          </cell>
          <cell r="E357" t="str">
            <v>Balance Sheet</v>
          </cell>
          <cell r="F357" t="str">
            <v>Posting</v>
          </cell>
          <cell r="G357" t="str">
            <v>Yes</v>
          </cell>
          <cell r="H357" t="str">
            <v/>
          </cell>
          <cell r="I357" t="str">
            <v/>
          </cell>
          <cell r="J357" t="str">
            <v/>
          </cell>
          <cell r="K357" t="str">
            <v/>
          </cell>
          <cell r="L357" t="str">
            <v/>
          </cell>
          <cell r="M357" t="str">
            <v>463000</v>
          </cell>
        </row>
        <row r="358">
          <cell r="A358" t="str">
            <v>29010000</v>
          </cell>
          <cell r="B358" t="str">
            <v>19/01/01..19/12/31</v>
          </cell>
          <cell r="C358" t="str">
            <v>Deferred Income Tax Liability</v>
          </cell>
          <cell r="D358" t="str">
            <v>递延所得税负债</v>
          </cell>
          <cell r="E358" t="str">
            <v>Balance Sheet</v>
          </cell>
          <cell r="F358" t="str">
            <v>Posting</v>
          </cell>
          <cell r="G358" t="str">
            <v>Yes</v>
          </cell>
          <cell r="H358" t="str">
            <v/>
          </cell>
          <cell r="I358" t="str">
            <v/>
          </cell>
          <cell r="J358" t="str">
            <v/>
          </cell>
          <cell r="K358" t="str">
            <v/>
          </cell>
          <cell r="L358" t="str">
            <v/>
          </cell>
          <cell r="M358" t="str">
            <v>155210</v>
          </cell>
        </row>
        <row r="359">
          <cell r="A359" t="str">
            <v>29050000</v>
          </cell>
          <cell r="B359" t="str">
            <v>19/01/01..19/12/31</v>
          </cell>
          <cell r="C359" t="str">
            <v>Other Non-current Liability</v>
          </cell>
          <cell r="D359" t="str">
            <v>其他非流动负债</v>
          </cell>
          <cell r="E359" t="str">
            <v>Balance Sheet</v>
          </cell>
          <cell r="F359" t="str">
            <v>Total</v>
          </cell>
          <cell r="G359" t="str">
            <v>No</v>
          </cell>
          <cell r="H359" t="str">
            <v>32011102|32011202|32011302</v>
          </cell>
          <cell r="I359" t="str">
            <v/>
          </cell>
          <cell r="J359" t="str">
            <v/>
          </cell>
          <cell r="K359" t="str">
            <v/>
          </cell>
          <cell r="L359" t="str">
            <v/>
          </cell>
          <cell r="M359" t="str">
            <v/>
          </cell>
        </row>
        <row r="360">
          <cell r="A360" t="str">
            <v>29099999</v>
          </cell>
          <cell r="B360" t="str">
            <v>19/01/01..19/12/31</v>
          </cell>
          <cell r="C360" t="str">
            <v>Non-current Liability_Total</v>
          </cell>
          <cell r="D360" t="str">
            <v>非流动负债-合计</v>
          </cell>
          <cell r="E360" t="str">
            <v>Balance Sheet</v>
          </cell>
          <cell r="F360" t="str">
            <v>End-Total</v>
          </cell>
          <cell r="G360" t="str">
            <v>No</v>
          </cell>
          <cell r="H360" t="str">
            <v>24000010..29099999</v>
          </cell>
          <cell r="I360">
            <v>1092000</v>
          </cell>
          <cell r="J360">
            <v>14576000</v>
          </cell>
          <cell r="K360">
            <v>13484000</v>
          </cell>
          <cell r="L360">
            <v>-156410000</v>
          </cell>
          <cell r="M360" t="str">
            <v/>
          </cell>
        </row>
        <row r="361">
          <cell r="A361" t="str">
            <v>29999999</v>
          </cell>
          <cell r="B361" t="str">
            <v>19/01/01..19/12/31</v>
          </cell>
          <cell r="C361" t="str">
            <v>Liability_Total</v>
          </cell>
          <cell r="D361" t="str">
            <v>负债-合计</v>
          </cell>
          <cell r="E361" t="str">
            <v>Balance Sheet</v>
          </cell>
          <cell r="F361" t="str">
            <v>End-Total</v>
          </cell>
          <cell r="G361" t="str">
            <v>No</v>
          </cell>
          <cell r="H361" t="str">
            <v>20000001..29999999</v>
          </cell>
          <cell r="I361">
            <v>-36142256.899999999</v>
          </cell>
          <cell r="J361">
            <v>2157543170.7800002</v>
          </cell>
          <cell r="K361">
            <v>2193685427.6799998</v>
          </cell>
          <cell r="L361">
            <v>-473665865.19</v>
          </cell>
          <cell r="M361" t="str">
            <v/>
          </cell>
        </row>
        <row r="362">
          <cell r="A362" t="str">
            <v>32010101</v>
          </cell>
          <cell r="B362" t="str">
            <v>19/01/01..19/12/31</v>
          </cell>
          <cell r="C362" t="str">
            <v>Hedging_Copper_ST asset</v>
          </cell>
          <cell r="D362" t="str">
            <v>套期工具-铜合约-短期资产</v>
          </cell>
          <cell r="E362" t="str">
            <v>Balance Sheet</v>
          </cell>
          <cell r="F362" t="str">
            <v>Posting</v>
          </cell>
          <cell r="G362" t="str">
            <v>Yes</v>
          </cell>
          <cell r="H362" t="str">
            <v/>
          </cell>
          <cell r="I362">
            <v>8934424.2799999993</v>
          </cell>
          <cell r="J362">
            <v>13808363.810000001</v>
          </cell>
          <cell r="K362">
            <v>4873939.53</v>
          </cell>
          <cell r="L362">
            <v>3717743.29</v>
          </cell>
          <cell r="M362" t="str">
            <v>502300</v>
          </cell>
        </row>
        <row r="363">
          <cell r="A363" t="str">
            <v>32010102</v>
          </cell>
          <cell r="B363" t="str">
            <v>19/01/01..19/12/31</v>
          </cell>
          <cell r="C363" t="str">
            <v>Hedging_Copper_LT asset</v>
          </cell>
          <cell r="D363" t="str">
            <v>套期工具-铜合约-长期资产</v>
          </cell>
          <cell r="E363" t="str">
            <v>Balance Sheet</v>
          </cell>
          <cell r="F363" t="str">
            <v>Posting</v>
          </cell>
          <cell r="G363" t="str">
            <v>Yes</v>
          </cell>
          <cell r="H363" t="str">
            <v/>
          </cell>
          <cell r="I363" t="str">
            <v/>
          </cell>
          <cell r="J363" t="str">
            <v/>
          </cell>
          <cell r="K363" t="str">
            <v/>
          </cell>
          <cell r="L363" t="str">
            <v/>
          </cell>
          <cell r="M363" t="str">
            <v>415021</v>
          </cell>
        </row>
        <row r="364">
          <cell r="A364" t="str">
            <v>32010201</v>
          </cell>
          <cell r="B364" t="str">
            <v>19/01/01..19/12/31</v>
          </cell>
          <cell r="C364" t="str">
            <v>Hedging_Aluminum_ST asset</v>
          </cell>
          <cell r="D364" t="str">
            <v>套期工具-铝合约-短期资产</v>
          </cell>
          <cell r="E364" t="str">
            <v>Balance Sheet</v>
          </cell>
          <cell r="F364" t="str">
            <v>Posting</v>
          </cell>
          <cell r="G364" t="str">
            <v>Yes</v>
          </cell>
          <cell r="H364" t="str">
            <v/>
          </cell>
          <cell r="I364" t="str">
            <v/>
          </cell>
          <cell r="J364" t="str">
            <v/>
          </cell>
          <cell r="K364" t="str">
            <v/>
          </cell>
          <cell r="L364" t="str">
            <v/>
          </cell>
          <cell r="M364" t="str">
            <v>415011</v>
          </cell>
        </row>
        <row r="365">
          <cell r="A365" t="str">
            <v>32010202</v>
          </cell>
          <cell r="B365" t="str">
            <v>19/01/01..19/12/31</v>
          </cell>
          <cell r="C365" t="str">
            <v>Hedging_Aluminum_LT asset</v>
          </cell>
          <cell r="D365" t="str">
            <v>套期工具-铝合约-长期资产</v>
          </cell>
          <cell r="E365" t="str">
            <v>Balance Sheet</v>
          </cell>
          <cell r="F365" t="str">
            <v>Posting</v>
          </cell>
          <cell r="G365" t="str">
            <v>No</v>
          </cell>
          <cell r="H365" t="str">
            <v/>
          </cell>
          <cell r="I365" t="str">
            <v/>
          </cell>
          <cell r="J365" t="str">
            <v/>
          </cell>
          <cell r="K365" t="str">
            <v/>
          </cell>
          <cell r="L365" t="str">
            <v/>
          </cell>
          <cell r="M365" t="str">
            <v>415021</v>
          </cell>
        </row>
        <row r="366">
          <cell r="A366" t="str">
            <v>32010301</v>
          </cell>
          <cell r="B366" t="str">
            <v>19/01/01..19/12/31</v>
          </cell>
          <cell r="C366" t="str">
            <v>Hedging_FX_ST asset</v>
          </cell>
          <cell r="D366" t="str">
            <v>套期工具-外汇合约-短期资产</v>
          </cell>
          <cell r="E366" t="str">
            <v>Balance Sheet</v>
          </cell>
          <cell r="F366" t="str">
            <v>Posting</v>
          </cell>
          <cell r="G366" t="str">
            <v>Yes</v>
          </cell>
          <cell r="H366" t="str">
            <v/>
          </cell>
          <cell r="I366">
            <v>-1389</v>
          </cell>
          <cell r="J366">
            <v>14636726.23</v>
          </cell>
          <cell r="K366">
            <v>14638115.23</v>
          </cell>
          <cell r="L366" t="str">
            <v/>
          </cell>
          <cell r="M366" t="str">
            <v>415010</v>
          </cell>
        </row>
        <row r="367">
          <cell r="A367" t="str">
            <v>32010302</v>
          </cell>
          <cell r="B367" t="str">
            <v>19/01/01..19/12/31</v>
          </cell>
          <cell r="C367" t="str">
            <v>Hedging_FX_LT asset</v>
          </cell>
          <cell r="D367" t="str">
            <v>套期工具-外汇合约-长期资产</v>
          </cell>
          <cell r="E367" t="str">
            <v>Balance Sheet</v>
          </cell>
          <cell r="F367" t="str">
            <v>Posting</v>
          </cell>
          <cell r="G367" t="str">
            <v>Yes</v>
          </cell>
          <cell r="H367" t="str">
            <v/>
          </cell>
          <cell r="I367" t="str">
            <v/>
          </cell>
          <cell r="J367" t="str">
            <v/>
          </cell>
          <cell r="K367" t="str">
            <v/>
          </cell>
          <cell r="L367" t="str">
            <v/>
          </cell>
          <cell r="M367" t="str">
            <v>415020</v>
          </cell>
        </row>
        <row r="368">
          <cell r="A368" t="str">
            <v>32011101</v>
          </cell>
          <cell r="B368" t="str">
            <v>19/01/01..19/12/31</v>
          </cell>
          <cell r="C368" t="str">
            <v>Hedging_Copper_ST liability</v>
          </cell>
          <cell r="D368" t="str">
            <v>套期工具-铜合约-短期负债</v>
          </cell>
          <cell r="E368" t="str">
            <v>Balance Sheet</v>
          </cell>
          <cell r="F368" t="str">
            <v>Posting</v>
          </cell>
          <cell r="G368" t="str">
            <v>Yes</v>
          </cell>
          <cell r="H368" t="str">
            <v/>
          </cell>
          <cell r="I368" t="str">
            <v/>
          </cell>
          <cell r="J368" t="str">
            <v/>
          </cell>
          <cell r="K368" t="str">
            <v/>
          </cell>
          <cell r="L368" t="str">
            <v/>
          </cell>
          <cell r="M368" t="str">
            <v>405011</v>
          </cell>
        </row>
        <row r="369">
          <cell r="A369" t="str">
            <v>32011102</v>
          </cell>
          <cell r="B369" t="str">
            <v>19/01/01..19/12/31</v>
          </cell>
          <cell r="C369" t="str">
            <v>Hedging_Copper_LT liability</v>
          </cell>
          <cell r="D369" t="str">
            <v>套期工具-铜合约-长期负债</v>
          </cell>
          <cell r="E369" t="str">
            <v>Balance Sheet</v>
          </cell>
          <cell r="F369" t="str">
            <v>Posting</v>
          </cell>
          <cell r="G369" t="str">
            <v>Yes</v>
          </cell>
          <cell r="H369" t="str">
            <v/>
          </cell>
          <cell r="I369" t="str">
            <v/>
          </cell>
          <cell r="J369" t="str">
            <v/>
          </cell>
          <cell r="K369" t="str">
            <v/>
          </cell>
          <cell r="L369" t="str">
            <v/>
          </cell>
          <cell r="M369" t="str">
            <v>405021</v>
          </cell>
        </row>
        <row r="370">
          <cell r="A370" t="str">
            <v>32011201</v>
          </cell>
          <cell r="B370" t="str">
            <v>19/01/01..19/12/31</v>
          </cell>
          <cell r="C370" t="str">
            <v>Hedging_Aluminum_ST liability</v>
          </cell>
          <cell r="D370" t="str">
            <v>套期工具-铝合约-短期负债</v>
          </cell>
          <cell r="E370" t="str">
            <v>Balance Sheet</v>
          </cell>
          <cell r="F370" t="str">
            <v>Posting</v>
          </cell>
          <cell r="G370" t="str">
            <v>Yes</v>
          </cell>
          <cell r="H370" t="str">
            <v/>
          </cell>
          <cell r="I370" t="str">
            <v/>
          </cell>
          <cell r="J370" t="str">
            <v/>
          </cell>
          <cell r="K370" t="str">
            <v/>
          </cell>
          <cell r="L370" t="str">
            <v/>
          </cell>
          <cell r="M370" t="str">
            <v>405011</v>
          </cell>
        </row>
        <row r="371">
          <cell r="A371" t="str">
            <v>32011202</v>
          </cell>
          <cell r="B371" t="str">
            <v>19/01/01..19/12/31</v>
          </cell>
          <cell r="C371" t="str">
            <v>Hedging_Aluminum_LT liability</v>
          </cell>
          <cell r="D371" t="str">
            <v>套期工具-铝合约-长期负债</v>
          </cell>
          <cell r="E371" t="str">
            <v>Balance Sheet</v>
          </cell>
          <cell r="F371" t="str">
            <v>Posting</v>
          </cell>
          <cell r="G371" t="str">
            <v>No</v>
          </cell>
          <cell r="H371" t="str">
            <v/>
          </cell>
          <cell r="I371" t="str">
            <v/>
          </cell>
          <cell r="J371" t="str">
            <v/>
          </cell>
          <cell r="K371" t="str">
            <v/>
          </cell>
          <cell r="L371" t="str">
            <v/>
          </cell>
          <cell r="M371" t="str">
            <v>405021</v>
          </cell>
        </row>
        <row r="372">
          <cell r="A372" t="str">
            <v>32011301</v>
          </cell>
          <cell r="B372" t="str">
            <v>19/01/01..19/12/31</v>
          </cell>
          <cell r="C372" t="str">
            <v>Hedging_FX_ST liability</v>
          </cell>
          <cell r="D372" t="str">
            <v>套期工具-外汇合约-短期负债</v>
          </cell>
          <cell r="E372" t="str">
            <v>Balance Sheet</v>
          </cell>
          <cell r="F372" t="str">
            <v>Posting</v>
          </cell>
          <cell r="G372" t="str">
            <v>Yes</v>
          </cell>
          <cell r="H372" t="str">
            <v/>
          </cell>
          <cell r="I372">
            <v>3447396</v>
          </cell>
          <cell r="J372">
            <v>75589941.359999999</v>
          </cell>
          <cell r="K372">
            <v>72142545.359999999</v>
          </cell>
          <cell r="L372">
            <v>-1000663.93</v>
          </cell>
          <cell r="M372" t="str">
            <v>405010</v>
          </cell>
        </row>
        <row r="373">
          <cell r="A373" t="str">
            <v>32011302</v>
          </cell>
          <cell r="B373" t="str">
            <v>19/01/01..19/12/31</v>
          </cell>
          <cell r="C373" t="str">
            <v>Hedging_FX_LT liability</v>
          </cell>
          <cell r="D373" t="str">
            <v>套期工具-外汇合约-长期负债</v>
          </cell>
          <cell r="E373" t="str">
            <v>Balance Sheet</v>
          </cell>
          <cell r="F373" t="str">
            <v>Posting</v>
          </cell>
          <cell r="G373" t="str">
            <v>Yes</v>
          </cell>
          <cell r="H373" t="str">
            <v/>
          </cell>
          <cell r="I373" t="str">
            <v/>
          </cell>
          <cell r="J373" t="str">
            <v/>
          </cell>
          <cell r="K373" t="str">
            <v/>
          </cell>
          <cell r="L373" t="str">
            <v/>
          </cell>
          <cell r="M373" t="str">
            <v>405020</v>
          </cell>
        </row>
        <row r="374">
          <cell r="A374" t="str">
            <v>32011303</v>
          </cell>
          <cell r="B374" t="str">
            <v>19/01/01..19/12/31</v>
          </cell>
          <cell r="C374" t="str">
            <v>Reserve CHF FX unrealized gain/loss</v>
          </cell>
          <cell r="D374" t="str">
            <v>套期工具-外汇合约-未实现汇兑损益</v>
          </cell>
          <cell r="E374" t="str">
            <v>Balance Sheet</v>
          </cell>
          <cell r="F374" t="str">
            <v>Posting</v>
          </cell>
          <cell r="G374" t="str">
            <v>Yes</v>
          </cell>
          <cell r="H374" t="str">
            <v/>
          </cell>
          <cell r="I374" t="str">
            <v/>
          </cell>
          <cell r="J374" t="str">
            <v/>
          </cell>
          <cell r="K374" t="str">
            <v/>
          </cell>
          <cell r="L374" t="str">
            <v/>
          </cell>
          <cell r="M374" t="str">
            <v>112010</v>
          </cell>
        </row>
        <row r="375">
          <cell r="A375" t="str">
            <v>40000000</v>
          </cell>
          <cell r="B375" t="str">
            <v>19/01/01..19/12/31</v>
          </cell>
          <cell r="C375" t="str">
            <v>Equity</v>
          </cell>
          <cell r="D375" t="str">
            <v>所有者权益</v>
          </cell>
          <cell r="E375" t="str">
            <v>Balance Sheet</v>
          </cell>
          <cell r="F375" t="str">
            <v>Begin-Total</v>
          </cell>
          <cell r="G375" t="str">
            <v>No</v>
          </cell>
          <cell r="H375" t="str">
            <v/>
          </cell>
          <cell r="I375" t="str">
            <v/>
          </cell>
          <cell r="J375" t="str">
            <v/>
          </cell>
          <cell r="K375" t="str">
            <v/>
          </cell>
          <cell r="L375" t="str">
            <v/>
          </cell>
          <cell r="M375" t="str">
            <v/>
          </cell>
        </row>
        <row r="376">
          <cell r="A376" t="str">
            <v>40010000</v>
          </cell>
          <cell r="B376" t="str">
            <v>19/01/01..19/12/31</v>
          </cell>
          <cell r="C376" t="str">
            <v>Paid-in Capital</v>
          </cell>
          <cell r="D376" t="str">
            <v>实收资本</v>
          </cell>
          <cell r="E376" t="str">
            <v>Balance Sheet</v>
          </cell>
          <cell r="F376" t="str">
            <v>Posting</v>
          </cell>
          <cell r="G376" t="str">
            <v>Yes</v>
          </cell>
          <cell r="H376" t="str">
            <v/>
          </cell>
          <cell r="I376" t="str">
            <v/>
          </cell>
          <cell r="J376" t="str">
            <v/>
          </cell>
          <cell r="K376" t="str">
            <v/>
          </cell>
          <cell r="L376">
            <v>-306849861.18000001</v>
          </cell>
          <cell r="M376" t="str">
            <v>101000</v>
          </cell>
        </row>
        <row r="377">
          <cell r="A377" t="str">
            <v>40020000</v>
          </cell>
          <cell r="B377" t="str">
            <v>19/01/01..19/12/31</v>
          </cell>
          <cell r="C377" t="str">
            <v>Capital Reserve</v>
          </cell>
          <cell r="D377" t="str">
            <v>资本公积</v>
          </cell>
          <cell r="E377" t="str">
            <v>Balance Sheet</v>
          </cell>
          <cell r="F377" t="str">
            <v>Begin-Total</v>
          </cell>
          <cell r="G377" t="str">
            <v>No</v>
          </cell>
          <cell r="H377" t="str">
            <v/>
          </cell>
          <cell r="I377" t="str">
            <v/>
          </cell>
          <cell r="J377" t="str">
            <v/>
          </cell>
          <cell r="K377" t="str">
            <v/>
          </cell>
          <cell r="L377" t="str">
            <v/>
          </cell>
          <cell r="M377" t="str">
            <v/>
          </cell>
        </row>
        <row r="378">
          <cell r="A378" t="str">
            <v>40020100</v>
          </cell>
          <cell r="B378" t="str">
            <v>19/01/01..19/12/31</v>
          </cell>
          <cell r="C378" t="str">
            <v>Capital Reserve_FX Revaluation</v>
          </cell>
          <cell r="D378" t="str">
            <v>资本公积_资本折算差额</v>
          </cell>
          <cell r="E378" t="str">
            <v>Balance Sheet</v>
          </cell>
          <cell r="F378" t="str">
            <v>Posting</v>
          </cell>
          <cell r="G378" t="str">
            <v>Yes</v>
          </cell>
          <cell r="H378" t="str">
            <v/>
          </cell>
          <cell r="I378" t="str">
            <v/>
          </cell>
          <cell r="J378" t="str">
            <v/>
          </cell>
          <cell r="K378" t="str">
            <v/>
          </cell>
          <cell r="L378" t="str">
            <v/>
          </cell>
          <cell r="M378" t="str">
            <v>104000</v>
          </cell>
        </row>
        <row r="379">
          <cell r="A379" t="str">
            <v>40020200</v>
          </cell>
          <cell r="B379" t="str">
            <v>19/01/01..19/12/31</v>
          </cell>
          <cell r="C379" t="str">
            <v>Capital Reserve_Other</v>
          </cell>
          <cell r="D379" t="str">
            <v>资本公积_其他</v>
          </cell>
          <cell r="E379" t="str">
            <v>Balance Sheet</v>
          </cell>
          <cell r="F379" t="str">
            <v>Posting</v>
          </cell>
          <cell r="G379" t="str">
            <v>Yes</v>
          </cell>
          <cell r="H379" t="str">
            <v/>
          </cell>
          <cell r="I379" t="str">
            <v/>
          </cell>
          <cell r="J379" t="str">
            <v/>
          </cell>
          <cell r="K379" t="str">
            <v/>
          </cell>
          <cell r="L379" t="str">
            <v/>
          </cell>
          <cell r="M379" t="str">
            <v>104000</v>
          </cell>
        </row>
        <row r="380">
          <cell r="A380" t="str">
            <v>40020201</v>
          </cell>
          <cell r="B380" t="str">
            <v>19/01/01..19/12/31</v>
          </cell>
          <cell r="C380" t="str">
            <v>Capital Reserve CHF FX unrealized gain/loss</v>
          </cell>
          <cell r="D380" t="str">
            <v>资本公积-外汇合约-未实现汇兑损益</v>
          </cell>
          <cell r="E380" t="str">
            <v>Balance Sheet</v>
          </cell>
          <cell r="F380" t="str">
            <v>Posting</v>
          </cell>
          <cell r="G380" t="str">
            <v>Yes</v>
          </cell>
          <cell r="H380" t="str">
            <v/>
          </cell>
          <cell r="I380">
            <v>-2130.25</v>
          </cell>
          <cell r="J380">
            <v>24267.52</v>
          </cell>
          <cell r="K380">
            <v>26397.77</v>
          </cell>
          <cell r="L380" t="str">
            <v/>
          </cell>
          <cell r="M380" t="str">
            <v>112010</v>
          </cell>
        </row>
        <row r="381">
          <cell r="A381" t="str">
            <v>40029999</v>
          </cell>
          <cell r="B381" t="str">
            <v>19/01/01..19/12/31</v>
          </cell>
          <cell r="C381" t="str">
            <v>Capital Reserve_Total</v>
          </cell>
          <cell r="D381" t="str">
            <v>资本公积合计</v>
          </cell>
          <cell r="E381" t="str">
            <v>Balance Sheet</v>
          </cell>
          <cell r="F381" t="str">
            <v>End-Total</v>
          </cell>
          <cell r="G381" t="str">
            <v>No</v>
          </cell>
          <cell r="H381" t="str">
            <v>40020000..40029999</v>
          </cell>
          <cell r="I381">
            <v>-2130.25</v>
          </cell>
          <cell r="J381">
            <v>24267.52</v>
          </cell>
          <cell r="K381">
            <v>26397.77</v>
          </cell>
          <cell r="L381" t="str">
            <v/>
          </cell>
          <cell r="M381" t="str">
            <v/>
          </cell>
        </row>
        <row r="382">
          <cell r="A382" t="str">
            <v>41010000</v>
          </cell>
          <cell r="B382" t="str">
            <v>19/01/01..19/12/31</v>
          </cell>
          <cell r="C382" t="str">
            <v>Surplus Reserve</v>
          </cell>
          <cell r="D382" t="str">
            <v>盈余公积</v>
          </cell>
          <cell r="E382" t="str">
            <v>Balance Sheet</v>
          </cell>
          <cell r="F382" t="str">
            <v>Begin-Total</v>
          </cell>
          <cell r="G382" t="str">
            <v>No</v>
          </cell>
          <cell r="H382" t="str">
            <v/>
          </cell>
          <cell r="I382" t="str">
            <v/>
          </cell>
          <cell r="J382" t="str">
            <v/>
          </cell>
          <cell r="K382" t="str">
            <v/>
          </cell>
          <cell r="L382" t="str">
            <v/>
          </cell>
          <cell r="M382" t="str">
            <v/>
          </cell>
        </row>
        <row r="383">
          <cell r="A383" t="str">
            <v>41010100</v>
          </cell>
          <cell r="B383" t="str">
            <v>19/01/01..19/12/31</v>
          </cell>
          <cell r="C383" t="str">
            <v>Surplus Reserve_Reserve fund</v>
          </cell>
          <cell r="D383" t="str">
            <v>盈余公积-储备基金</v>
          </cell>
          <cell r="E383" t="str">
            <v>Balance Sheet</v>
          </cell>
          <cell r="F383" t="str">
            <v>Posting</v>
          </cell>
          <cell r="G383" t="str">
            <v>Yes</v>
          </cell>
          <cell r="H383" t="str">
            <v/>
          </cell>
          <cell r="I383" t="str">
            <v/>
          </cell>
          <cell r="J383" t="str">
            <v/>
          </cell>
          <cell r="K383" t="str">
            <v/>
          </cell>
          <cell r="L383" t="str">
            <v/>
          </cell>
          <cell r="M383" t="str">
            <v>106000</v>
          </cell>
        </row>
        <row r="384">
          <cell r="A384" t="str">
            <v>41010200</v>
          </cell>
          <cell r="B384" t="str">
            <v>19/01/01..19/12/31</v>
          </cell>
          <cell r="C384" t="str">
            <v>Surplus Reserve_Develop. fund</v>
          </cell>
          <cell r="D384" t="str">
            <v>盈余公积-企业发展基金</v>
          </cell>
          <cell r="E384" t="str">
            <v>Balance Sheet</v>
          </cell>
          <cell r="F384" t="str">
            <v>Posting</v>
          </cell>
          <cell r="G384" t="str">
            <v>Yes</v>
          </cell>
          <cell r="H384" t="str">
            <v/>
          </cell>
          <cell r="I384" t="str">
            <v/>
          </cell>
          <cell r="J384" t="str">
            <v/>
          </cell>
          <cell r="K384" t="str">
            <v/>
          </cell>
          <cell r="L384" t="str">
            <v/>
          </cell>
          <cell r="M384" t="str">
            <v>106000</v>
          </cell>
        </row>
        <row r="385">
          <cell r="A385" t="str">
            <v>41010300</v>
          </cell>
          <cell r="B385" t="str">
            <v>19/01/01..19/12/31</v>
          </cell>
          <cell r="C385" t="str">
            <v>Surplus Reserve_Welfare fund</v>
          </cell>
          <cell r="D385" t="str">
            <v>盈余公积-职工奖励及福利基金</v>
          </cell>
          <cell r="E385" t="str">
            <v>Balance Sheet</v>
          </cell>
          <cell r="F385" t="str">
            <v>Posting</v>
          </cell>
          <cell r="G385" t="str">
            <v>Yes</v>
          </cell>
          <cell r="H385" t="str">
            <v/>
          </cell>
          <cell r="I385" t="str">
            <v/>
          </cell>
          <cell r="J385" t="str">
            <v/>
          </cell>
          <cell r="K385" t="str">
            <v/>
          </cell>
          <cell r="L385" t="str">
            <v/>
          </cell>
          <cell r="M385" t="str">
            <v>106000</v>
          </cell>
        </row>
        <row r="386">
          <cell r="A386" t="str">
            <v>41019999</v>
          </cell>
          <cell r="B386" t="str">
            <v>19/01/01..19/12/31</v>
          </cell>
          <cell r="C386" t="str">
            <v>Surplus Reserve_Total</v>
          </cell>
          <cell r="D386" t="str">
            <v>盈余公积合计</v>
          </cell>
          <cell r="E386" t="str">
            <v>Balance Sheet</v>
          </cell>
          <cell r="F386" t="str">
            <v>End-Total</v>
          </cell>
          <cell r="G386" t="str">
            <v>No</v>
          </cell>
          <cell r="H386" t="str">
            <v>41010000..41019999</v>
          </cell>
          <cell r="I386" t="str">
            <v/>
          </cell>
          <cell r="J386" t="str">
            <v/>
          </cell>
          <cell r="K386" t="str">
            <v/>
          </cell>
          <cell r="L386" t="str">
            <v/>
          </cell>
          <cell r="M386" t="str">
            <v/>
          </cell>
        </row>
        <row r="387">
          <cell r="A387" t="str">
            <v>41030000</v>
          </cell>
          <cell r="B387" t="str">
            <v>19/01/01..19/12/31</v>
          </cell>
          <cell r="C387" t="str">
            <v>Profits for the year</v>
          </cell>
          <cell r="D387" t="str">
            <v>本年利润</v>
          </cell>
          <cell r="E387" t="str">
            <v>Balance Sheet</v>
          </cell>
          <cell r="F387" t="str">
            <v>Posting</v>
          </cell>
          <cell r="G387" t="str">
            <v>No</v>
          </cell>
          <cell r="H387" t="str">
            <v/>
          </cell>
          <cell r="I387" t="str">
            <v/>
          </cell>
          <cell r="J387" t="str">
            <v/>
          </cell>
          <cell r="K387" t="str">
            <v/>
          </cell>
          <cell r="L387" t="str">
            <v/>
          </cell>
          <cell r="M387" t="str">
            <v>120000</v>
          </cell>
        </row>
        <row r="388">
          <cell r="A388" t="str">
            <v>41040000</v>
          </cell>
          <cell r="B388" t="str">
            <v>19/01/01..19/12/31</v>
          </cell>
          <cell r="C388" t="str">
            <v>Retained Earning</v>
          </cell>
          <cell r="D388" t="str">
            <v>未分配利润</v>
          </cell>
          <cell r="E388" t="str">
            <v>Balance Sheet</v>
          </cell>
          <cell r="F388" t="str">
            <v>Posting</v>
          </cell>
          <cell r="G388" t="str">
            <v>Yes</v>
          </cell>
          <cell r="H388" t="str">
            <v/>
          </cell>
          <cell r="I388" t="str">
            <v/>
          </cell>
          <cell r="J388" t="str">
            <v/>
          </cell>
          <cell r="K388" t="str">
            <v/>
          </cell>
          <cell r="L388">
            <v>24210170.739999998</v>
          </cell>
          <cell r="M388" t="str">
            <v>106000</v>
          </cell>
        </row>
        <row r="389">
          <cell r="A389" t="str">
            <v>49999998</v>
          </cell>
          <cell r="B389" t="str">
            <v>19/01/01..19/12/31</v>
          </cell>
          <cell r="C389" t="str">
            <v>Equity_Total</v>
          </cell>
          <cell r="D389" t="str">
            <v>所有者权益-合计</v>
          </cell>
          <cell r="E389" t="str">
            <v>Balance Sheet</v>
          </cell>
          <cell r="F389" t="str">
            <v>End-Total</v>
          </cell>
          <cell r="G389" t="str">
            <v>No</v>
          </cell>
          <cell r="H389" t="str">
            <v>40000000..49999998</v>
          </cell>
          <cell r="I389">
            <v>-2130.25</v>
          </cell>
          <cell r="J389">
            <v>24267.52</v>
          </cell>
          <cell r="K389">
            <v>26397.77</v>
          </cell>
          <cell r="L389">
            <v>-282639690.44</v>
          </cell>
          <cell r="M389" t="str">
            <v/>
          </cell>
        </row>
        <row r="390">
          <cell r="A390" t="str">
            <v>49999999</v>
          </cell>
          <cell r="B390" t="str">
            <v>19/01/01..19/12/31</v>
          </cell>
          <cell r="C390" t="str">
            <v>Liability&amp; Equity_Total</v>
          </cell>
          <cell r="D390" t="str">
            <v>负债和所有者权益-合计</v>
          </cell>
          <cell r="E390" t="str">
            <v>Balance Sheet</v>
          </cell>
          <cell r="F390" t="str">
            <v>Total</v>
          </cell>
          <cell r="G390" t="str">
            <v>No</v>
          </cell>
          <cell r="H390" t="str">
            <v>20000000..49999999</v>
          </cell>
          <cell r="I390">
            <v>-23763955.870000001</v>
          </cell>
          <cell r="J390">
            <v>2261602469.6999998</v>
          </cell>
          <cell r="K390">
            <v>2285366425.5700002</v>
          </cell>
          <cell r="L390">
            <v>-753588476.26999998</v>
          </cell>
          <cell r="M390" t="str">
            <v/>
          </cell>
        </row>
        <row r="391">
          <cell r="A391" t="str">
            <v>50010000</v>
          </cell>
          <cell r="B391" t="str">
            <v>19/01/01..19/12/31</v>
          </cell>
          <cell r="C391" t="str">
            <v>Production Cost</v>
          </cell>
          <cell r="D391" t="str">
            <v>生产成本</v>
          </cell>
          <cell r="E391" t="str">
            <v>Income Statement</v>
          </cell>
          <cell r="F391" t="str">
            <v>Posting</v>
          </cell>
          <cell r="G391" t="str">
            <v>Yes</v>
          </cell>
          <cell r="H391" t="str">
            <v/>
          </cell>
          <cell r="I391" t="str">
            <v/>
          </cell>
          <cell r="J391">
            <v>36713212.219999999</v>
          </cell>
          <cell r="K391">
            <v>36713212.219999999</v>
          </cell>
          <cell r="L391" t="str">
            <v/>
          </cell>
          <cell r="M391" t="str">
            <v>90010000</v>
          </cell>
        </row>
        <row r="392">
          <cell r="A392" t="str">
            <v>51010000</v>
          </cell>
          <cell r="B392" t="str">
            <v>19/01/01..19/12/31</v>
          </cell>
          <cell r="C392" t="str">
            <v>Manufacturing expenses</v>
          </cell>
          <cell r="D392" t="str">
            <v>制造费用</v>
          </cell>
          <cell r="E392" t="str">
            <v>Income Statement</v>
          </cell>
          <cell r="F392" t="str">
            <v>Begin-Total</v>
          </cell>
          <cell r="G392" t="str">
            <v>No</v>
          </cell>
          <cell r="H392" t="str">
            <v/>
          </cell>
          <cell r="I392" t="str">
            <v/>
          </cell>
          <cell r="J392" t="str">
            <v/>
          </cell>
          <cell r="K392" t="str">
            <v/>
          </cell>
          <cell r="L392" t="str">
            <v/>
          </cell>
          <cell r="M392" t="str">
            <v/>
          </cell>
        </row>
        <row r="393">
          <cell r="A393" t="str">
            <v>51010100</v>
          </cell>
          <cell r="B393" t="str">
            <v>19/01/01..19/12/31</v>
          </cell>
          <cell r="C393" t="str">
            <v xml:space="preserve">Manuf. Exp.-Salary </v>
          </cell>
          <cell r="D393" t="str">
            <v>制造费用_工资</v>
          </cell>
          <cell r="E393" t="str">
            <v>Income Statement</v>
          </cell>
          <cell r="F393" t="str">
            <v>Posting</v>
          </cell>
          <cell r="G393" t="str">
            <v>No</v>
          </cell>
          <cell r="H393" t="str">
            <v/>
          </cell>
          <cell r="I393" t="str">
            <v/>
          </cell>
          <cell r="J393" t="str">
            <v/>
          </cell>
          <cell r="K393" t="str">
            <v/>
          </cell>
          <cell r="L393" t="str">
            <v/>
          </cell>
          <cell r="M393" t="str">
            <v>90010000</v>
          </cell>
        </row>
        <row r="394">
          <cell r="A394" t="str">
            <v>51010101</v>
          </cell>
          <cell r="B394" t="str">
            <v>19/01/01..19/12/31</v>
          </cell>
          <cell r="C394" t="str">
            <v>Manuf. Exp.-Salary-Basic Salary</v>
          </cell>
          <cell r="D394" t="str">
            <v>制造费用-工资-基本工资</v>
          </cell>
          <cell r="E394" t="str">
            <v>Income Statement</v>
          </cell>
          <cell r="F394" t="str">
            <v>Posting</v>
          </cell>
          <cell r="G394" t="str">
            <v>Yes</v>
          </cell>
          <cell r="H394" t="str">
            <v/>
          </cell>
          <cell r="I394">
            <v>9058600.1999999993</v>
          </cell>
          <cell r="J394">
            <v>9376980.5399999991</v>
          </cell>
          <cell r="K394">
            <v>318380.34000000003</v>
          </cell>
          <cell r="L394">
            <v>9058600.1999999993</v>
          </cell>
          <cell r="M394" t="str">
            <v>90010000</v>
          </cell>
        </row>
        <row r="395">
          <cell r="A395" t="str">
            <v>51010102</v>
          </cell>
          <cell r="B395" t="str">
            <v>19/01/01..19/12/31</v>
          </cell>
          <cell r="C395" t="str">
            <v>Manuf. Exp.-Salary-OT</v>
          </cell>
          <cell r="D395" t="str">
            <v>制造费用-工资-加班工资</v>
          </cell>
          <cell r="E395" t="str">
            <v>Income Statement</v>
          </cell>
          <cell r="F395" t="str">
            <v>Posting</v>
          </cell>
          <cell r="G395" t="str">
            <v>Yes</v>
          </cell>
          <cell r="H395" t="str">
            <v/>
          </cell>
          <cell r="I395">
            <v>3054398.97</v>
          </cell>
          <cell r="J395">
            <v>4260313.25</v>
          </cell>
          <cell r="K395">
            <v>1205914.28</v>
          </cell>
          <cell r="L395">
            <v>3054398.97</v>
          </cell>
          <cell r="M395" t="str">
            <v>90010000</v>
          </cell>
        </row>
        <row r="396">
          <cell r="A396" t="str">
            <v>51010103</v>
          </cell>
          <cell r="B396" t="str">
            <v>19/01/01..19/12/31</v>
          </cell>
          <cell r="C396" t="str">
            <v>Manuf. Exp.-Salary-13th Salary</v>
          </cell>
          <cell r="D396" t="str">
            <v>制造费用-工资-13薪</v>
          </cell>
          <cell r="E396" t="str">
            <v>Income Statement</v>
          </cell>
          <cell r="F396" t="str">
            <v>Posting</v>
          </cell>
          <cell r="G396" t="str">
            <v>Yes</v>
          </cell>
          <cell r="H396" t="str">
            <v/>
          </cell>
          <cell r="I396">
            <v>435766.37</v>
          </cell>
          <cell r="J396">
            <v>453417.21</v>
          </cell>
          <cell r="K396">
            <v>17650.84</v>
          </cell>
          <cell r="L396">
            <v>435766.37</v>
          </cell>
          <cell r="M396" t="str">
            <v>90010000</v>
          </cell>
        </row>
        <row r="397">
          <cell r="A397" t="str">
            <v>51010104</v>
          </cell>
          <cell r="B397" t="str">
            <v>19/01/01..19/12/31</v>
          </cell>
          <cell r="C397" t="str">
            <v>Manuf. Exp.-Salary-Bonus</v>
          </cell>
          <cell r="D397" t="str">
            <v>制造费用-工资-奖金</v>
          </cell>
          <cell r="E397" t="str">
            <v>Income Statement</v>
          </cell>
          <cell r="F397" t="str">
            <v>Posting</v>
          </cell>
          <cell r="G397" t="str">
            <v>Yes</v>
          </cell>
          <cell r="H397" t="str">
            <v/>
          </cell>
          <cell r="I397">
            <v>1073891.02</v>
          </cell>
          <cell r="J397">
            <v>1143436.07</v>
          </cell>
          <cell r="K397">
            <v>69545.05</v>
          </cell>
          <cell r="L397">
            <v>1073891.02</v>
          </cell>
          <cell r="M397" t="str">
            <v>90010000</v>
          </cell>
        </row>
        <row r="398">
          <cell r="A398" t="str">
            <v>51010105</v>
          </cell>
          <cell r="B398" t="str">
            <v>19/01/01..19/12/31</v>
          </cell>
          <cell r="C398" t="str">
            <v>Manuf. Exp.-Salary-Housing Allowance</v>
          </cell>
          <cell r="D398" t="str">
            <v>制造费用-工资-房贴</v>
          </cell>
          <cell r="E398" t="str">
            <v>Income Statement</v>
          </cell>
          <cell r="F398" t="str">
            <v>Posting</v>
          </cell>
          <cell r="G398" t="str">
            <v>Yes</v>
          </cell>
          <cell r="H398" t="str">
            <v/>
          </cell>
          <cell r="I398">
            <v>11859</v>
          </cell>
          <cell r="J398">
            <v>11859</v>
          </cell>
          <cell r="K398" t="str">
            <v/>
          </cell>
          <cell r="L398">
            <v>11859</v>
          </cell>
          <cell r="M398" t="str">
            <v>90010000</v>
          </cell>
        </row>
        <row r="399">
          <cell r="A399" t="str">
            <v>51010106</v>
          </cell>
          <cell r="B399" t="str">
            <v>19/01/01..19/12/31</v>
          </cell>
          <cell r="C399" t="str">
            <v>Manuf. Exp.-Salary-Severance Pay</v>
          </cell>
          <cell r="D399" t="str">
            <v>制造费用-工资-离职补偿金</v>
          </cell>
          <cell r="E399" t="str">
            <v>Income Statement</v>
          </cell>
          <cell r="F399" t="str">
            <v>Posting</v>
          </cell>
          <cell r="G399" t="str">
            <v>Yes</v>
          </cell>
          <cell r="H399" t="str">
            <v/>
          </cell>
          <cell r="I399">
            <v>80000</v>
          </cell>
          <cell r="J399">
            <v>80000</v>
          </cell>
          <cell r="K399" t="str">
            <v/>
          </cell>
          <cell r="L399">
            <v>80000</v>
          </cell>
          <cell r="M399" t="str">
            <v>90010000</v>
          </cell>
        </row>
        <row r="400">
          <cell r="A400" t="str">
            <v>51010110</v>
          </cell>
          <cell r="B400" t="str">
            <v>19/01/01..19/12/31</v>
          </cell>
          <cell r="C400" t="str">
            <v>Manuf. Exp.-Social welfare</v>
          </cell>
          <cell r="D400" t="str">
            <v>制造费用_四金</v>
          </cell>
          <cell r="E400" t="str">
            <v>Income Statement</v>
          </cell>
          <cell r="F400" t="str">
            <v>Posting</v>
          </cell>
          <cell r="G400" t="str">
            <v>No</v>
          </cell>
          <cell r="H400" t="str">
            <v/>
          </cell>
          <cell r="I400" t="str">
            <v/>
          </cell>
          <cell r="J400" t="str">
            <v/>
          </cell>
          <cell r="K400" t="str">
            <v/>
          </cell>
          <cell r="L400" t="str">
            <v/>
          </cell>
          <cell r="M400" t="str">
            <v>90010000</v>
          </cell>
        </row>
        <row r="401">
          <cell r="A401" t="str">
            <v>51010111</v>
          </cell>
          <cell r="B401" t="str">
            <v>19/01/01..19/12/31</v>
          </cell>
          <cell r="C401" t="str">
            <v>Manuf. Exp.-Social Welfare-Pension Benefit</v>
          </cell>
          <cell r="D401" t="str">
            <v>制造费用-社保-养老保险</v>
          </cell>
          <cell r="E401" t="str">
            <v>Income Statement</v>
          </cell>
          <cell r="F401" t="str">
            <v>Posting</v>
          </cell>
          <cell r="G401" t="str">
            <v>Yes</v>
          </cell>
          <cell r="H401" t="str">
            <v/>
          </cell>
          <cell r="I401">
            <v>1904124.55</v>
          </cell>
          <cell r="J401">
            <v>1932070.15</v>
          </cell>
          <cell r="K401">
            <v>27945.599999999999</v>
          </cell>
          <cell r="L401">
            <v>1904124.55</v>
          </cell>
          <cell r="M401" t="str">
            <v>90010000</v>
          </cell>
        </row>
        <row r="402">
          <cell r="A402" t="str">
            <v>51010112</v>
          </cell>
          <cell r="B402" t="str">
            <v>19/01/01..19/12/31</v>
          </cell>
          <cell r="C402" t="str">
            <v>Manuf. Exp.-Social Welfare-Medical Insurance</v>
          </cell>
          <cell r="D402" t="str">
            <v>制造费用-社保-医疗保险</v>
          </cell>
          <cell r="E402" t="str">
            <v>Income Statement</v>
          </cell>
          <cell r="F402" t="str">
            <v>Posting</v>
          </cell>
          <cell r="G402" t="str">
            <v>Yes</v>
          </cell>
          <cell r="H402" t="str">
            <v/>
          </cell>
          <cell r="I402">
            <v>957941.97</v>
          </cell>
          <cell r="J402">
            <v>972035.97</v>
          </cell>
          <cell r="K402">
            <v>14094</v>
          </cell>
          <cell r="L402">
            <v>957941.97</v>
          </cell>
          <cell r="M402" t="str">
            <v>90010000</v>
          </cell>
        </row>
        <row r="403">
          <cell r="A403" t="str">
            <v>51010113</v>
          </cell>
          <cell r="B403" t="str">
            <v>19/01/01..19/12/31</v>
          </cell>
          <cell r="C403" t="str">
            <v>Manuf. Exp.-Social Welfare-Maternity Insurance</v>
          </cell>
          <cell r="D403" t="str">
            <v>制造费用-社保-生育保险</v>
          </cell>
          <cell r="E403" t="str">
            <v>Income Statement</v>
          </cell>
          <cell r="F403" t="str">
            <v>Posting</v>
          </cell>
          <cell r="G403" t="str">
            <v>Yes</v>
          </cell>
          <cell r="H403" t="str">
            <v/>
          </cell>
          <cell r="I403">
            <v>49209.03</v>
          </cell>
          <cell r="J403">
            <v>92375.48</v>
          </cell>
          <cell r="K403">
            <v>43166.45</v>
          </cell>
          <cell r="L403">
            <v>49209.03</v>
          </cell>
          <cell r="M403" t="str">
            <v>90010000</v>
          </cell>
        </row>
        <row r="404">
          <cell r="A404" t="str">
            <v>51010114</v>
          </cell>
          <cell r="B404" t="str">
            <v>19/01/01..19/12/31</v>
          </cell>
          <cell r="C404" t="str">
            <v>Manuf. Exp.-Social Welfare-Life, Accident</v>
          </cell>
          <cell r="D404" t="str">
            <v>制造费用-社保-工伤保险</v>
          </cell>
          <cell r="E404" t="str">
            <v>Income Statement</v>
          </cell>
          <cell r="F404" t="str">
            <v>Posting</v>
          </cell>
          <cell r="G404" t="str">
            <v>Yes</v>
          </cell>
          <cell r="H404" t="str">
            <v/>
          </cell>
          <cell r="I404">
            <v>33403.980000000003</v>
          </cell>
          <cell r="J404">
            <v>33873.78</v>
          </cell>
          <cell r="K404">
            <v>469.8</v>
          </cell>
          <cell r="L404">
            <v>33403.980000000003</v>
          </cell>
          <cell r="M404" t="str">
            <v>90010000</v>
          </cell>
        </row>
        <row r="405">
          <cell r="A405" t="str">
            <v>51010115</v>
          </cell>
          <cell r="B405" t="str">
            <v>19/01/01..19/12/31</v>
          </cell>
          <cell r="C405" t="str">
            <v>Manuf. Exp.-Social Welfare-Unemployment</v>
          </cell>
          <cell r="D405" t="str">
            <v>制造费用-社保-失业保险</v>
          </cell>
          <cell r="E405" t="str">
            <v>Income Statement</v>
          </cell>
          <cell r="F405" t="str">
            <v>Posting</v>
          </cell>
          <cell r="G405" t="str">
            <v>Yes</v>
          </cell>
          <cell r="H405" t="str">
            <v/>
          </cell>
          <cell r="I405">
            <v>56034.62</v>
          </cell>
          <cell r="J405">
            <v>56817.62</v>
          </cell>
          <cell r="K405">
            <v>783</v>
          </cell>
          <cell r="L405">
            <v>56034.62</v>
          </cell>
          <cell r="M405" t="str">
            <v>90010000</v>
          </cell>
        </row>
        <row r="406">
          <cell r="A406" t="str">
            <v>51010116</v>
          </cell>
          <cell r="B406" t="str">
            <v>19/01/01..19/12/31</v>
          </cell>
          <cell r="C406" t="str">
            <v>Manuf. Exp.-Social Welfare-Housing Fund</v>
          </cell>
          <cell r="D406" t="str">
            <v>制造费用-社保-公积金</v>
          </cell>
          <cell r="E406" t="str">
            <v>Income Statement</v>
          </cell>
          <cell r="F406" t="str">
            <v>Posting</v>
          </cell>
          <cell r="G406" t="str">
            <v>Yes</v>
          </cell>
          <cell r="H406" t="str">
            <v/>
          </cell>
          <cell r="I406">
            <v>877923</v>
          </cell>
          <cell r="J406">
            <v>890469</v>
          </cell>
          <cell r="K406">
            <v>12546</v>
          </cell>
          <cell r="L406">
            <v>877923</v>
          </cell>
          <cell r="M406" t="str">
            <v>90010000</v>
          </cell>
        </row>
        <row r="407">
          <cell r="A407" t="str">
            <v>51010120</v>
          </cell>
          <cell r="B407" t="str">
            <v>19/01/01..19/12/31</v>
          </cell>
          <cell r="C407" t="str">
            <v>Manuf. Exp.-Fringe benefits</v>
          </cell>
          <cell r="D407" t="str">
            <v>制造费用_福利费</v>
          </cell>
          <cell r="E407" t="str">
            <v>Income Statement</v>
          </cell>
          <cell r="F407" t="str">
            <v>Posting</v>
          </cell>
          <cell r="G407" t="str">
            <v>Yes</v>
          </cell>
          <cell r="H407" t="str">
            <v/>
          </cell>
          <cell r="I407">
            <v>1080</v>
          </cell>
          <cell r="J407">
            <v>1080</v>
          </cell>
          <cell r="K407" t="str">
            <v/>
          </cell>
          <cell r="L407">
            <v>1080</v>
          </cell>
          <cell r="M407" t="str">
            <v>90010000</v>
          </cell>
        </row>
        <row r="408">
          <cell r="A408" t="str">
            <v>51010130</v>
          </cell>
          <cell r="B408" t="str">
            <v>19/01/01..19/12/31</v>
          </cell>
          <cell r="C408" t="str">
            <v>Manuf. Exp.-Salary_Outsource</v>
          </cell>
          <cell r="D408" t="str">
            <v>制造费用_外包劳务费</v>
          </cell>
          <cell r="E408" t="str">
            <v>Income Statement</v>
          </cell>
          <cell r="F408" t="str">
            <v>Posting</v>
          </cell>
          <cell r="G408" t="str">
            <v>Yes</v>
          </cell>
          <cell r="H408" t="str">
            <v/>
          </cell>
          <cell r="I408">
            <v>3999680.58</v>
          </cell>
          <cell r="J408">
            <v>4986349</v>
          </cell>
          <cell r="K408">
            <v>986668.42</v>
          </cell>
          <cell r="L408">
            <v>3999680.58</v>
          </cell>
          <cell r="M408" t="str">
            <v>90010000</v>
          </cell>
        </row>
        <row r="409">
          <cell r="A409" t="str">
            <v>51010200</v>
          </cell>
          <cell r="B409" t="str">
            <v>19/01/01..19/12/31</v>
          </cell>
          <cell r="C409" t="str">
            <v>Manuf. Exp.-Depreciation</v>
          </cell>
          <cell r="D409" t="str">
            <v>制造费用_折旧费</v>
          </cell>
          <cell r="E409" t="str">
            <v>Income Statement</v>
          </cell>
          <cell r="F409" t="str">
            <v>Posting</v>
          </cell>
          <cell r="G409" t="str">
            <v>Yes</v>
          </cell>
          <cell r="H409" t="str">
            <v/>
          </cell>
          <cell r="I409">
            <v>3193380.5</v>
          </cell>
          <cell r="J409">
            <v>3193380.5</v>
          </cell>
          <cell r="K409" t="str">
            <v/>
          </cell>
          <cell r="L409">
            <v>3193380.5</v>
          </cell>
          <cell r="M409" t="str">
            <v>90010000</v>
          </cell>
        </row>
        <row r="410">
          <cell r="A410" t="str">
            <v>51010300</v>
          </cell>
          <cell r="B410" t="str">
            <v>19/01/01..19/12/31</v>
          </cell>
          <cell r="C410" t="str">
            <v>Manuf. Exp.-Maintenance</v>
          </cell>
          <cell r="D410" t="str">
            <v>制造费用_修理费</v>
          </cell>
          <cell r="E410" t="str">
            <v>Income Statement</v>
          </cell>
          <cell r="F410" t="str">
            <v>Begin-Total</v>
          </cell>
          <cell r="G410" t="str">
            <v>No</v>
          </cell>
          <cell r="H410" t="str">
            <v/>
          </cell>
          <cell r="I410" t="str">
            <v/>
          </cell>
          <cell r="J410" t="str">
            <v/>
          </cell>
          <cell r="K410" t="str">
            <v/>
          </cell>
          <cell r="L410" t="str">
            <v/>
          </cell>
          <cell r="M410" t="str">
            <v/>
          </cell>
        </row>
        <row r="411">
          <cell r="A411" t="str">
            <v>51010301</v>
          </cell>
          <cell r="B411" t="str">
            <v>19/01/01..19/12/31</v>
          </cell>
          <cell r="C411" t="str">
            <v>Manuf. Exp.-Mainte.-Building</v>
          </cell>
          <cell r="D411" t="str">
            <v>制造费用_修理费_建筑物</v>
          </cell>
          <cell r="E411" t="str">
            <v>Income Statement</v>
          </cell>
          <cell r="F411" t="str">
            <v>Posting</v>
          </cell>
          <cell r="G411" t="str">
            <v>Yes</v>
          </cell>
          <cell r="H411" t="str">
            <v/>
          </cell>
          <cell r="I411" t="str">
            <v/>
          </cell>
          <cell r="J411">
            <v>4854.37</v>
          </cell>
          <cell r="K411">
            <v>4854.37</v>
          </cell>
          <cell r="L411" t="str">
            <v/>
          </cell>
          <cell r="M411" t="str">
            <v>90010000</v>
          </cell>
        </row>
        <row r="412">
          <cell r="A412" t="str">
            <v>51010302</v>
          </cell>
          <cell r="B412" t="str">
            <v>19/01/01..19/12/31</v>
          </cell>
          <cell r="C412" t="str">
            <v>Manuf. Exp.-Mainte.-Vehicle</v>
          </cell>
          <cell r="D412" t="str">
            <v>制造费用_修理费_车辆</v>
          </cell>
          <cell r="E412" t="str">
            <v>Income Statement</v>
          </cell>
          <cell r="F412" t="str">
            <v>Posting</v>
          </cell>
          <cell r="G412" t="str">
            <v>Yes</v>
          </cell>
          <cell r="H412" t="str">
            <v/>
          </cell>
          <cell r="I412" t="str">
            <v/>
          </cell>
          <cell r="J412" t="str">
            <v/>
          </cell>
          <cell r="K412" t="str">
            <v/>
          </cell>
          <cell r="L412" t="str">
            <v/>
          </cell>
          <cell r="M412" t="str">
            <v>90010000</v>
          </cell>
        </row>
        <row r="413">
          <cell r="A413" t="str">
            <v>51010303</v>
          </cell>
          <cell r="B413" t="str">
            <v>19/01/01..19/12/31</v>
          </cell>
          <cell r="C413" t="str">
            <v>Manuf. Exp.-Mainte.-Machine</v>
          </cell>
          <cell r="D413" t="str">
            <v>制造费用_修理费_机器设备</v>
          </cell>
          <cell r="E413" t="str">
            <v>Income Statement</v>
          </cell>
          <cell r="F413" t="str">
            <v>Posting</v>
          </cell>
          <cell r="G413" t="str">
            <v>Yes</v>
          </cell>
          <cell r="H413" t="str">
            <v/>
          </cell>
          <cell r="I413" t="str">
            <v/>
          </cell>
          <cell r="J413">
            <v>32550.07</v>
          </cell>
          <cell r="K413">
            <v>32550.07</v>
          </cell>
          <cell r="L413" t="str">
            <v/>
          </cell>
          <cell r="M413" t="str">
            <v>90010000</v>
          </cell>
        </row>
        <row r="414">
          <cell r="A414" t="str">
            <v>51010304</v>
          </cell>
          <cell r="B414" t="str">
            <v>19/01/01..19/12/31</v>
          </cell>
          <cell r="C414" t="str">
            <v>Manuf. Exp.-Mainte.-Spare Part</v>
          </cell>
          <cell r="D414" t="str">
            <v>制造费用_修理费_备件</v>
          </cell>
          <cell r="E414" t="str">
            <v>Income Statement</v>
          </cell>
          <cell r="F414" t="str">
            <v>Posting</v>
          </cell>
          <cell r="G414" t="str">
            <v>Yes</v>
          </cell>
          <cell r="H414" t="str">
            <v/>
          </cell>
          <cell r="I414" t="str">
            <v/>
          </cell>
          <cell r="J414">
            <v>79071.72</v>
          </cell>
          <cell r="K414">
            <v>79071.72</v>
          </cell>
          <cell r="L414" t="str">
            <v/>
          </cell>
          <cell r="M414" t="str">
            <v>90010000</v>
          </cell>
        </row>
        <row r="415">
          <cell r="A415" t="str">
            <v>51010305</v>
          </cell>
          <cell r="B415" t="str">
            <v>19/01/01..19/12/31</v>
          </cell>
          <cell r="C415" t="str">
            <v>Manuf. Exp.-Maintenance-Other</v>
          </cell>
          <cell r="D415" t="str">
            <v>制造费用_修理费_其他</v>
          </cell>
          <cell r="E415" t="str">
            <v>Income Statement</v>
          </cell>
          <cell r="F415" t="str">
            <v>Posting</v>
          </cell>
          <cell r="G415" t="str">
            <v>Yes</v>
          </cell>
          <cell r="H415" t="str">
            <v/>
          </cell>
          <cell r="I415" t="str">
            <v/>
          </cell>
          <cell r="J415">
            <v>74825.789999999994</v>
          </cell>
          <cell r="K415">
            <v>74825.789999999994</v>
          </cell>
          <cell r="L415" t="str">
            <v/>
          </cell>
          <cell r="M415" t="str">
            <v>90010000</v>
          </cell>
        </row>
        <row r="416">
          <cell r="A416" t="str">
            <v>51010399</v>
          </cell>
          <cell r="B416" t="str">
            <v>19/01/01..19/12/31</v>
          </cell>
          <cell r="C416" t="str">
            <v>Manuf. Exp.-Maintenance-Total</v>
          </cell>
          <cell r="D416" t="str">
            <v>制造费用_修理费-合计</v>
          </cell>
          <cell r="E416" t="str">
            <v>Income Statement</v>
          </cell>
          <cell r="F416" t="str">
            <v>End-Total</v>
          </cell>
          <cell r="G416" t="str">
            <v>No</v>
          </cell>
          <cell r="H416" t="str">
            <v>51010300..51010399</v>
          </cell>
          <cell r="I416" t="str">
            <v/>
          </cell>
          <cell r="J416">
            <v>191301.95</v>
          </cell>
          <cell r="K416">
            <v>191301.95</v>
          </cell>
          <cell r="L416" t="str">
            <v/>
          </cell>
          <cell r="M416" t="str">
            <v/>
          </cell>
        </row>
        <row r="417">
          <cell r="A417" t="str">
            <v>51010400</v>
          </cell>
          <cell r="B417" t="str">
            <v>19/01/01..19/12/31</v>
          </cell>
          <cell r="C417" t="str">
            <v>Manuf. Exp.-Indirect Materials</v>
          </cell>
          <cell r="D417" t="str">
            <v>制造费用_物料消耗</v>
          </cell>
          <cell r="E417" t="str">
            <v>Income Statement</v>
          </cell>
          <cell r="F417" t="str">
            <v>Posting</v>
          </cell>
          <cell r="G417" t="str">
            <v>Yes</v>
          </cell>
          <cell r="H417" t="str">
            <v/>
          </cell>
          <cell r="I417" t="str">
            <v/>
          </cell>
          <cell r="J417">
            <v>14520401.49</v>
          </cell>
          <cell r="K417">
            <v>14520401.49</v>
          </cell>
          <cell r="L417" t="str">
            <v/>
          </cell>
          <cell r="M417" t="str">
            <v>90010000</v>
          </cell>
        </row>
        <row r="418">
          <cell r="A418" t="str">
            <v>51010500</v>
          </cell>
          <cell r="B418" t="str">
            <v>19/01/01..19/12/31</v>
          </cell>
          <cell r="C418" t="str">
            <v>Manuf. Exp.-Amor.of consumable</v>
          </cell>
          <cell r="D418" t="str">
            <v>制造费用_低值易耗品摊销</v>
          </cell>
          <cell r="E418" t="str">
            <v>Income Statement</v>
          </cell>
          <cell r="F418" t="str">
            <v>Posting</v>
          </cell>
          <cell r="G418" t="str">
            <v>Yes</v>
          </cell>
          <cell r="H418" t="str">
            <v/>
          </cell>
          <cell r="I418" t="str">
            <v/>
          </cell>
          <cell r="J418" t="str">
            <v/>
          </cell>
          <cell r="K418" t="str">
            <v/>
          </cell>
          <cell r="L418" t="str">
            <v/>
          </cell>
          <cell r="M418" t="str">
            <v>90010000</v>
          </cell>
        </row>
        <row r="419">
          <cell r="A419" t="str">
            <v>51010600</v>
          </cell>
          <cell r="B419" t="str">
            <v>19/01/01..19/12/31</v>
          </cell>
          <cell r="C419" t="str">
            <v>Manuf. Exp.-Labor Protection</v>
          </cell>
          <cell r="D419" t="str">
            <v>制造费用_劳动保护费</v>
          </cell>
          <cell r="E419" t="str">
            <v>Income Statement</v>
          </cell>
          <cell r="F419" t="str">
            <v>Posting</v>
          </cell>
          <cell r="G419" t="str">
            <v>Yes</v>
          </cell>
          <cell r="H419" t="str">
            <v/>
          </cell>
          <cell r="I419">
            <v>825.83</v>
          </cell>
          <cell r="J419">
            <v>825.83</v>
          </cell>
          <cell r="K419" t="str">
            <v/>
          </cell>
          <cell r="L419">
            <v>825.83</v>
          </cell>
          <cell r="M419" t="str">
            <v>90010000</v>
          </cell>
        </row>
        <row r="420">
          <cell r="A420" t="str">
            <v>51010700</v>
          </cell>
          <cell r="B420" t="str">
            <v>19/01/01..19/12/31</v>
          </cell>
          <cell r="C420" t="str">
            <v>Manuf. Exp.-Electricity</v>
          </cell>
          <cell r="D420" t="str">
            <v>制造费用_电费</v>
          </cell>
          <cell r="E420" t="str">
            <v>Income Statement</v>
          </cell>
          <cell r="F420" t="str">
            <v>Posting</v>
          </cell>
          <cell r="G420" t="str">
            <v>Yes</v>
          </cell>
          <cell r="H420" t="str">
            <v/>
          </cell>
          <cell r="I420">
            <v>4509446.5</v>
          </cell>
          <cell r="J420">
            <v>4509446.5</v>
          </cell>
          <cell r="K420" t="str">
            <v/>
          </cell>
          <cell r="L420">
            <v>4509446.5</v>
          </cell>
          <cell r="M420" t="str">
            <v>90010000</v>
          </cell>
        </row>
        <row r="421">
          <cell r="A421" t="str">
            <v>51010800</v>
          </cell>
          <cell r="B421" t="str">
            <v>19/01/01..19/12/31</v>
          </cell>
          <cell r="C421" t="str">
            <v>Manuf. Exp.-Water</v>
          </cell>
          <cell r="D421" t="str">
            <v>制造费用_水费</v>
          </cell>
          <cell r="E421" t="str">
            <v>Income Statement</v>
          </cell>
          <cell r="F421" t="str">
            <v>Posting</v>
          </cell>
          <cell r="G421" t="str">
            <v>Yes</v>
          </cell>
          <cell r="H421" t="str">
            <v/>
          </cell>
          <cell r="I421">
            <v>128273.1</v>
          </cell>
          <cell r="J421">
            <v>128273.1</v>
          </cell>
          <cell r="K421" t="str">
            <v/>
          </cell>
          <cell r="L421">
            <v>128273.1</v>
          </cell>
          <cell r="M421" t="str">
            <v>90010000</v>
          </cell>
        </row>
        <row r="422">
          <cell r="A422" t="str">
            <v>51010900</v>
          </cell>
          <cell r="B422" t="str">
            <v>19/01/01..19/12/31</v>
          </cell>
          <cell r="C422" t="str">
            <v>Manuf. Exp.-Office expenses</v>
          </cell>
          <cell r="D422" t="str">
            <v>制造费用_办公费</v>
          </cell>
          <cell r="E422" t="str">
            <v>Income Statement</v>
          </cell>
          <cell r="F422" t="str">
            <v>Posting</v>
          </cell>
          <cell r="G422" t="str">
            <v>Yes</v>
          </cell>
          <cell r="H422" t="str">
            <v/>
          </cell>
          <cell r="I422">
            <v>1178786.95</v>
          </cell>
          <cell r="J422">
            <v>2240001.4500000002</v>
          </cell>
          <cell r="K422">
            <v>1061214.5</v>
          </cell>
          <cell r="L422">
            <v>1178786.95</v>
          </cell>
          <cell r="M422" t="str">
            <v>90010000</v>
          </cell>
        </row>
        <row r="423">
          <cell r="A423" t="str">
            <v>51011000</v>
          </cell>
          <cell r="B423" t="str">
            <v>19/01/01..19/12/31</v>
          </cell>
          <cell r="C423" t="str">
            <v>Manuf. Exp.-Travelling</v>
          </cell>
          <cell r="D423" t="str">
            <v>制造费用-差旅费</v>
          </cell>
          <cell r="E423" t="str">
            <v>Income Statement</v>
          </cell>
          <cell r="F423" t="str">
            <v>Begin-Total</v>
          </cell>
          <cell r="G423" t="str">
            <v>No</v>
          </cell>
          <cell r="H423" t="str">
            <v/>
          </cell>
          <cell r="I423" t="str">
            <v/>
          </cell>
          <cell r="J423" t="str">
            <v/>
          </cell>
          <cell r="K423" t="str">
            <v/>
          </cell>
          <cell r="L423" t="str">
            <v/>
          </cell>
          <cell r="M423" t="str">
            <v/>
          </cell>
        </row>
        <row r="424">
          <cell r="A424" t="str">
            <v>51011001</v>
          </cell>
          <cell r="B424" t="str">
            <v>19/01/01..19/12/31</v>
          </cell>
          <cell r="C424" t="str">
            <v>Manuf. Exp.-Travel-Transport</v>
          </cell>
          <cell r="D424" t="str">
            <v>制造费用-差旅费-交通</v>
          </cell>
          <cell r="E424" t="str">
            <v>Income Statement</v>
          </cell>
          <cell r="F424" t="str">
            <v>Posting</v>
          </cell>
          <cell r="G424" t="str">
            <v>Yes</v>
          </cell>
          <cell r="H424" t="str">
            <v/>
          </cell>
          <cell r="I424">
            <v>7417.93</v>
          </cell>
          <cell r="J424">
            <v>7417.93</v>
          </cell>
          <cell r="K424" t="str">
            <v/>
          </cell>
          <cell r="L424">
            <v>7417.93</v>
          </cell>
          <cell r="M424" t="str">
            <v>90010000</v>
          </cell>
        </row>
        <row r="425">
          <cell r="A425" t="str">
            <v>51011002</v>
          </cell>
          <cell r="B425" t="str">
            <v>19/01/01..19/12/31</v>
          </cell>
          <cell r="C425" t="str">
            <v>Manuf. Exp.-Travelling-hotel</v>
          </cell>
          <cell r="D425" t="str">
            <v>制造费用-差旅费-住宿</v>
          </cell>
          <cell r="E425" t="str">
            <v>Income Statement</v>
          </cell>
          <cell r="F425" t="str">
            <v>Posting</v>
          </cell>
          <cell r="G425" t="str">
            <v>Yes</v>
          </cell>
          <cell r="H425" t="str">
            <v/>
          </cell>
          <cell r="I425">
            <v>2454.59</v>
          </cell>
          <cell r="J425">
            <v>2454.59</v>
          </cell>
          <cell r="K425" t="str">
            <v/>
          </cell>
          <cell r="L425">
            <v>2454.59</v>
          </cell>
          <cell r="M425" t="str">
            <v>90010000</v>
          </cell>
        </row>
        <row r="426">
          <cell r="A426" t="str">
            <v>51011003</v>
          </cell>
          <cell r="B426" t="str">
            <v>19/01/01..19/12/31</v>
          </cell>
          <cell r="C426" t="str">
            <v>Manuf. Exp.-Travelling-Meals</v>
          </cell>
          <cell r="D426" t="str">
            <v>制造费用-差旅费-餐费</v>
          </cell>
          <cell r="E426" t="str">
            <v>Income Statement</v>
          </cell>
          <cell r="F426" t="str">
            <v>Posting</v>
          </cell>
          <cell r="G426" t="str">
            <v>Yes</v>
          </cell>
          <cell r="H426" t="str">
            <v/>
          </cell>
          <cell r="I426">
            <v>2255.5</v>
          </cell>
          <cell r="J426">
            <v>2255.5</v>
          </cell>
          <cell r="K426" t="str">
            <v/>
          </cell>
          <cell r="L426">
            <v>2255.5</v>
          </cell>
          <cell r="M426" t="str">
            <v>90010000</v>
          </cell>
        </row>
        <row r="427">
          <cell r="A427" t="str">
            <v>51011999</v>
          </cell>
          <cell r="B427" t="str">
            <v>19/01/01..19/12/31</v>
          </cell>
          <cell r="C427" t="str">
            <v>Manuf. Exp.-Travelling-Total</v>
          </cell>
          <cell r="D427" t="str">
            <v>制造费用-差旅费-合计</v>
          </cell>
          <cell r="E427" t="str">
            <v>Income Statement</v>
          </cell>
          <cell r="F427" t="str">
            <v>End-Total</v>
          </cell>
          <cell r="G427" t="str">
            <v>No</v>
          </cell>
          <cell r="H427" t="str">
            <v>51011000..51011999</v>
          </cell>
          <cell r="I427">
            <v>12128.02</v>
          </cell>
          <cell r="J427">
            <v>12128.02</v>
          </cell>
          <cell r="K427" t="str">
            <v/>
          </cell>
          <cell r="L427">
            <v>12128.02</v>
          </cell>
          <cell r="M427" t="str">
            <v/>
          </cell>
        </row>
        <row r="428">
          <cell r="A428" t="str">
            <v>51012100</v>
          </cell>
          <cell r="B428" t="str">
            <v>19/01/01..19/12/31</v>
          </cell>
          <cell r="C428" t="str">
            <v>Manuf.Exp-taxi fee</v>
          </cell>
          <cell r="D428" t="str">
            <v>制造费用-市内车费</v>
          </cell>
          <cell r="E428" t="str">
            <v>Income Statement</v>
          </cell>
          <cell r="F428" t="str">
            <v>Posting</v>
          </cell>
          <cell r="G428" t="str">
            <v>Yes</v>
          </cell>
          <cell r="H428" t="str">
            <v/>
          </cell>
          <cell r="I428">
            <v>2468</v>
          </cell>
          <cell r="J428">
            <v>2468</v>
          </cell>
          <cell r="K428" t="str">
            <v/>
          </cell>
          <cell r="L428">
            <v>2468</v>
          </cell>
          <cell r="M428" t="str">
            <v>90010000</v>
          </cell>
        </row>
        <row r="429">
          <cell r="A429" t="str">
            <v>51012200</v>
          </cell>
          <cell r="B429" t="str">
            <v>19/01/01..19/12/31</v>
          </cell>
          <cell r="C429" t="str">
            <v>Manuf.Exp-MP</v>
          </cell>
          <cell r="D429" t="str">
            <v>制造费用-手机费</v>
          </cell>
          <cell r="E429" t="str">
            <v>Income Statement</v>
          </cell>
          <cell r="F429" t="str">
            <v>Posting</v>
          </cell>
          <cell r="G429" t="str">
            <v>Yes</v>
          </cell>
          <cell r="H429" t="str">
            <v/>
          </cell>
          <cell r="I429">
            <v>47159.86</v>
          </cell>
          <cell r="J429">
            <v>47159.86</v>
          </cell>
          <cell r="K429" t="str">
            <v/>
          </cell>
          <cell r="L429">
            <v>47159.86</v>
          </cell>
          <cell r="M429" t="str">
            <v>90010000</v>
          </cell>
        </row>
        <row r="430">
          <cell r="A430" t="str">
            <v>51012300</v>
          </cell>
          <cell r="B430" t="str">
            <v>19/01/01..19/12/31</v>
          </cell>
          <cell r="C430" t="str">
            <v>Manuf.Exp-Fixed phone</v>
          </cell>
          <cell r="D430" t="str">
            <v>制造费用-固话费</v>
          </cell>
          <cell r="E430" t="str">
            <v>Income Statement</v>
          </cell>
          <cell r="F430" t="str">
            <v>Posting</v>
          </cell>
          <cell r="G430" t="str">
            <v>Yes</v>
          </cell>
          <cell r="H430" t="str">
            <v/>
          </cell>
          <cell r="I430" t="str">
            <v/>
          </cell>
          <cell r="J430" t="str">
            <v/>
          </cell>
          <cell r="K430" t="str">
            <v/>
          </cell>
          <cell r="L430" t="str">
            <v/>
          </cell>
          <cell r="M430" t="str">
            <v>90010000</v>
          </cell>
        </row>
        <row r="431">
          <cell r="A431" t="str">
            <v>51012400</v>
          </cell>
          <cell r="B431" t="str">
            <v>19/01/01..19/12/31</v>
          </cell>
          <cell r="C431" t="str">
            <v>Manuf.Exp-Entertainment</v>
          </cell>
          <cell r="D431" t="str">
            <v>制造费用-业务招待费</v>
          </cell>
          <cell r="E431" t="str">
            <v>Income Statement</v>
          </cell>
          <cell r="F431" t="str">
            <v>Posting</v>
          </cell>
          <cell r="G431" t="str">
            <v>Yes</v>
          </cell>
          <cell r="H431" t="str">
            <v/>
          </cell>
          <cell r="I431">
            <v>881.8</v>
          </cell>
          <cell r="J431">
            <v>881.8</v>
          </cell>
          <cell r="K431" t="str">
            <v/>
          </cell>
          <cell r="L431">
            <v>881.8</v>
          </cell>
          <cell r="M431" t="str">
            <v>90010000</v>
          </cell>
        </row>
        <row r="432">
          <cell r="A432" t="str">
            <v>51012500</v>
          </cell>
          <cell r="B432" t="str">
            <v>19/01/01..19/12/31</v>
          </cell>
          <cell r="C432" t="str">
            <v>Manuf.Exp-Postage and courier</v>
          </cell>
          <cell r="D432" t="str">
            <v>制造费用-快递费</v>
          </cell>
          <cell r="E432" t="str">
            <v>Income Statement</v>
          </cell>
          <cell r="F432" t="str">
            <v>Posting</v>
          </cell>
          <cell r="G432" t="str">
            <v>Yes</v>
          </cell>
          <cell r="H432" t="str">
            <v/>
          </cell>
          <cell r="I432">
            <v>116571.02</v>
          </cell>
          <cell r="J432">
            <v>116571.02</v>
          </cell>
          <cell r="K432" t="str">
            <v/>
          </cell>
          <cell r="L432">
            <v>116571.02</v>
          </cell>
          <cell r="M432" t="str">
            <v>90010000</v>
          </cell>
        </row>
        <row r="433">
          <cell r="A433" t="str">
            <v>51013000</v>
          </cell>
          <cell r="B433" t="str">
            <v>19/01/01..19/12/31</v>
          </cell>
          <cell r="C433" t="str">
            <v>Manuf. Exp.-Transportation Fee</v>
          </cell>
          <cell r="D433" t="str">
            <v>制造费用-运输费</v>
          </cell>
          <cell r="E433" t="str">
            <v>Income Statement</v>
          </cell>
          <cell r="F433" t="str">
            <v>Posting</v>
          </cell>
          <cell r="G433" t="str">
            <v>Yes</v>
          </cell>
          <cell r="H433" t="str">
            <v/>
          </cell>
          <cell r="I433" t="str">
            <v/>
          </cell>
          <cell r="J433">
            <v>108323.94</v>
          </cell>
          <cell r="K433">
            <v>108323.94</v>
          </cell>
          <cell r="L433" t="str">
            <v/>
          </cell>
          <cell r="M433" t="str">
            <v>90010000</v>
          </cell>
        </row>
        <row r="434">
          <cell r="A434" t="str">
            <v>51013100</v>
          </cell>
          <cell r="B434" t="str">
            <v>19/01/01..19/12/31</v>
          </cell>
          <cell r="C434" t="str">
            <v>Manuf. Exp.-Insurance</v>
          </cell>
          <cell r="D434" t="str">
            <v>制造费用-保险费</v>
          </cell>
          <cell r="E434" t="str">
            <v>Income Statement</v>
          </cell>
          <cell r="F434" t="str">
            <v>Posting</v>
          </cell>
          <cell r="G434" t="str">
            <v>Yes</v>
          </cell>
          <cell r="H434" t="str">
            <v/>
          </cell>
          <cell r="I434" t="str">
            <v/>
          </cell>
          <cell r="J434" t="str">
            <v/>
          </cell>
          <cell r="K434" t="str">
            <v/>
          </cell>
          <cell r="L434" t="str">
            <v/>
          </cell>
          <cell r="M434" t="str">
            <v>90010000</v>
          </cell>
        </row>
        <row r="435">
          <cell r="A435" t="str">
            <v>51013200</v>
          </cell>
          <cell r="B435" t="str">
            <v>19/01/01..19/12/31</v>
          </cell>
          <cell r="C435" t="str">
            <v>Manuf. Exp.-Rental</v>
          </cell>
          <cell r="D435" t="str">
            <v>制造费用-租赁费</v>
          </cell>
          <cell r="E435" t="str">
            <v>Income Statement</v>
          </cell>
          <cell r="F435" t="str">
            <v>Posting</v>
          </cell>
          <cell r="G435" t="str">
            <v>Yes</v>
          </cell>
          <cell r="H435" t="str">
            <v/>
          </cell>
          <cell r="I435" t="str">
            <v/>
          </cell>
          <cell r="J435">
            <v>407897.4</v>
          </cell>
          <cell r="K435">
            <v>407897.4</v>
          </cell>
          <cell r="L435" t="str">
            <v/>
          </cell>
          <cell r="M435" t="str">
            <v>90010000</v>
          </cell>
        </row>
        <row r="436">
          <cell r="A436" t="str">
            <v>51013300</v>
          </cell>
          <cell r="B436" t="str">
            <v>19/01/01..19/12/31</v>
          </cell>
          <cell r="C436" t="str">
            <v>Manuf. Exp.-Gas</v>
          </cell>
          <cell r="D436" t="str">
            <v>制造费用-燃气费</v>
          </cell>
          <cell r="E436" t="str">
            <v>Income Statement</v>
          </cell>
          <cell r="F436" t="str">
            <v>Posting</v>
          </cell>
          <cell r="G436" t="str">
            <v>Yes</v>
          </cell>
          <cell r="H436" t="str">
            <v/>
          </cell>
          <cell r="I436">
            <v>1459498.1</v>
          </cell>
          <cell r="J436">
            <v>1713111.45</v>
          </cell>
          <cell r="K436">
            <v>253613.35</v>
          </cell>
          <cell r="L436">
            <v>1459498.1</v>
          </cell>
          <cell r="M436" t="str">
            <v>90010000</v>
          </cell>
        </row>
        <row r="437">
          <cell r="A437" t="str">
            <v>51013900</v>
          </cell>
          <cell r="B437" t="str">
            <v>19/01/01..19/12/31</v>
          </cell>
          <cell r="C437" t="str">
            <v>Manuf.Exp-Other</v>
          </cell>
          <cell r="D437" t="str">
            <v>制造费用_其他</v>
          </cell>
          <cell r="E437" t="str">
            <v>Income Statement</v>
          </cell>
          <cell r="F437" t="str">
            <v>Posting</v>
          </cell>
          <cell r="G437" t="str">
            <v>Yes</v>
          </cell>
          <cell r="H437" t="str">
            <v/>
          </cell>
          <cell r="I437" t="str">
            <v/>
          </cell>
          <cell r="J437" t="str">
            <v/>
          </cell>
          <cell r="K437" t="str">
            <v/>
          </cell>
          <cell r="L437" t="str">
            <v/>
          </cell>
          <cell r="M437" t="str">
            <v>90010000</v>
          </cell>
        </row>
        <row r="438">
          <cell r="A438" t="str">
            <v>51019900</v>
          </cell>
          <cell r="B438" t="str">
            <v>19/01/01..19/12/31</v>
          </cell>
          <cell r="C438" t="str">
            <v>Manuf. Exp.-Transfer out</v>
          </cell>
          <cell r="D438" t="str">
            <v>制造费用_结转</v>
          </cell>
          <cell r="E438" t="str">
            <v>Income Statement</v>
          </cell>
          <cell r="F438" t="str">
            <v>Posting</v>
          </cell>
          <cell r="G438" t="str">
            <v>Yes</v>
          </cell>
          <cell r="H438" t="str">
            <v/>
          </cell>
          <cell r="I438">
            <v>-32243332.969999999</v>
          </cell>
          <cell r="J438">
            <v>4265611.45</v>
          </cell>
          <cell r="K438">
            <v>36508944.420000002</v>
          </cell>
          <cell r="L438">
            <v>-32243332.969999999</v>
          </cell>
          <cell r="M438" t="str">
            <v>90010000</v>
          </cell>
        </row>
        <row r="439">
          <cell r="A439" t="str">
            <v>51019999</v>
          </cell>
          <cell r="B439" t="str">
            <v>19/01/01..19/12/31</v>
          </cell>
          <cell r="C439" t="str">
            <v>Manuf. Exp.-Total</v>
          </cell>
          <cell r="D439" t="str">
            <v>制造费用-合计</v>
          </cell>
          <cell r="E439" t="str">
            <v>Income Statement</v>
          </cell>
          <cell r="F439" t="str">
            <v>End-Total</v>
          </cell>
          <cell r="G439" t="str">
            <v>No</v>
          </cell>
          <cell r="H439" t="str">
            <v>51010000..51019999</v>
          </cell>
          <cell r="I439" t="str">
            <v/>
          </cell>
          <cell r="J439">
            <v>55748860.829999998</v>
          </cell>
          <cell r="K439">
            <v>55748860.829999998</v>
          </cell>
          <cell r="L439" t="str">
            <v/>
          </cell>
          <cell r="M439" t="str">
            <v/>
          </cell>
        </row>
        <row r="440">
          <cell r="A440" t="str">
            <v>51020000</v>
          </cell>
          <cell r="B440" t="str">
            <v>19/01/01..19/12/31</v>
          </cell>
          <cell r="C440" t="str">
            <v>Indirect Production Cost</v>
          </cell>
          <cell r="D440" t="str">
            <v>间接生产成本</v>
          </cell>
          <cell r="E440" t="str">
            <v>Income Statement</v>
          </cell>
          <cell r="F440" t="str">
            <v>Begin-Total</v>
          </cell>
          <cell r="G440" t="str">
            <v>No</v>
          </cell>
          <cell r="H440" t="str">
            <v/>
          </cell>
          <cell r="I440" t="str">
            <v/>
          </cell>
          <cell r="J440" t="str">
            <v/>
          </cell>
          <cell r="K440" t="str">
            <v/>
          </cell>
          <cell r="L440" t="str">
            <v/>
          </cell>
          <cell r="M440" t="str">
            <v/>
          </cell>
        </row>
        <row r="441">
          <cell r="A441" t="str">
            <v>51020100</v>
          </cell>
          <cell r="B441" t="str">
            <v>19/01/01..19/12/31</v>
          </cell>
          <cell r="C441" t="str">
            <v xml:space="preserve">IPC-Salary </v>
          </cell>
          <cell r="D441" t="str">
            <v>间接生产成本-工资</v>
          </cell>
          <cell r="E441" t="str">
            <v>Income Statement</v>
          </cell>
          <cell r="F441" t="str">
            <v>Posting</v>
          </cell>
          <cell r="G441" t="str">
            <v>No</v>
          </cell>
          <cell r="H441" t="str">
            <v/>
          </cell>
          <cell r="I441" t="str">
            <v/>
          </cell>
          <cell r="J441" t="str">
            <v/>
          </cell>
          <cell r="K441" t="str">
            <v/>
          </cell>
          <cell r="L441" t="str">
            <v/>
          </cell>
          <cell r="M441" t="str">
            <v>610400</v>
          </cell>
        </row>
        <row r="442">
          <cell r="A442" t="str">
            <v>51020101</v>
          </cell>
          <cell r="B442" t="str">
            <v>19/01/01..19/12/31</v>
          </cell>
          <cell r="C442" t="str">
            <v>IPC-Salary-Basic Salary</v>
          </cell>
          <cell r="D442" t="str">
            <v>间接生产成本-工资-基本工资</v>
          </cell>
          <cell r="E442" t="str">
            <v>Income Statement</v>
          </cell>
          <cell r="F442" t="str">
            <v>Posting</v>
          </cell>
          <cell r="G442" t="str">
            <v>Yes</v>
          </cell>
          <cell r="H442" t="str">
            <v/>
          </cell>
          <cell r="I442">
            <v>10811308.42</v>
          </cell>
          <cell r="J442">
            <v>11361461.1</v>
          </cell>
          <cell r="K442">
            <v>550152.68000000005</v>
          </cell>
          <cell r="L442">
            <v>10811308.42</v>
          </cell>
          <cell r="M442" t="str">
            <v>610400</v>
          </cell>
        </row>
        <row r="443">
          <cell r="A443" t="str">
            <v>51020102</v>
          </cell>
          <cell r="B443" t="str">
            <v>19/01/01..19/12/31</v>
          </cell>
          <cell r="C443" t="str">
            <v>IPC-Salary-OT</v>
          </cell>
          <cell r="D443" t="str">
            <v>间接生产成本-工资-加班工资</v>
          </cell>
          <cell r="E443" t="str">
            <v>Income Statement</v>
          </cell>
          <cell r="F443" t="str">
            <v>Posting</v>
          </cell>
          <cell r="G443" t="str">
            <v>Yes</v>
          </cell>
          <cell r="H443" t="str">
            <v/>
          </cell>
          <cell r="I443">
            <v>937319.29</v>
          </cell>
          <cell r="J443">
            <v>1241923.8400000001</v>
          </cell>
          <cell r="K443">
            <v>304604.55</v>
          </cell>
          <cell r="L443">
            <v>937319.29</v>
          </cell>
          <cell r="M443" t="str">
            <v>610400</v>
          </cell>
        </row>
        <row r="444">
          <cell r="A444" t="str">
            <v>51020103</v>
          </cell>
          <cell r="B444" t="str">
            <v>19/01/01..19/12/31</v>
          </cell>
          <cell r="C444" t="str">
            <v>IPC-Salary-13th Salary</v>
          </cell>
          <cell r="D444" t="str">
            <v>间接生产成本-工资-13薪</v>
          </cell>
          <cell r="E444" t="str">
            <v>Income Statement</v>
          </cell>
          <cell r="F444" t="str">
            <v>Posting</v>
          </cell>
          <cell r="G444" t="str">
            <v>Yes</v>
          </cell>
          <cell r="H444" t="str">
            <v/>
          </cell>
          <cell r="I444">
            <v>723448.81</v>
          </cell>
          <cell r="J444">
            <v>753887.57</v>
          </cell>
          <cell r="K444">
            <v>30438.76</v>
          </cell>
          <cell r="L444">
            <v>723448.81</v>
          </cell>
          <cell r="M444" t="str">
            <v>610400</v>
          </cell>
        </row>
        <row r="445">
          <cell r="A445" t="str">
            <v>51020104</v>
          </cell>
          <cell r="B445" t="str">
            <v>19/01/01..19/12/31</v>
          </cell>
          <cell r="C445" t="str">
            <v>IPC-Salary-Bonus</v>
          </cell>
          <cell r="D445" t="str">
            <v>间接生产成本-工资-奖金</v>
          </cell>
          <cell r="E445" t="str">
            <v>Income Statement</v>
          </cell>
          <cell r="F445" t="str">
            <v>Posting</v>
          </cell>
          <cell r="G445" t="str">
            <v>Yes</v>
          </cell>
          <cell r="H445" t="str">
            <v/>
          </cell>
          <cell r="I445">
            <v>1867181.6</v>
          </cell>
          <cell r="J445">
            <v>2588951.9700000002</v>
          </cell>
          <cell r="K445">
            <v>721770.37</v>
          </cell>
          <cell r="L445">
            <v>1867181.6</v>
          </cell>
          <cell r="M445" t="str">
            <v>610400</v>
          </cell>
        </row>
        <row r="446">
          <cell r="A446" t="str">
            <v>51020105</v>
          </cell>
          <cell r="B446" t="str">
            <v>19/01/01..19/12/31</v>
          </cell>
          <cell r="C446" t="str">
            <v>IPC-Salary-Housing Allowance</v>
          </cell>
          <cell r="D446" t="str">
            <v>间接生产成本-工资-房贴</v>
          </cell>
          <cell r="E446" t="str">
            <v>Income Statement</v>
          </cell>
          <cell r="F446" t="str">
            <v>Posting</v>
          </cell>
          <cell r="G446" t="str">
            <v>Yes</v>
          </cell>
          <cell r="H446" t="str">
            <v/>
          </cell>
          <cell r="I446">
            <v>512414</v>
          </cell>
          <cell r="J446">
            <v>537490.80000000005</v>
          </cell>
          <cell r="K446">
            <v>25076.799999999999</v>
          </cell>
          <cell r="L446">
            <v>512414</v>
          </cell>
          <cell r="M446" t="str">
            <v>610400</v>
          </cell>
        </row>
        <row r="447">
          <cell r="A447" t="str">
            <v>51020106</v>
          </cell>
          <cell r="B447" t="str">
            <v>19/01/01..19/12/31</v>
          </cell>
          <cell r="C447" t="str">
            <v>IPC-Salary-Severance Pay</v>
          </cell>
          <cell r="D447" t="str">
            <v>间接生产成本-工资-离职补偿金</v>
          </cell>
          <cell r="E447" t="str">
            <v>Income Statement</v>
          </cell>
          <cell r="F447" t="str">
            <v>Posting</v>
          </cell>
          <cell r="G447" t="str">
            <v>Yes</v>
          </cell>
          <cell r="H447" t="str">
            <v/>
          </cell>
          <cell r="I447">
            <v>218267.33</v>
          </cell>
          <cell r="J447">
            <v>246718.13</v>
          </cell>
          <cell r="K447">
            <v>28450.799999999999</v>
          </cell>
          <cell r="L447">
            <v>218267.33</v>
          </cell>
          <cell r="M447" t="str">
            <v>610400</v>
          </cell>
        </row>
        <row r="448">
          <cell r="A448" t="str">
            <v>51020110</v>
          </cell>
          <cell r="B448" t="str">
            <v>19/01/01..19/12/31</v>
          </cell>
          <cell r="C448" t="str">
            <v>IPC-Social welfare</v>
          </cell>
          <cell r="D448" t="str">
            <v>间接生产成本-四金</v>
          </cell>
          <cell r="E448" t="str">
            <v>Income Statement</v>
          </cell>
          <cell r="F448" t="str">
            <v>Posting</v>
          </cell>
          <cell r="G448" t="str">
            <v>No</v>
          </cell>
          <cell r="H448" t="str">
            <v/>
          </cell>
          <cell r="I448" t="str">
            <v/>
          </cell>
          <cell r="J448" t="str">
            <v/>
          </cell>
          <cell r="K448" t="str">
            <v/>
          </cell>
          <cell r="L448" t="str">
            <v/>
          </cell>
          <cell r="M448" t="str">
            <v>610400</v>
          </cell>
        </row>
        <row r="449">
          <cell r="A449" t="str">
            <v>51020111</v>
          </cell>
          <cell r="B449" t="str">
            <v>19/01/01..19/12/31</v>
          </cell>
          <cell r="C449" t="str">
            <v>IPC-Social Welfare-Pension Benefit</v>
          </cell>
          <cell r="D449" t="str">
            <v>间接生产成本-社保-养老保险</v>
          </cell>
          <cell r="E449" t="str">
            <v>Income Statement</v>
          </cell>
          <cell r="F449" t="str">
            <v>Posting</v>
          </cell>
          <cell r="G449" t="str">
            <v>Yes</v>
          </cell>
          <cell r="H449" t="str">
            <v/>
          </cell>
          <cell r="I449">
            <v>1708920.91</v>
          </cell>
          <cell r="J449">
            <v>1708920.91</v>
          </cell>
          <cell r="K449" t="str">
            <v/>
          </cell>
          <cell r="L449">
            <v>1708920.91</v>
          </cell>
          <cell r="M449" t="str">
            <v>610400</v>
          </cell>
        </row>
        <row r="450">
          <cell r="A450" t="str">
            <v>51020112</v>
          </cell>
          <cell r="B450" t="str">
            <v>19/01/01..19/12/31</v>
          </cell>
          <cell r="C450" t="str">
            <v>IPC-Social Welfare-Medical Insurance</v>
          </cell>
          <cell r="D450" t="str">
            <v>间接生产成本-社保-医疗保险</v>
          </cell>
          <cell r="E450" t="str">
            <v>Income Statement</v>
          </cell>
          <cell r="F450" t="str">
            <v>Posting</v>
          </cell>
          <cell r="G450" t="str">
            <v>Yes</v>
          </cell>
          <cell r="H450" t="str">
            <v/>
          </cell>
          <cell r="I450">
            <v>860209.27</v>
          </cell>
          <cell r="J450">
            <v>860209.27</v>
          </cell>
          <cell r="K450" t="str">
            <v/>
          </cell>
          <cell r="L450">
            <v>860209.27</v>
          </cell>
          <cell r="M450" t="str">
            <v>610400</v>
          </cell>
        </row>
        <row r="451">
          <cell r="A451" t="str">
            <v>51020113</v>
          </cell>
          <cell r="B451" t="str">
            <v>19/01/01..19/12/31</v>
          </cell>
          <cell r="C451" t="str">
            <v>IPC-Social Welfare-Maternity Insurance</v>
          </cell>
          <cell r="D451" t="str">
            <v>间接生产成本-社保-生育保险</v>
          </cell>
          <cell r="E451" t="str">
            <v>Income Statement</v>
          </cell>
          <cell r="F451" t="str">
            <v>Posting</v>
          </cell>
          <cell r="G451" t="str">
            <v>Yes</v>
          </cell>
          <cell r="H451" t="str">
            <v/>
          </cell>
          <cell r="I451">
            <v>90494.47</v>
          </cell>
          <cell r="J451">
            <v>103232.91</v>
          </cell>
          <cell r="K451">
            <v>12738.44</v>
          </cell>
          <cell r="L451">
            <v>90494.47</v>
          </cell>
          <cell r="M451" t="str">
            <v>610400</v>
          </cell>
        </row>
        <row r="452">
          <cell r="A452" t="str">
            <v>51020114</v>
          </cell>
          <cell r="B452" t="str">
            <v>19/01/01..19/12/31</v>
          </cell>
          <cell r="C452" t="str">
            <v>IPC-Social Welfare-Life, Accident Insurance</v>
          </cell>
          <cell r="D452" t="str">
            <v>间接生产成本-社保-工伤保险</v>
          </cell>
          <cell r="E452" t="str">
            <v>Income Statement</v>
          </cell>
          <cell r="F452" t="str">
            <v>Posting</v>
          </cell>
          <cell r="G452" t="str">
            <v>Yes</v>
          </cell>
          <cell r="H452" t="str">
            <v/>
          </cell>
          <cell r="I452">
            <v>34493.4</v>
          </cell>
          <cell r="J452">
            <v>34493.4</v>
          </cell>
          <cell r="K452" t="str">
            <v/>
          </cell>
          <cell r="L452">
            <v>34493.4</v>
          </cell>
          <cell r="M452" t="str">
            <v>610400</v>
          </cell>
        </row>
        <row r="453">
          <cell r="A453" t="str">
            <v>51020115</v>
          </cell>
          <cell r="B453" t="str">
            <v>19/01/01..19/12/31</v>
          </cell>
          <cell r="C453" t="str">
            <v>IPC-Social Welfare-Unemployment Insurance</v>
          </cell>
          <cell r="D453" t="str">
            <v>间接生产成本-社保-失业保险</v>
          </cell>
          <cell r="E453" t="str">
            <v>Income Statement</v>
          </cell>
          <cell r="F453" t="str">
            <v>Posting</v>
          </cell>
          <cell r="G453" t="str">
            <v>Yes</v>
          </cell>
          <cell r="H453" t="str">
            <v/>
          </cell>
          <cell r="I453">
            <v>51370.7</v>
          </cell>
          <cell r="J453">
            <v>51370.7</v>
          </cell>
          <cell r="K453" t="str">
            <v/>
          </cell>
          <cell r="L453">
            <v>51370.7</v>
          </cell>
          <cell r="M453" t="str">
            <v>610400</v>
          </cell>
        </row>
        <row r="454">
          <cell r="A454" t="str">
            <v>51020116</v>
          </cell>
          <cell r="B454" t="str">
            <v>19/01/01..19/12/31</v>
          </cell>
          <cell r="C454" t="str">
            <v>IPC-Social Welfare-Housing Fund</v>
          </cell>
          <cell r="D454" t="str">
            <v>间接生产成本-社保-公积金</v>
          </cell>
          <cell r="E454" t="str">
            <v>Income Statement</v>
          </cell>
          <cell r="F454" t="str">
            <v>Posting</v>
          </cell>
          <cell r="G454" t="str">
            <v>Yes</v>
          </cell>
          <cell r="H454" t="str">
            <v/>
          </cell>
          <cell r="I454">
            <v>710957.08</v>
          </cell>
          <cell r="J454">
            <v>710957.08</v>
          </cell>
          <cell r="K454" t="str">
            <v/>
          </cell>
          <cell r="L454">
            <v>710957.08</v>
          </cell>
          <cell r="M454" t="str">
            <v>610400</v>
          </cell>
        </row>
        <row r="455">
          <cell r="A455" t="str">
            <v>51020120</v>
          </cell>
          <cell r="B455" t="str">
            <v>19/01/01..19/12/31</v>
          </cell>
          <cell r="C455" t="str">
            <v>IPC-Welfare</v>
          </cell>
          <cell r="D455" t="str">
            <v>间接生产成本-福利费</v>
          </cell>
          <cell r="E455" t="str">
            <v>Income Statement</v>
          </cell>
          <cell r="F455" t="str">
            <v>Posting</v>
          </cell>
          <cell r="G455" t="str">
            <v>Yes</v>
          </cell>
          <cell r="H455" t="str">
            <v/>
          </cell>
          <cell r="I455">
            <v>417574</v>
          </cell>
          <cell r="J455">
            <v>417574</v>
          </cell>
          <cell r="K455" t="str">
            <v/>
          </cell>
          <cell r="L455">
            <v>417574</v>
          </cell>
          <cell r="M455" t="str">
            <v>610400</v>
          </cell>
        </row>
        <row r="456">
          <cell r="A456" t="str">
            <v>51020130</v>
          </cell>
          <cell r="B456" t="str">
            <v>19/01/01..19/12/31</v>
          </cell>
          <cell r="C456" t="str">
            <v>IPC-Salary_Outsource</v>
          </cell>
          <cell r="D456" t="str">
            <v>间接生产成本-外包劳务费</v>
          </cell>
          <cell r="E456" t="str">
            <v>Income Statement</v>
          </cell>
          <cell r="F456" t="str">
            <v>Posting</v>
          </cell>
          <cell r="G456" t="str">
            <v>Yes</v>
          </cell>
          <cell r="H456" t="str">
            <v/>
          </cell>
          <cell r="I456">
            <v>1076725.1000000001</v>
          </cell>
          <cell r="J456">
            <v>1246860.96</v>
          </cell>
          <cell r="K456">
            <v>170135.86</v>
          </cell>
          <cell r="L456">
            <v>1076725.1000000001</v>
          </cell>
          <cell r="M456" t="str">
            <v>610400</v>
          </cell>
        </row>
        <row r="457">
          <cell r="A457" t="str">
            <v>51020200</v>
          </cell>
          <cell r="B457" t="str">
            <v>19/01/01..19/12/31</v>
          </cell>
          <cell r="C457" t="str">
            <v>IPC-Depreciation</v>
          </cell>
          <cell r="D457" t="str">
            <v>间接生产成本-折旧费</v>
          </cell>
          <cell r="E457" t="str">
            <v>Income Statement</v>
          </cell>
          <cell r="F457" t="str">
            <v>Posting</v>
          </cell>
          <cell r="G457" t="str">
            <v>Yes</v>
          </cell>
          <cell r="H457" t="str">
            <v/>
          </cell>
          <cell r="I457">
            <v>10390930.310000001</v>
          </cell>
          <cell r="J457">
            <v>10391529.720000001</v>
          </cell>
          <cell r="K457">
            <v>599.41</v>
          </cell>
          <cell r="L457">
            <v>10390930.310000001</v>
          </cell>
          <cell r="M457" t="str">
            <v>94010010</v>
          </cell>
        </row>
        <row r="458">
          <cell r="A458" t="str">
            <v>51020300</v>
          </cell>
          <cell r="B458" t="str">
            <v>19/01/01..19/12/31</v>
          </cell>
          <cell r="C458" t="str">
            <v>IPC-Maintenance</v>
          </cell>
          <cell r="D458" t="str">
            <v>间接生产成本-修理费</v>
          </cell>
          <cell r="E458" t="str">
            <v>Income Statement</v>
          </cell>
          <cell r="F458" t="str">
            <v>Begin-Total</v>
          </cell>
          <cell r="G458" t="str">
            <v>No</v>
          </cell>
          <cell r="H458" t="str">
            <v/>
          </cell>
          <cell r="I458" t="str">
            <v/>
          </cell>
          <cell r="J458" t="str">
            <v/>
          </cell>
          <cell r="K458" t="str">
            <v/>
          </cell>
          <cell r="L458" t="str">
            <v/>
          </cell>
          <cell r="M458" t="str">
            <v/>
          </cell>
        </row>
        <row r="459">
          <cell r="A459" t="str">
            <v>51020301</v>
          </cell>
          <cell r="B459" t="str">
            <v>19/01/01..19/12/31</v>
          </cell>
          <cell r="C459" t="str">
            <v>IPC-Maintenance-Building</v>
          </cell>
          <cell r="D459" t="str">
            <v>间接生产成本-修理费-建筑物</v>
          </cell>
          <cell r="E459" t="str">
            <v>Income Statement</v>
          </cell>
          <cell r="F459" t="str">
            <v>Posting</v>
          </cell>
          <cell r="G459" t="str">
            <v>Yes</v>
          </cell>
          <cell r="H459" t="str">
            <v/>
          </cell>
          <cell r="I459">
            <v>19228.39</v>
          </cell>
          <cell r="J459">
            <v>24578.39</v>
          </cell>
          <cell r="K459">
            <v>5350</v>
          </cell>
          <cell r="L459">
            <v>19228.39</v>
          </cell>
          <cell r="M459" t="str">
            <v>610400</v>
          </cell>
        </row>
        <row r="460">
          <cell r="A460" t="str">
            <v>51020302</v>
          </cell>
          <cell r="B460" t="str">
            <v>19/01/01..19/12/31</v>
          </cell>
          <cell r="C460" t="str">
            <v>IPC-Maintenance-Vehicle</v>
          </cell>
          <cell r="D460" t="str">
            <v>间接生产成本-修理费-车辆</v>
          </cell>
          <cell r="E460" t="str">
            <v>Income Statement</v>
          </cell>
          <cell r="F460" t="str">
            <v>Posting</v>
          </cell>
          <cell r="G460" t="str">
            <v>Yes</v>
          </cell>
          <cell r="H460" t="str">
            <v/>
          </cell>
          <cell r="I460">
            <v>3713.61</v>
          </cell>
          <cell r="J460">
            <v>3713.61</v>
          </cell>
          <cell r="K460" t="str">
            <v/>
          </cell>
          <cell r="L460">
            <v>3713.61</v>
          </cell>
          <cell r="M460" t="str">
            <v>610400</v>
          </cell>
        </row>
        <row r="461">
          <cell r="A461" t="str">
            <v>51020303</v>
          </cell>
          <cell r="B461" t="str">
            <v>19/01/01..19/12/31</v>
          </cell>
          <cell r="C461" t="str">
            <v>IPC-Maintenance-Machine</v>
          </cell>
          <cell r="D461" t="str">
            <v>间接生产成本-修理费-机器设备</v>
          </cell>
          <cell r="E461" t="str">
            <v>Income Statement</v>
          </cell>
          <cell r="F461" t="str">
            <v>Posting</v>
          </cell>
          <cell r="G461" t="str">
            <v>Yes</v>
          </cell>
          <cell r="H461" t="str">
            <v/>
          </cell>
          <cell r="I461">
            <v>1517121.9</v>
          </cell>
          <cell r="J461">
            <v>1679194.06</v>
          </cell>
          <cell r="K461">
            <v>162072.16</v>
          </cell>
          <cell r="L461">
            <v>1517121.9</v>
          </cell>
          <cell r="M461" t="str">
            <v>610400</v>
          </cell>
        </row>
        <row r="462">
          <cell r="A462" t="str">
            <v>51020304</v>
          </cell>
          <cell r="B462" t="str">
            <v>19/01/01..19/12/31</v>
          </cell>
          <cell r="C462" t="str">
            <v>IPC-Maintenance-Spare Part</v>
          </cell>
          <cell r="D462" t="str">
            <v>间接生产成本-修理费-备件</v>
          </cell>
          <cell r="E462" t="str">
            <v>Income Statement</v>
          </cell>
          <cell r="F462" t="str">
            <v>Posting</v>
          </cell>
          <cell r="G462" t="str">
            <v>Yes</v>
          </cell>
          <cell r="H462" t="str">
            <v/>
          </cell>
          <cell r="I462">
            <v>1180857.26</v>
          </cell>
          <cell r="J462">
            <v>1256411.1200000001</v>
          </cell>
          <cell r="K462">
            <v>75553.86</v>
          </cell>
          <cell r="L462">
            <v>1180857.26</v>
          </cell>
          <cell r="M462" t="str">
            <v>610400</v>
          </cell>
        </row>
        <row r="463">
          <cell r="A463" t="str">
            <v>51020305</v>
          </cell>
          <cell r="B463" t="str">
            <v>19/01/01..19/12/31</v>
          </cell>
          <cell r="C463" t="str">
            <v>IPC-Maintenance-Other</v>
          </cell>
          <cell r="D463" t="str">
            <v>间接生产成本-修理费-其他</v>
          </cell>
          <cell r="E463" t="str">
            <v>Income Statement</v>
          </cell>
          <cell r="F463" t="str">
            <v>Posting</v>
          </cell>
          <cell r="G463" t="str">
            <v>Yes</v>
          </cell>
          <cell r="H463" t="str">
            <v/>
          </cell>
          <cell r="I463">
            <v>956060.22</v>
          </cell>
          <cell r="J463">
            <v>1260794.73</v>
          </cell>
          <cell r="K463">
            <v>304734.51</v>
          </cell>
          <cell r="L463">
            <v>956060.22</v>
          </cell>
          <cell r="M463" t="str">
            <v>610400</v>
          </cell>
        </row>
        <row r="464">
          <cell r="A464" t="str">
            <v>51020399</v>
          </cell>
          <cell r="B464" t="str">
            <v>19/01/01..19/12/31</v>
          </cell>
          <cell r="C464" t="str">
            <v>IPC-Maintenance-Total</v>
          </cell>
          <cell r="D464" t="str">
            <v>间接生产成本-修理费-合计</v>
          </cell>
          <cell r="E464" t="str">
            <v>Income Statement</v>
          </cell>
          <cell r="F464" t="str">
            <v>End-Total</v>
          </cell>
          <cell r="G464" t="str">
            <v>No</v>
          </cell>
          <cell r="H464" t="str">
            <v>51020300..51020399</v>
          </cell>
          <cell r="I464">
            <v>3676981.38</v>
          </cell>
          <cell r="J464">
            <v>4224691.91</v>
          </cell>
          <cell r="K464">
            <v>547710.53</v>
          </cell>
          <cell r="L464">
            <v>3676981.38</v>
          </cell>
          <cell r="M464" t="str">
            <v/>
          </cell>
        </row>
        <row r="465">
          <cell r="A465" t="str">
            <v>51020400</v>
          </cell>
          <cell r="B465" t="str">
            <v>19/01/01..19/12/31</v>
          </cell>
          <cell r="C465" t="str">
            <v>IPC-Materials</v>
          </cell>
          <cell r="D465" t="str">
            <v>间接生产成本-物料消耗</v>
          </cell>
          <cell r="E465" t="str">
            <v>Income Statement</v>
          </cell>
          <cell r="F465" t="str">
            <v>Posting</v>
          </cell>
          <cell r="G465" t="str">
            <v>Yes</v>
          </cell>
          <cell r="H465" t="str">
            <v/>
          </cell>
          <cell r="I465">
            <v>1873038.69</v>
          </cell>
          <cell r="J465">
            <v>1920911.63</v>
          </cell>
          <cell r="K465">
            <v>47872.94</v>
          </cell>
          <cell r="L465">
            <v>1873038.69</v>
          </cell>
          <cell r="M465" t="str">
            <v>610400</v>
          </cell>
        </row>
        <row r="466">
          <cell r="A466" t="str">
            <v>51020500</v>
          </cell>
          <cell r="B466" t="str">
            <v>19/01/01..19/12/31</v>
          </cell>
          <cell r="C466" t="str">
            <v>IPC-Amort. of consumables</v>
          </cell>
          <cell r="D466" t="str">
            <v>间接生产成本-低值易耗品摊销</v>
          </cell>
          <cell r="E466" t="str">
            <v>Income Statement</v>
          </cell>
          <cell r="F466" t="str">
            <v>Posting</v>
          </cell>
          <cell r="G466" t="str">
            <v>No</v>
          </cell>
          <cell r="H466" t="str">
            <v/>
          </cell>
          <cell r="I466" t="str">
            <v/>
          </cell>
          <cell r="J466" t="str">
            <v/>
          </cell>
          <cell r="K466" t="str">
            <v/>
          </cell>
          <cell r="L466" t="str">
            <v/>
          </cell>
          <cell r="M466" t="str">
            <v>610400</v>
          </cell>
        </row>
        <row r="467">
          <cell r="A467" t="str">
            <v>51020600</v>
          </cell>
          <cell r="B467" t="str">
            <v>19/01/01..19/12/31</v>
          </cell>
          <cell r="C467" t="str">
            <v>IPC-Labor Protection</v>
          </cell>
          <cell r="D467" t="str">
            <v>间接生产成本-劳动保护费</v>
          </cell>
          <cell r="E467" t="str">
            <v>Income Statement</v>
          </cell>
          <cell r="F467" t="str">
            <v>Posting</v>
          </cell>
          <cell r="G467" t="str">
            <v>Yes</v>
          </cell>
          <cell r="H467" t="str">
            <v/>
          </cell>
          <cell r="I467">
            <v>352639.82</v>
          </cell>
          <cell r="J467">
            <v>352639.82</v>
          </cell>
          <cell r="K467" t="str">
            <v/>
          </cell>
          <cell r="L467">
            <v>352639.82</v>
          </cell>
          <cell r="M467" t="str">
            <v>610400</v>
          </cell>
        </row>
        <row r="468">
          <cell r="A468" t="str">
            <v>51020900</v>
          </cell>
          <cell r="B468" t="str">
            <v>19/01/01..19/12/31</v>
          </cell>
          <cell r="C468" t="str">
            <v>IPC-Office expenses</v>
          </cell>
          <cell r="D468" t="str">
            <v>间接生产成本-办公费</v>
          </cell>
          <cell r="E468" t="str">
            <v>Income Statement</v>
          </cell>
          <cell r="F468" t="str">
            <v>Posting</v>
          </cell>
          <cell r="G468" t="str">
            <v>Yes</v>
          </cell>
          <cell r="H468" t="str">
            <v/>
          </cell>
          <cell r="I468">
            <v>573470.93999999994</v>
          </cell>
          <cell r="J468">
            <v>575170.93999999994</v>
          </cell>
          <cell r="K468">
            <v>1700</v>
          </cell>
          <cell r="L468">
            <v>573470.93999999994</v>
          </cell>
          <cell r="M468" t="str">
            <v>610400</v>
          </cell>
        </row>
        <row r="469">
          <cell r="A469" t="str">
            <v>51021000</v>
          </cell>
          <cell r="B469" t="str">
            <v>19/01/01..19/12/31</v>
          </cell>
          <cell r="C469" t="str">
            <v>IPC-Traveling fee</v>
          </cell>
          <cell r="D469" t="str">
            <v>间接生产成本-差旅费</v>
          </cell>
          <cell r="E469" t="str">
            <v>Income Statement</v>
          </cell>
          <cell r="F469" t="str">
            <v>Begin-Total</v>
          </cell>
          <cell r="G469" t="str">
            <v>No</v>
          </cell>
          <cell r="H469" t="str">
            <v/>
          </cell>
          <cell r="I469" t="str">
            <v/>
          </cell>
          <cell r="J469" t="str">
            <v/>
          </cell>
          <cell r="K469" t="str">
            <v/>
          </cell>
          <cell r="L469" t="str">
            <v/>
          </cell>
          <cell r="M469" t="str">
            <v/>
          </cell>
        </row>
        <row r="470">
          <cell r="A470" t="str">
            <v>51021001</v>
          </cell>
          <cell r="B470" t="str">
            <v>19/01/01..19/12/31</v>
          </cell>
          <cell r="C470" t="str">
            <v>IPC-Travelling-Transport</v>
          </cell>
          <cell r="D470" t="str">
            <v>间接生产成本-差旅费-交通费</v>
          </cell>
          <cell r="E470" t="str">
            <v>Income Statement</v>
          </cell>
          <cell r="F470" t="str">
            <v>Posting</v>
          </cell>
          <cell r="G470" t="str">
            <v>Yes</v>
          </cell>
          <cell r="H470" t="str">
            <v/>
          </cell>
          <cell r="I470">
            <v>330612.24</v>
          </cell>
          <cell r="J470">
            <v>333907.24</v>
          </cell>
          <cell r="K470">
            <v>3295</v>
          </cell>
          <cell r="L470">
            <v>330612.24</v>
          </cell>
          <cell r="M470" t="str">
            <v>610400</v>
          </cell>
        </row>
        <row r="471">
          <cell r="A471" t="str">
            <v>51021002</v>
          </cell>
          <cell r="B471" t="str">
            <v>19/01/01..19/12/31</v>
          </cell>
          <cell r="C471" t="str">
            <v>IPC-Travelling-Hotel</v>
          </cell>
          <cell r="D471" t="str">
            <v>间接生产成本-差旅费-住宿</v>
          </cell>
          <cell r="E471" t="str">
            <v>Income Statement</v>
          </cell>
          <cell r="F471" t="str">
            <v>Posting</v>
          </cell>
          <cell r="G471" t="str">
            <v>Yes</v>
          </cell>
          <cell r="H471" t="str">
            <v/>
          </cell>
          <cell r="I471">
            <v>144203.29999999999</v>
          </cell>
          <cell r="J471">
            <v>144203.29999999999</v>
          </cell>
          <cell r="K471" t="str">
            <v/>
          </cell>
          <cell r="L471">
            <v>144203.29999999999</v>
          </cell>
          <cell r="M471" t="str">
            <v>610400</v>
          </cell>
        </row>
        <row r="472">
          <cell r="A472" t="str">
            <v>51021003</v>
          </cell>
          <cell r="B472" t="str">
            <v>19/01/01..19/12/31</v>
          </cell>
          <cell r="C472" t="str">
            <v>IPC-Travelling-Meal</v>
          </cell>
          <cell r="D472" t="str">
            <v>间接生产成本-差旅费-餐费</v>
          </cell>
          <cell r="E472" t="str">
            <v>Income Statement</v>
          </cell>
          <cell r="F472" t="str">
            <v>Posting</v>
          </cell>
          <cell r="G472" t="str">
            <v>Yes</v>
          </cell>
          <cell r="H472" t="str">
            <v/>
          </cell>
          <cell r="I472">
            <v>104172.48</v>
          </cell>
          <cell r="J472">
            <v>104172.48</v>
          </cell>
          <cell r="K472" t="str">
            <v/>
          </cell>
          <cell r="L472">
            <v>104172.48</v>
          </cell>
          <cell r="M472" t="str">
            <v>610400</v>
          </cell>
        </row>
        <row r="473">
          <cell r="A473" t="str">
            <v>51021999</v>
          </cell>
          <cell r="B473" t="str">
            <v>19/01/01..19/12/31</v>
          </cell>
          <cell r="C473" t="str">
            <v>IPC-Traveling fee_Total</v>
          </cell>
          <cell r="D473" t="str">
            <v>间接生产成本-差旅费-合计</v>
          </cell>
          <cell r="E473" t="str">
            <v>Income Statement</v>
          </cell>
          <cell r="F473" t="str">
            <v>End-Total</v>
          </cell>
          <cell r="G473" t="str">
            <v>No</v>
          </cell>
          <cell r="H473" t="str">
            <v>51021000..51021999</v>
          </cell>
          <cell r="I473">
            <v>578988.02</v>
          </cell>
          <cell r="J473">
            <v>582283.02</v>
          </cell>
          <cell r="K473">
            <v>3295</v>
          </cell>
          <cell r="L473">
            <v>578988.02</v>
          </cell>
          <cell r="M473" t="str">
            <v/>
          </cell>
        </row>
        <row r="474">
          <cell r="A474" t="str">
            <v>51022100</v>
          </cell>
          <cell r="B474" t="str">
            <v>19/01/01..19/12/31</v>
          </cell>
          <cell r="C474" t="str">
            <v>IPC-Transportation</v>
          </cell>
          <cell r="D474" t="str">
            <v>间接生产成本-市内车费</v>
          </cell>
          <cell r="E474" t="str">
            <v>Income Statement</v>
          </cell>
          <cell r="F474" t="str">
            <v>Posting</v>
          </cell>
          <cell r="G474" t="str">
            <v>Yes</v>
          </cell>
          <cell r="H474" t="str">
            <v/>
          </cell>
          <cell r="I474">
            <v>169585.92000000001</v>
          </cell>
          <cell r="J474">
            <v>169585.92000000001</v>
          </cell>
          <cell r="K474" t="str">
            <v/>
          </cell>
          <cell r="L474">
            <v>169585.92000000001</v>
          </cell>
          <cell r="M474" t="str">
            <v>610400</v>
          </cell>
        </row>
        <row r="475">
          <cell r="A475" t="str">
            <v>51022200</v>
          </cell>
          <cell r="B475" t="str">
            <v>19/01/01..19/12/31</v>
          </cell>
          <cell r="C475" t="str">
            <v>IPC-Mobile Phone</v>
          </cell>
          <cell r="D475" t="str">
            <v>间接生产成本-手机费</v>
          </cell>
          <cell r="E475" t="str">
            <v>Income Statement</v>
          </cell>
          <cell r="F475" t="str">
            <v>Posting</v>
          </cell>
          <cell r="G475" t="str">
            <v>Yes</v>
          </cell>
          <cell r="H475" t="str">
            <v/>
          </cell>
          <cell r="I475">
            <v>109188.93</v>
          </cell>
          <cell r="J475">
            <v>110465.68</v>
          </cell>
          <cell r="K475">
            <v>1276.75</v>
          </cell>
          <cell r="L475">
            <v>109188.93</v>
          </cell>
          <cell r="M475" t="str">
            <v>610400</v>
          </cell>
        </row>
        <row r="476">
          <cell r="A476" t="str">
            <v>51022300</v>
          </cell>
          <cell r="B476" t="str">
            <v>19/01/01..19/12/31</v>
          </cell>
          <cell r="C476" t="str">
            <v>IPC-Fixed phone</v>
          </cell>
          <cell r="D476" t="str">
            <v>间接生产成本-固话费</v>
          </cell>
          <cell r="E476" t="str">
            <v>Income Statement</v>
          </cell>
          <cell r="F476" t="str">
            <v>Posting</v>
          </cell>
          <cell r="G476" t="str">
            <v>Yes</v>
          </cell>
          <cell r="H476" t="str">
            <v/>
          </cell>
          <cell r="I476">
            <v>90</v>
          </cell>
          <cell r="J476">
            <v>90</v>
          </cell>
          <cell r="K476" t="str">
            <v/>
          </cell>
          <cell r="L476">
            <v>90</v>
          </cell>
          <cell r="M476" t="str">
            <v>610400</v>
          </cell>
        </row>
        <row r="477">
          <cell r="A477" t="str">
            <v>51022400</v>
          </cell>
          <cell r="B477" t="str">
            <v>19/01/01..19/12/31</v>
          </cell>
          <cell r="C477" t="str">
            <v>IPC-Entertainment</v>
          </cell>
          <cell r="D477" t="str">
            <v>间接生产成本-业务招待费</v>
          </cell>
          <cell r="E477" t="str">
            <v>Income Statement</v>
          </cell>
          <cell r="F477" t="str">
            <v>Posting</v>
          </cell>
          <cell r="G477" t="str">
            <v>Yes</v>
          </cell>
          <cell r="H477" t="str">
            <v/>
          </cell>
          <cell r="I477">
            <v>46124.4</v>
          </cell>
          <cell r="J477">
            <v>55755.4</v>
          </cell>
          <cell r="K477">
            <v>9631</v>
          </cell>
          <cell r="L477">
            <v>46124.4</v>
          </cell>
          <cell r="M477" t="str">
            <v>610400</v>
          </cell>
        </row>
        <row r="478">
          <cell r="A478" t="str">
            <v>51022500</v>
          </cell>
          <cell r="B478" t="str">
            <v>19/01/01..19/12/31</v>
          </cell>
          <cell r="C478" t="str">
            <v>IPC-Postage and courier</v>
          </cell>
          <cell r="D478" t="str">
            <v>间接生产成本-快递费</v>
          </cell>
          <cell r="E478" t="str">
            <v>Income Statement</v>
          </cell>
          <cell r="F478" t="str">
            <v>Posting</v>
          </cell>
          <cell r="G478" t="str">
            <v>Yes</v>
          </cell>
          <cell r="H478" t="str">
            <v/>
          </cell>
          <cell r="I478">
            <v>320235.57</v>
          </cell>
          <cell r="J478">
            <v>320312.51</v>
          </cell>
          <cell r="K478">
            <v>76.94</v>
          </cell>
          <cell r="L478">
            <v>320235.57</v>
          </cell>
          <cell r="M478" t="str">
            <v>610400</v>
          </cell>
        </row>
        <row r="479">
          <cell r="A479" t="str">
            <v>51023100</v>
          </cell>
          <cell r="B479" t="str">
            <v>19/01/01..19/12/31</v>
          </cell>
          <cell r="C479" t="str">
            <v>IPC-Inspection Fee</v>
          </cell>
          <cell r="D479" t="str">
            <v>间接生产成本-商检费</v>
          </cell>
          <cell r="E479" t="str">
            <v>Income Statement</v>
          </cell>
          <cell r="F479" t="str">
            <v>Posting</v>
          </cell>
          <cell r="G479" t="str">
            <v>Yes</v>
          </cell>
          <cell r="H479" t="str">
            <v/>
          </cell>
          <cell r="I479" t="str">
            <v/>
          </cell>
          <cell r="J479" t="str">
            <v/>
          </cell>
          <cell r="K479" t="str">
            <v/>
          </cell>
          <cell r="L479" t="str">
            <v/>
          </cell>
          <cell r="M479" t="str">
            <v>610400</v>
          </cell>
        </row>
        <row r="480">
          <cell r="A480" t="str">
            <v>51023200</v>
          </cell>
          <cell r="B480" t="str">
            <v>19/01/01..19/12/31</v>
          </cell>
          <cell r="C480" t="str">
            <v>IPC-Warehouse</v>
          </cell>
          <cell r="D480" t="str">
            <v>间接生产成本-仓储费</v>
          </cell>
          <cell r="E480" t="str">
            <v>Income Statement</v>
          </cell>
          <cell r="F480" t="str">
            <v>Posting</v>
          </cell>
          <cell r="G480" t="str">
            <v>Yes</v>
          </cell>
          <cell r="H480" t="str">
            <v/>
          </cell>
          <cell r="I480">
            <v>907918.11</v>
          </cell>
          <cell r="J480">
            <v>1469015.71</v>
          </cell>
          <cell r="K480">
            <v>561097.6</v>
          </cell>
          <cell r="L480">
            <v>907918.11</v>
          </cell>
          <cell r="M480" t="str">
            <v>610400</v>
          </cell>
        </row>
        <row r="481">
          <cell r="A481" t="str">
            <v>51023300</v>
          </cell>
          <cell r="B481" t="str">
            <v>19/01/01..19/12/31</v>
          </cell>
          <cell r="C481" t="str">
            <v>IPC-Test</v>
          </cell>
          <cell r="D481" t="str">
            <v>间接生产成本_测试费</v>
          </cell>
          <cell r="E481" t="str">
            <v>Income Statement</v>
          </cell>
          <cell r="F481" t="str">
            <v>Posting</v>
          </cell>
          <cell r="G481" t="str">
            <v>Yes</v>
          </cell>
          <cell r="H481" t="str">
            <v/>
          </cell>
          <cell r="I481">
            <v>3414641.57</v>
          </cell>
          <cell r="J481">
            <v>4459384.96</v>
          </cell>
          <cell r="K481">
            <v>1044743.39</v>
          </cell>
          <cell r="L481">
            <v>3414641.57</v>
          </cell>
          <cell r="M481" t="str">
            <v>610400</v>
          </cell>
        </row>
        <row r="482">
          <cell r="A482" t="str">
            <v>51023400</v>
          </cell>
          <cell r="B482" t="str">
            <v>19/01/01..19/12/31</v>
          </cell>
          <cell r="C482" t="str">
            <v>IPC-Calibration</v>
          </cell>
          <cell r="D482" t="str">
            <v>间接生产成本_测量费</v>
          </cell>
          <cell r="E482" t="str">
            <v>Income Statement</v>
          </cell>
          <cell r="F482" t="str">
            <v>Posting</v>
          </cell>
          <cell r="G482" t="str">
            <v>Yes</v>
          </cell>
          <cell r="H482" t="str">
            <v/>
          </cell>
          <cell r="I482">
            <v>205309.41</v>
          </cell>
          <cell r="J482">
            <v>205309.41</v>
          </cell>
          <cell r="K482" t="str">
            <v/>
          </cell>
          <cell r="L482">
            <v>205309.41</v>
          </cell>
          <cell r="M482" t="str">
            <v>610400</v>
          </cell>
        </row>
        <row r="483">
          <cell r="A483" t="str">
            <v>51023500</v>
          </cell>
          <cell r="B483" t="str">
            <v>19/01/01..19/12/31</v>
          </cell>
          <cell r="C483" t="str">
            <v>IPC-Certification</v>
          </cell>
          <cell r="D483" t="str">
            <v>间接生产成本_认证费</v>
          </cell>
          <cell r="E483" t="str">
            <v>Income Statement</v>
          </cell>
          <cell r="F483" t="str">
            <v>Posting</v>
          </cell>
          <cell r="G483" t="str">
            <v>Yes</v>
          </cell>
          <cell r="H483" t="str">
            <v/>
          </cell>
          <cell r="I483">
            <v>571169.75</v>
          </cell>
          <cell r="J483">
            <v>707840.85</v>
          </cell>
          <cell r="K483">
            <v>136671.1</v>
          </cell>
          <cell r="L483">
            <v>571169.75</v>
          </cell>
          <cell r="M483" t="str">
            <v>610400</v>
          </cell>
        </row>
        <row r="484">
          <cell r="A484" t="str">
            <v>51023600</v>
          </cell>
          <cell r="B484" t="str">
            <v>19/01/01..19/12/31</v>
          </cell>
          <cell r="C484" t="str">
            <v>IPC-Sample</v>
          </cell>
          <cell r="D484" t="str">
            <v>间接生产成本_样品费</v>
          </cell>
          <cell r="E484" t="str">
            <v>Income Statement</v>
          </cell>
          <cell r="F484" t="str">
            <v>Posting</v>
          </cell>
          <cell r="G484" t="str">
            <v>Yes</v>
          </cell>
          <cell r="H484" t="str">
            <v/>
          </cell>
          <cell r="I484">
            <v>207178.84</v>
          </cell>
          <cell r="J484">
            <v>215989.74</v>
          </cell>
          <cell r="K484">
            <v>8810.9</v>
          </cell>
          <cell r="L484">
            <v>207178.84</v>
          </cell>
          <cell r="M484" t="str">
            <v>610400</v>
          </cell>
        </row>
        <row r="485">
          <cell r="A485" t="str">
            <v>51023900</v>
          </cell>
          <cell r="B485" t="str">
            <v>19/01/01..19/12/31</v>
          </cell>
          <cell r="C485" t="str">
            <v>IPC-Other</v>
          </cell>
          <cell r="D485" t="str">
            <v>间接生产成本-其他</v>
          </cell>
          <cell r="E485" t="str">
            <v>Income Statement</v>
          </cell>
          <cell r="F485" t="str">
            <v>Posting</v>
          </cell>
          <cell r="G485" t="str">
            <v>Yes</v>
          </cell>
          <cell r="H485" t="str">
            <v/>
          </cell>
          <cell r="I485">
            <v>212067.45</v>
          </cell>
          <cell r="J485">
            <v>360436.87</v>
          </cell>
          <cell r="K485">
            <v>148369.42000000001</v>
          </cell>
          <cell r="L485">
            <v>212067.45</v>
          </cell>
          <cell r="M485" t="str">
            <v>610400</v>
          </cell>
        </row>
        <row r="486">
          <cell r="A486" t="str">
            <v>51029900</v>
          </cell>
          <cell r="B486" t="str">
            <v>19/01/01..19/12/31</v>
          </cell>
          <cell r="C486" t="str">
            <v>IPC-Transfer out</v>
          </cell>
          <cell r="D486" t="str">
            <v>间接生产成本-结转</v>
          </cell>
          <cell r="E486" t="str">
            <v>Income Statement</v>
          </cell>
          <cell r="F486" t="str">
            <v>Posting</v>
          </cell>
          <cell r="G486" t="str">
            <v>Yes</v>
          </cell>
          <cell r="H486" t="str">
            <v/>
          </cell>
          <cell r="I486">
            <v>-43630243.490000002</v>
          </cell>
          <cell r="J486">
            <v>817369.7</v>
          </cell>
          <cell r="K486">
            <v>44447613.189999998</v>
          </cell>
          <cell r="L486">
            <v>-43630243.490000002</v>
          </cell>
          <cell r="M486" t="str">
            <v>94010010</v>
          </cell>
        </row>
        <row r="487">
          <cell r="A487" t="str">
            <v>51029999</v>
          </cell>
          <cell r="B487" t="str">
            <v>19/01/01..19/12/31</v>
          </cell>
          <cell r="C487" t="str">
            <v>IPC-Total</v>
          </cell>
          <cell r="D487" t="str">
            <v>间接生产成本-合计</v>
          </cell>
          <cell r="E487" t="str">
            <v>Income Statement</v>
          </cell>
          <cell r="F487" t="str">
            <v>End-Total</v>
          </cell>
          <cell r="G487" t="str">
            <v>No</v>
          </cell>
          <cell r="H487" t="str">
            <v>51020000..51029999</v>
          </cell>
          <cell r="I487" t="str">
            <v/>
          </cell>
          <cell r="J487">
            <v>48802836.43</v>
          </cell>
          <cell r="K487">
            <v>48802836.43</v>
          </cell>
          <cell r="L487" t="str">
            <v/>
          </cell>
          <cell r="M487" t="str">
            <v/>
          </cell>
        </row>
        <row r="488">
          <cell r="A488" t="str">
            <v>60010000</v>
          </cell>
          <cell r="B488" t="str">
            <v>19/01/01..19/12/31</v>
          </cell>
          <cell r="C488" t="str">
            <v>Sales Revenue</v>
          </cell>
          <cell r="D488" t="str">
            <v>主营业务收入</v>
          </cell>
          <cell r="E488" t="str">
            <v>Income Statement</v>
          </cell>
          <cell r="F488" t="str">
            <v>Begin-Total</v>
          </cell>
          <cell r="G488" t="str">
            <v>No</v>
          </cell>
          <cell r="H488" t="str">
            <v/>
          </cell>
          <cell r="I488" t="str">
            <v/>
          </cell>
          <cell r="J488" t="str">
            <v/>
          </cell>
          <cell r="K488" t="str">
            <v/>
          </cell>
          <cell r="L488" t="str">
            <v/>
          </cell>
          <cell r="M488" t="str">
            <v/>
          </cell>
        </row>
        <row r="489">
          <cell r="A489" t="str">
            <v>60010100</v>
          </cell>
          <cell r="B489" t="str">
            <v>19/01/01..19/12/31</v>
          </cell>
          <cell r="C489" t="str">
            <v>Sales Revenue-Domestic</v>
          </cell>
          <cell r="D489" t="str">
            <v>主营业务收入-内销</v>
          </cell>
          <cell r="E489" t="str">
            <v>Income Statement</v>
          </cell>
          <cell r="F489" t="str">
            <v>Begin-Total</v>
          </cell>
          <cell r="G489" t="str">
            <v>No</v>
          </cell>
          <cell r="H489" t="str">
            <v/>
          </cell>
          <cell r="I489" t="str">
            <v/>
          </cell>
          <cell r="J489" t="str">
            <v/>
          </cell>
          <cell r="K489" t="str">
            <v/>
          </cell>
          <cell r="L489" t="str">
            <v/>
          </cell>
          <cell r="M489" t="str">
            <v/>
          </cell>
        </row>
        <row r="490">
          <cell r="A490" t="str">
            <v>60010110</v>
          </cell>
          <cell r="B490" t="str">
            <v>19/01/01..19/12/31</v>
          </cell>
          <cell r="C490" t="str">
            <v>Sales Reve.-Local-TP</v>
          </cell>
          <cell r="D490" t="str">
            <v>主营业务收入-内销--第三方</v>
          </cell>
          <cell r="E490" t="str">
            <v>Income Statement</v>
          </cell>
          <cell r="F490" t="str">
            <v>Begin-Total</v>
          </cell>
          <cell r="G490" t="str">
            <v>No</v>
          </cell>
          <cell r="H490" t="str">
            <v/>
          </cell>
          <cell r="I490" t="str">
            <v/>
          </cell>
          <cell r="J490" t="str">
            <v/>
          </cell>
          <cell r="K490" t="str">
            <v/>
          </cell>
          <cell r="L490" t="str">
            <v/>
          </cell>
          <cell r="M490" t="str">
            <v/>
          </cell>
        </row>
        <row r="491">
          <cell r="A491" t="str">
            <v>60010111</v>
          </cell>
          <cell r="B491" t="str">
            <v>19/01/01..19/12/31</v>
          </cell>
          <cell r="C491" t="str">
            <v>Sales Reve.-Local-TP-Manuf.</v>
          </cell>
          <cell r="D491" t="str">
            <v>主营业务收入-内销--第三方-自制产品</v>
          </cell>
          <cell r="E491" t="str">
            <v>Income Statement</v>
          </cell>
          <cell r="F491" t="str">
            <v>Posting</v>
          </cell>
          <cell r="G491" t="str">
            <v>No</v>
          </cell>
          <cell r="H491" t="str">
            <v/>
          </cell>
          <cell r="I491">
            <v>-337059323.62</v>
          </cell>
          <cell r="J491">
            <v>11570453.720000001</v>
          </cell>
          <cell r="K491">
            <v>348629777.33999997</v>
          </cell>
          <cell r="L491">
            <v>-337059323.62</v>
          </cell>
          <cell r="M491" t="str">
            <v>700300</v>
          </cell>
        </row>
        <row r="492">
          <cell r="A492" t="str">
            <v>60010112</v>
          </cell>
          <cell r="B492" t="str">
            <v>19/01/01..19/12/31</v>
          </cell>
          <cell r="C492" t="str">
            <v>Sales Reve.-Local-TP-Trading</v>
          </cell>
          <cell r="D492" t="str">
            <v>主营业务收入-内销--第三方-贸易产品</v>
          </cell>
          <cell r="E492" t="str">
            <v>Income Statement</v>
          </cell>
          <cell r="F492" t="str">
            <v>Posting</v>
          </cell>
          <cell r="G492" t="str">
            <v>No</v>
          </cell>
          <cell r="H492" t="str">
            <v/>
          </cell>
          <cell r="I492">
            <v>-113956385.51000001</v>
          </cell>
          <cell r="J492">
            <v>1816664.85</v>
          </cell>
          <cell r="K492">
            <v>115773050.36</v>
          </cell>
          <cell r="L492">
            <v>-113956385.51000001</v>
          </cell>
          <cell r="M492" t="str">
            <v>700300</v>
          </cell>
        </row>
        <row r="493">
          <cell r="A493" t="str">
            <v>60010113</v>
          </cell>
          <cell r="B493" t="str">
            <v>19/01/01..19/12/31</v>
          </cell>
          <cell r="C493" t="str">
            <v>Sales Reve.-Local-TP-Accruals</v>
          </cell>
          <cell r="D493" t="str">
            <v>主营业务收入-内销--第三方-暂估</v>
          </cell>
          <cell r="E493" t="str">
            <v>Income Statement</v>
          </cell>
          <cell r="F493" t="str">
            <v>Posting</v>
          </cell>
          <cell r="G493" t="str">
            <v>Yes</v>
          </cell>
          <cell r="H493" t="str">
            <v/>
          </cell>
          <cell r="I493">
            <v>12711587.039999999</v>
          </cell>
          <cell r="J493">
            <v>175156628.03</v>
          </cell>
          <cell r="K493">
            <v>162445040.99000001</v>
          </cell>
          <cell r="L493">
            <v>12711587.039999999</v>
          </cell>
          <cell r="M493" t="str">
            <v>700300</v>
          </cell>
        </row>
        <row r="494">
          <cell r="A494" t="str">
            <v>60010119</v>
          </cell>
          <cell r="B494" t="str">
            <v>19/01/01..19/12/31</v>
          </cell>
          <cell r="C494" t="str">
            <v>Sales Reve.-Local-TP-Total</v>
          </cell>
          <cell r="D494" t="str">
            <v>主营业务收入-内销--第三方-合计</v>
          </cell>
          <cell r="E494" t="str">
            <v>Income Statement</v>
          </cell>
          <cell r="F494" t="str">
            <v>End-Total</v>
          </cell>
          <cell r="G494" t="str">
            <v>No</v>
          </cell>
          <cell r="H494" t="str">
            <v>60010110..60010119</v>
          </cell>
          <cell r="I494">
            <v>-438304122.08999997</v>
          </cell>
          <cell r="J494">
            <v>188543746.59999999</v>
          </cell>
          <cell r="K494">
            <v>626847868.69000006</v>
          </cell>
          <cell r="L494">
            <v>-438304122.08999997</v>
          </cell>
          <cell r="M494" t="str">
            <v/>
          </cell>
        </row>
        <row r="495">
          <cell r="A495" t="str">
            <v>60010120</v>
          </cell>
          <cell r="B495" t="str">
            <v>19/01/01..19/12/31</v>
          </cell>
          <cell r="C495" t="str">
            <v>Sales Revenue-Local-IC</v>
          </cell>
          <cell r="D495" t="str">
            <v>主营业务收入-内销--关联方</v>
          </cell>
          <cell r="E495" t="str">
            <v>Income Statement</v>
          </cell>
          <cell r="F495" t="str">
            <v>Begin-Total</v>
          </cell>
          <cell r="G495" t="str">
            <v>No</v>
          </cell>
          <cell r="H495" t="str">
            <v/>
          </cell>
          <cell r="I495" t="str">
            <v/>
          </cell>
          <cell r="J495" t="str">
            <v/>
          </cell>
          <cell r="K495" t="str">
            <v/>
          </cell>
          <cell r="L495" t="str">
            <v/>
          </cell>
          <cell r="M495" t="str">
            <v/>
          </cell>
        </row>
        <row r="496">
          <cell r="A496" t="str">
            <v>60010121</v>
          </cell>
          <cell r="B496" t="str">
            <v>19/01/01..19/12/31</v>
          </cell>
          <cell r="C496" t="str">
            <v>Sales Reve.-Local-IC-Manufa.</v>
          </cell>
          <cell r="D496" t="str">
            <v>主营业务收入-内销--关联方-自制产品</v>
          </cell>
          <cell r="E496" t="str">
            <v>Income Statement</v>
          </cell>
          <cell r="F496" t="str">
            <v>Posting</v>
          </cell>
          <cell r="G496" t="str">
            <v>No</v>
          </cell>
          <cell r="H496" t="str">
            <v/>
          </cell>
          <cell r="I496">
            <v>-107151841.70999999</v>
          </cell>
          <cell r="J496">
            <v>4673594.74</v>
          </cell>
          <cell r="K496">
            <v>111825436.45</v>
          </cell>
          <cell r="L496">
            <v>-107151841.70999999</v>
          </cell>
          <cell r="M496" t="str">
            <v>700300</v>
          </cell>
        </row>
        <row r="497">
          <cell r="A497" t="str">
            <v>60010122</v>
          </cell>
          <cell r="B497" t="str">
            <v>19/01/01..19/12/31</v>
          </cell>
          <cell r="C497" t="str">
            <v>Sales Reve.-Local-IC-Trade</v>
          </cell>
          <cell r="D497" t="str">
            <v>主营业务收入-内销--关联方-贸易产品</v>
          </cell>
          <cell r="E497" t="str">
            <v>Income Statement</v>
          </cell>
          <cell r="F497" t="str">
            <v>Posting</v>
          </cell>
          <cell r="G497" t="str">
            <v>No</v>
          </cell>
          <cell r="H497" t="str">
            <v/>
          </cell>
          <cell r="I497">
            <v>-41835000.689999998</v>
          </cell>
          <cell r="J497">
            <v>238592.23</v>
          </cell>
          <cell r="K497">
            <v>42073592.920000002</v>
          </cell>
          <cell r="L497">
            <v>-41835000.689999998</v>
          </cell>
          <cell r="M497" t="str">
            <v>700300</v>
          </cell>
        </row>
        <row r="498">
          <cell r="A498" t="str">
            <v>60010129</v>
          </cell>
          <cell r="B498" t="str">
            <v>19/01/01..19/12/31</v>
          </cell>
          <cell r="C498" t="str">
            <v>Sales Reve.-Local-IC-Total</v>
          </cell>
          <cell r="D498" t="str">
            <v>主营业务收入-内销--关联方-合计</v>
          </cell>
          <cell r="E498" t="str">
            <v>Income Statement</v>
          </cell>
          <cell r="F498" t="str">
            <v>End-Total</v>
          </cell>
          <cell r="G498" t="str">
            <v>No</v>
          </cell>
          <cell r="H498" t="str">
            <v>60010120..60010129</v>
          </cell>
          <cell r="I498">
            <v>-148986842.40000001</v>
          </cell>
          <cell r="J498">
            <v>4912186.97</v>
          </cell>
          <cell r="K498">
            <v>153899029.37</v>
          </cell>
          <cell r="L498">
            <v>-148986842.40000001</v>
          </cell>
          <cell r="M498" t="str">
            <v/>
          </cell>
        </row>
        <row r="499">
          <cell r="A499" t="str">
            <v>60010199</v>
          </cell>
          <cell r="B499" t="str">
            <v>19/01/01..19/12/31</v>
          </cell>
          <cell r="C499" t="str">
            <v>Sales Revenue-Domestic-Total</v>
          </cell>
          <cell r="D499" t="str">
            <v>主营业务收入-内销-合计</v>
          </cell>
          <cell r="E499" t="str">
            <v>Income Statement</v>
          </cell>
          <cell r="F499" t="str">
            <v>End-Total</v>
          </cell>
          <cell r="G499" t="str">
            <v>No</v>
          </cell>
          <cell r="H499" t="str">
            <v>60010100..60010199</v>
          </cell>
          <cell r="I499">
            <v>-587290964.49000001</v>
          </cell>
          <cell r="J499">
            <v>193455933.56999999</v>
          </cell>
          <cell r="K499">
            <v>780746898.05999994</v>
          </cell>
          <cell r="L499">
            <v>-587290964.49000001</v>
          </cell>
          <cell r="M499" t="str">
            <v/>
          </cell>
        </row>
        <row r="500">
          <cell r="A500" t="str">
            <v>60010200</v>
          </cell>
          <cell r="B500" t="str">
            <v>19/01/01..19/12/31</v>
          </cell>
          <cell r="C500" t="str">
            <v>Sales Revenue-Export</v>
          </cell>
          <cell r="D500" t="str">
            <v>主营业务收入-出口</v>
          </cell>
          <cell r="E500" t="str">
            <v>Income Statement</v>
          </cell>
          <cell r="F500" t="str">
            <v>Begin-Total</v>
          </cell>
          <cell r="G500" t="str">
            <v>No</v>
          </cell>
          <cell r="H500" t="str">
            <v/>
          </cell>
          <cell r="I500" t="str">
            <v/>
          </cell>
          <cell r="J500" t="str">
            <v/>
          </cell>
          <cell r="K500" t="str">
            <v/>
          </cell>
          <cell r="L500" t="str">
            <v/>
          </cell>
          <cell r="M500" t="str">
            <v/>
          </cell>
        </row>
        <row r="501">
          <cell r="A501" t="str">
            <v>60010210</v>
          </cell>
          <cell r="B501" t="str">
            <v>19/01/01..19/12/31</v>
          </cell>
          <cell r="C501" t="str">
            <v>Sales Reve.-Export-TP</v>
          </cell>
          <cell r="D501" t="str">
            <v>主营业务收入-出口-第三方</v>
          </cell>
          <cell r="E501" t="str">
            <v>Income Statement</v>
          </cell>
          <cell r="F501" t="str">
            <v>Posting</v>
          </cell>
          <cell r="G501" t="str">
            <v>No</v>
          </cell>
          <cell r="H501" t="str">
            <v/>
          </cell>
          <cell r="I501" t="str">
            <v/>
          </cell>
          <cell r="J501" t="str">
            <v/>
          </cell>
          <cell r="K501" t="str">
            <v/>
          </cell>
          <cell r="L501" t="str">
            <v/>
          </cell>
          <cell r="M501" t="str">
            <v>700300</v>
          </cell>
        </row>
        <row r="502">
          <cell r="A502" t="str">
            <v>60010211</v>
          </cell>
          <cell r="B502" t="str">
            <v>19/01/01..19/12/31</v>
          </cell>
          <cell r="C502" t="str">
            <v>Sales Reve.-Export-TP-Manuf.</v>
          </cell>
          <cell r="D502" t="str">
            <v>主营业务收入-出口-第三方-自制产品</v>
          </cell>
          <cell r="E502" t="str">
            <v>Income Statement</v>
          </cell>
          <cell r="F502" t="str">
            <v>Posting</v>
          </cell>
          <cell r="G502" t="str">
            <v>No</v>
          </cell>
          <cell r="H502" t="str">
            <v/>
          </cell>
          <cell r="I502">
            <v>-28869713.43</v>
          </cell>
          <cell r="J502">
            <v>12840</v>
          </cell>
          <cell r="K502">
            <v>28882553.43</v>
          </cell>
          <cell r="L502">
            <v>-28869713.43</v>
          </cell>
          <cell r="M502" t="str">
            <v>700300</v>
          </cell>
        </row>
        <row r="503">
          <cell r="A503" t="str">
            <v>60010212</v>
          </cell>
          <cell r="B503" t="str">
            <v>19/01/01..19/12/31</v>
          </cell>
          <cell r="C503" t="str">
            <v>Sales Reve.-Export-TP-Trading</v>
          </cell>
          <cell r="D503" t="str">
            <v>主营业务收入-出口-第三方-贸易产品</v>
          </cell>
          <cell r="E503" t="str">
            <v>Income Statement</v>
          </cell>
          <cell r="F503" t="str">
            <v>Posting</v>
          </cell>
          <cell r="G503" t="str">
            <v>No</v>
          </cell>
          <cell r="H503" t="str">
            <v/>
          </cell>
          <cell r="I503">
            <v>-1850604.51</v>
          </cell>
          <cell r="J503" t="str">
            <v/>
          </cell>
          <cell r="K503">
            <v>1850604.51</v>
          </cell>
          <cell r="L503">
            <v>-1850604.51</v>
          </cell>
          <cell r="M503" t="str">
            <v>700300</v>
          </cell>
        </row>
        <row r="504">
          <cell r="A504" t="str">
            <v>60010213</v>
          </cell>
          <cell r="B504" t="str">
            <v>19/01/01..19/12/31</v>
          </cell>
          <cell r="C504" t="str">
            <v>Sales Reve.-Export-TP-transfer to domestic</v>
          </cell>
          <cell r="D504" t="str">
            <v>主营业务收入-出口-第三方-出口转内销</v>
          </cell>
          <cell r="E504" t="str">
            <v>Income Statement</v>
          </cell>
          <cell r="F504" t="str">
            <v>Posting</v>
          </cell>
          <cell r="G504" t="str">
            <v>Yes</v>
          </cell>
          <cell r="H504" t="str">
            <v/>
          </cell>
          <cell r="I504" t="str">
            <v/>
          </cell>
          <cell r="J504" t="str">
            <v/>
          </cell>
          <cell r="K504" t="str">
            <v/>
          </cell>
          <cell r="L504" t="str">
            <v/>
          </cell>
          <cell r="M504" t="str">
            <v>700300</v>
          </cell>
        </row>
        <row r="505">
          <cell r="A505" t="str">
            <v>60010219</v>
          </cell>
          <cell r="B505" t="str">
            <v>19/01/01..19/12/31</v>
          </cell>
          <cell r="C505" t="str">
            <v>Sales Reve.-Export-TP-Total</v>
          </cell>
          <cell r="D505" t="str">
            <v>主营业务收入-出口-第三方-合计</v>
          </cell>
          <cell r="E505" t="str">
            <v>Income Statement</v>
          </cell>
          <cell r="F505" t="str">
            <v>End-Total</v>
          </cell>
          <cell r="G505" t="str">
            <v>No</v>
          </cell>
          <cell r="H505" t="str">
            <v>60010210..60010219</v>
          </cell>
          <cell r="I505">
            <v>-30720317.940000001</v>
          </cell>
          <cell r="J505">
            <v>12840</v>
          </cell>
          <cell r="K505">
            <v>30733157.940000001</v>
          </cell>
          <cell r="L505">
            <v>-30720317.940000001</v>
          </cell>
          <cell r="M505" t="str">
            <v/>
          </cell>
        </row>
        <row r="506">
          <cell r="A506" t="str">
            <v>60010220</v>
          </cell>
          <cell r="B506" t="str">
            <v>19/01/01..19/12/31</v>
          </cell>
          <cell r="C506" t="str">
            <v>Sales Revenue-Export-IC</v>
          </cell>
          <cell r="D506" t="str">
            <v>主营业务收入-出口-关联方</v>
          </cell>
          <cell r="E506" t="str">
            <v>Income Statement</v>
          </cell>
          <cell r="F506" t="str">
            <v>Begin-Total</v>
          </cell>
          <cell r="G506" t="str">
            <v>No</v>
          </cell>
          <cell r="H506" t="str">
            <v/>
          </cell>
          <cell r="I506" t="str">
            <v/>
          </cell>
          <cell r="J506" t="str">
            <v/>
          </cell>
          <cell r="K506" t="str">
            <v/>
          </cell>
          <cell r="L506" t="str">
            <v/>
          </cell>
          <cell r="M506" t="str">
            <v/>
          </cell>
        </row>
        <row r="507">
          <cell r="A507" t="str">
            <v>60010221</v>
          </cell>
          <cell r="B507" t="str">
            <v>19/01/01..19/12/31</v>
          </cell>
          <cell r="C507" t="str">
            <v>Sales Reve.-Export-IC-Manuf.</v>
          </cell>
          <cell r="D507" t="str">
            <v>主营业务收入-出口-关联方-自制产品</v>
          </cell>
          <cell r="E507" t="str">
            <v>Income Statement</v>
          </cell>
          <cell r="F507" t="str">
            <v>Posting</v>
          </cell>
          <cell r="G507" t="str">
            <v>No</v>
          </cell>
          <cell r="H507" t="str">
            <v/>
          </cell>
          <cell r="I507">
            <v>-42131053.770000003</v>
          </cell>
          <cell r="J507">
            <v>917447.63</v>
          </cell>
          <cell r="K507">
            <v>43048501.399999999</v>
          </cell>
          <cell r="L507">
            <v>-42131053.770000003</v>
          </cell>
          <cell r="M507" t="str">
            <v>700300</v>
          </cell>
        </row>
        <row r="508">
          <cell r="A508" t="str">
            <v>60010222</v>
          </cell>
          <cell r="B508" t="str">
            <v>19/01/01..19/12/31</v>
          </cell>
          <cell r="C508" t="str">
            <v>Sales Reve.-Export-IC-Trading</v>
          </cell>
          <cell r="D508" t="str">
            <v>主营业务收入-出口-关联方-贸易产品</v>
          </cell>
          <cell r="E508" t="str">
            <v>Income Statement</v>
          </cell>
          <cell r="F508" t="str">
            <v>Posting</v>
          </cell>
          <cell r="G508" t="str">
            <v>No</v>
          </cell>
          <cell r="H508" t="str">
            <v/>
          </cell>
          <cell r="I508">
            <v>-566015.78</v>
          </cell>
          <cell r="J508" t="str">
            <v/>
          </cell>
          <cell r="K508">
            <v>566015.78</v>
          </cell>
          <cell r="L508">
            <v>-566015.78</v>
          </cell>
          <cell r="M508" t="str">
            <v>700300</v>
          </cell>
        </row>
        <row r="509">
          <cell r="A509" t="str">
            <v>60010229</v>
          </cell>
          <cell r="B509" t="str">
            <v>19/01/01..19/12/31</v>
          </cell>
          <cell r="C509" t="str">
            <v>Sales Reve.-Export-IC-Total</v>
          </cell>
          <cell r="D509" t="str">
            <v>主营业务收入-出口-关联方-合计</v>
          </cell>
          <cell r="E509" t="str">
            <v>Income Statement</v>
          </cell>
          <cell r="F509" t="str">
            <v>End-Total</v>
          </cell>
          <cell r="G509" t="str">
            <v>No</v>
          </cell>
          <cell r="H509" t="str">
            <v>60010220..60010229</v>
          </cell>
          <cell r="I509">
            <v>-42697069.549999997</v>
          </cell>
          <cell r="J509">
            <v>917447.63</v>
          </cell>
          <cell r="K509">
            <v>43614517.18</v>
          </cell>
          <cell r="L509">
            <v>-42697069.549999997</v>
          </cell>
          <cell r="M509" t="str">
            <v/>
          </cell>
        </row>
        <row r="510">
          <cell r="A510" t="str">
            <v>60010230</v>
          </cell>
          <cell r="B510" t="str">
            <v>19/01/01..19/12/31</v>
          </cell>
          <cell r="C510" t="str">
            <v>Sales Reve.-Export-IC- transfer to domestic</v>
          </cell>
          <cell r="D510" t="str">
            <v>主营业务收入-出口-关联方-出口转内销</v>
          </cell>
          <cell r="E510" t="str">
            <v>Income Statement</v>
          </cell>
          <cell r="F510" t="str">
            <v>Posting</v>
          </cell>
          <cell r="G510" t="str">
            <v>Yes</v>
          </cell>
          <cell r="H510" t="str">
            <v/>
          </cell>
          <cell r="I510" t="str">
            <v/>
          </cell>
          <cell r="J510" t="str">
            <v/>
          </cell>
          <cell r="K510" t="str">
            <v/>
          </cell>
          <cell r="L510" t="str">
            <v/>
          </cell>
          <cell r="M510" t="str">
            <v>700300</v>
          </cell>
        </row>
        <row r="511">
          <cell r="A511" t="str">
            <v>60010299</v>
          </cell>
          <cell r="B511" t="str">
            <v>19/01/01..19/12/31</v>
          </cell>
          <cell r="C511" t="str">
            <v>Sales Revenue-Export-Total</v>
          </cell>
          <cell r="D511" t="str">
            <v>主营业务收入-出口-合计</v>
          </cell>
          <cell r="E511" t="str">
            <v>Income Statement</v>
          </cell>
          <cell r="F511" t="str">
            <v>End-Total</v>
          </cell>
          <cell r="G511" t="str">
            <v>No</v>
          </cell>
          <cell r="H511" t="str">
            <v>60010200..60010299</v>
          </cell>
          <cell r="I511">
            <v>-73417387.489999995</v>
          </cell>
          <cell r="J511">
            <v>930287.63</v>
          </cell>
          <cell r="K511">
            <v>74347675.120000005</v>
          </cell>
          <cell r="L511">
            <v>-73417387.489999995</v>
          </cell>
          <cell r="M511" t="str">
            <v/>
          </cell>
        </row>
        <row r="512">
          <cell r="A512" t="str">
            <v>60010500</v>
          </cell>
          <cell r="B512" t="str">
            <v>19/01/01..19/12/31</v>
          </cell>
          <cell r="C512" t="str">
            <v>Sales Revenue - Sales Rebate</v>
          </cell>
          <cell r="D512" t="str">
            <v/>
          </cell>
          <cell r="E512" t="str">
            <v>Income Statement</v>
          </cell>
          <cell r="F512" t="str">
            <v>Posting</v>
          </cell>
          <cell r="G512" t="str">
            <v>Yes</v>
          </cell>
          <cell r="H512" t="str">
            <v/>
          </cell>
          <cell r="I512">
            <v>508170.81</v>
          </cell>
          <cell r="J512">
            <v>508170.81</v>
          </cell>
          <cell r="K512" t="str">
            <v/>
          </cell>
          <cell r="L512">
            <v>508170.81</v>
          </cell>
          <cell r="M512" t="str">
            <v>700301</v>
          </cell>
        </row>
        <row r="513">
          <cell r="A513" t="str">
            <v>60019999</v>
          </cell>
          <cell r="B513" t="str">
            <v>19/01/01..19/12/31</v>
          </cell>
          <cell r="C513" t="str">
            <v>Sales Revenue-Total</v>
          </cell>
          <cell r="D513" t="str">
            <v>主营业务收入-合计</v>
          </cell>
          <cell r="E513" t="str">
            <v>Income Statement</v>
          </cell>
          <cell r="F513" t="str">
            <v>End-Total</v>
          </cell>
          <cell r="G513" t="str">
            <v>No</v>
          </cell>
          <cell r="H513" t="str">
            <v>60010000..60019999</v>
          </cell>
          <cell r="I513">
            <v>-660200181.16999996</v>
          </cell>
          <cell r="J513">
            <v>194894392.00999999</v>
          </cell>
          <cell r="K513">
            <v>855094573.17999995</v>
          </cell>
          <cell r="L513">
            <v>-660200181.16999996</v>
          </cell>
          <cell r="M513" t="str">
            <v/>
          </cell>
        </row>
        <row r="514">
          <cell r="A514" t="str">
            <v>60510000</v>
          </cell>
          <cell r="B514" t="str">
            <v>19/01/01..19/12/31</v>
          </cell>
          <cell r="C514" t="str">
            <v>Other Income</v>
          </cell>
          <cell r="D514" t="str">
            <v>其他业务收入</v>
          </cell>
          <cell r="E514" t="str">
            <v>Income Statement</v>
          </cell>
          <cell r="F514" t="str">
            <v>Begin-Total</v>
          </cell>
          <cell r="G514" t="str">
            <v>No</v>
          </cell>
          <cell r="H514" t="str">
            <v/>
          </cell>
          <cell r="I514" t="str">
            <v/>
          </cell>
          <cell r="J514" t="str">
            <v/>
          </cell>
          <cell r="K514" t="str">
            <v/>
          </cell>
          <cell r="L514" t="str">
            <v/>
          </cell>
          <cell r="M514" t="str">
            <v/>
          </cell>
        </row>
        <row r="515">
          <cell r="A515" t="str">
            <v>60510100</v>
          </cell>
          <cell r="B515" t="str">
            <v>19/01/01..19/12/31</v>
          </cell>
          <cell r="C515" t="str">
            <v>Other Income-Scrap sold</v>
          </cell>
          <cell r="D515" t="str">
            <v>其他业务收入-生产废料收入</v>
          </cell>
          <cell r="E515" t="str">
            <v>Income Statement</v>
          </cell>
          <cell r="F515" t="str">
            <v>Posting</v>
          </cell>
          <cell r="G515" t="str">
            <v>Yes</v>
          </cell>
          <cell r="H515" t="str">
            <v/>
          </cell>
          <cell r="I515">
            <v>-7501288.2199999997</v>
          </cell>
          <cell r="J515">
            <v>1002984.1</v>
          </cell>
          <cell r="K515">
            <v>8504272.3200000003</v>
          </cell>
          <cell r="L515">
            <v>-7501288.2199999997</v>
          </cell>
          <cell r="M515" t="str">
            <v>610201</v>
          </cell>
        </row>
        <row r="516">
          <cell r="A516" t="str">
            <v>60510200</v>
          </cell>
          <cell r="B516" t="str">
            <v>19/01/01..19/12/31</v>
          </cell>
          <cell r="C516" t="str">
            <v>Other Income-Others</v>
          </cell>
          <cell r="D516" t="str">
            <v>其他业务收入-其他</v>
          </cell>
          <cell r="E516" t="str">
            <v>Income Statement</v>
          </cell>
          <cell r="F516" t="str">
            <v>Posting</v>
          </cell>
          <cell r="G516" t="str">
            <v>Yes</v>
          </cell>
          <cell r="H516" t="str">
            <v/>
          </cell>
          <cell r="I516">
            <v>-1608476.76</v>
          </cell>
          <cell r="J516" t="str">
            <v/>
          </cell>
          <cell r="K516">
            <v>1608476.76</v>
          </cell>
          <cell r="L516">
            <v>-1608476.76</v>
          </cell>
          <cell r="M516" t="str">
            <v>620300</v>
          </cell>
        </row>
        <row r="517">
          <cell r="A517" t="str">
            <v>60510299</v>
          </cell>
          <cell r="B517" t="str">
            <v>19/01/01..19/12/31</v>
          </cell>
          <cell r="C517" t="str">
            <v>Other Income-Cross sales Comm.</v>
          </cell>
          <cell r="D517" t="str">
            <v>其他业务收入-集团佣金</v>
          </cell>
          <cell r="E517" t="str">
            <v>Income Statement</v>
          </cell>
          <cell r="F517" t="str">
            <v>Posting</v>
          </cell>
          <cell r="G517" t="str">
            <v>Yes</v>
          </cell>
          <cell r="H517" t="str">
            <v/>
          </cell>
          <cell r="I517" t="str">
            <v/>
          </cell>
          <cell r="J517" t="str">
            <v/>
          </cell>
          <cell r="K517" t="str">
            <v/>
          </cell>
          <cell r="L517" t="str">
            <v/>
          </cell>
          <cell r="M517" t="str">
            <v>751301</v>
          </cell>
        </row>
        <row r="518">
          <cell r="A518" t="str">
            <v>60519999</v>
          </cell>
          <cell r="B518" t="str">
            <v>19/01/01..19/12/31</v>
          </cell>
          <cell r="C518" t="str">
            <v>Other Income-Total</v>
          </cell>
          <cell r="D518" t="str">
            <v>其他业务收入-合计</v>
          </cell>
          <cell r="E518" t="str">
            <v>Income Statement</v>
          </cell>
          <cell r="F518" t="str">
            <v>End-Total</v>
          </cell>
          <cell r="G518" t="str">
            <v>No</v>
          </cell>
          <cell r="H518" t="str">
            <v>60510000..60519999</v>
          </cell>
          <cell r="I518">
            <v>-9109764.9800000004</v>
          </cell>
          <cell r="J518">
            <v>1002984.1</v>
          </cell>
          <cell r="K518">
            <v>10112749.08</v>
          </cell>
          <cell r="L518">
            <v>-9109764.9800000004</v>
          </cell>
          <cell r="M518" t="str">
            <v/>
          </cell>
        </row>
        <row r="519">
          <cell r="A519" t="str">
            <v>61010000</v>
          </cell>
          <cell r="B519" t="str">
            <v>19/01/01..19/12/31</v>
          </cell>
          <cell r="C519" t="str">
            <v>Adjustment for fair value</v>
          </cell>
          <cell r="D519" t="str">
            <v>公允价值变动损益</v>
          </cell>
          <cell r="E519" t="str">
            <v>Income Statement</v>
          </cell>
          <cell r="F519" t="str">
            <v>Posting</v>
          </cell>
          <cell r="G519" t="str">
            <v>Yes</v>
          </cell>
          <cell r="H519" t="str">
            <v/>
          </cell>
          <cell r="I519" t="str">
            <v/>
          </cell>
          <cell r="J519" t="str">
            <v/>
          </cell>
          <cell r="K519" t="str">
            <v/>
          </cell>
          <cell r="L519" t="str">
            <v/>
          </cell>
          <cell r="M519" t="str">
            <v>665000</v>
          </cell>
        </row>
        <row r="520">
          <cell r="A520" t="str">
            <v>61110000</v>
          </cell>
          <cell r="B520" t="str">
            <v>19/01/01..19/12/31</v>
          </cell>
          <cell r="C520" t="str">
            <v>Investment Income</v>
          </cell>
          <cell r="D520" t="str">
            <v>投资收益</v>
          </cell>
          <cell r="E520" t="str">
            <v>Income Statement</v>
          </cell>
          <cell r="F520" t="str">
            <v>Posting</v>
          </cell>
          <cell r="G520" t="str">
            <v>Yes</v>
          </cell>
          <cell r="H520" t="str">
            <v/>
          </cell>
          <cell r="I520" t="str">
            <v/>
          </cell>
          <cell r="J520" t="str">
            <v/>
          </cell>
          <cell r="K520" t="str">
            <v/>
          </cell>
          <cell r="L520" t="str">
            <v/>
          </cell>
          <cell r="M520" t="str">
            <v>740000</v>
          </cell>
        </row>
        <row r="521">
          <cell r="A521" t="str">
            <v>61110001</v>
          </cell>
          <cell r="B521" t="str">
            <v>19/01/01..19/12/31</v>
          </cell>
          <cell r="C521" t="str">
            <v>Investment Income_trading non ferrous metals</v>
          </cell>
          <cell r="D521" t="str">
            <v>投资收益_未实现金属套期保值</v>
          </cell>
          <cell r="E521" t="str">
            <v>Income Statement</v>
          </cell>
          <cell r="F521" t="str">
            <v>Posting</v>
          </cell>
          <cell r="G521" t="str">
            <v>Yes</v>
          </cell>
          <cell r="H521" t="str">
            <v/>
          </cell>
          <cell r="I521">
            <v>-8934424.2799999993</v>
          </cell>
          <cell r="J521">
            <v>4873939.53</v>
          </cell>
          <cell r="K521">
            <v>13808363.810000001</v>
          </cell>
          <cell r="L521">
            <v>-8934424.2799999993</v>
          </cell>
          <cell r="M521" t="str">
            <v>757000</v>
          </cell>
        </row>
        <row r="522">
          <cell r="A522" t="str">
            <v>63010000</v>
          </cell>
          <cell r="B522" t="str">
            <v>19/01/01..19/12/31</v>
          </cell>
          <cell r="C522" t="str">
            <v>Non-operating Income</v>
          </cell>
          <cell r="D522" t="str">
            <v>营业外收入</v>
          </cell>
          <cell r="E522" t="str">
            <v>Income Statement</v>
          </cell>
          <cell r="F522" t="str">
            <v>Begin-Total</v>
          </cell>
          <cell r="G522" t="str">
            <v>No</v>
          </cell>
          <cell r="H522" t="str">
            <v/>
          </cell>
          <cell r="I522" t="str">
            <v/>
          </cell>
          <cell r="J522" t="str">
            <v/>
          </cell>
          <cell r="K522" t="str">
            <v/>
          </cell>
          <cell r="L522" t="str">
            <v/>
          </cell>
          <cell r="M522" t="str">
            <v/>
          </cell>
        </row>
        <row r="523">
          <cell r="A523" t="str">
            <v>63010100</v>
          </cell>
          <cell r="B523" t="str">
            <v>19/01/01..19/12/31</v>
          </cell>
          <cell r="C523" t="str">
            <v>Non-operating Inc.-FA disposal</v>
          </cell>
          <cell r="D523" t="str">
            <v>营业外收入-固定资产处置净收入</v>
          </cell>
          <cell r="E523" t="str">
            <v>Income Statement</v>
          </cell>
          <cell r="F523" t="str">
            <v>Posting</v>
          </cell>
          <cell r="G523" t="str">
            <v>Yes</v>
          </cell>
          <cell r="H523" t="str">
            <v/>
          </cell>
          <cell r="I523" t="str">
            <v/>
          </cell>
          <cell r="J523" t="str">
            <v/>
          </cell>
          <cell r="K523" t="str">
            <v/>
          </cell>
          <cell r="L523" t="str">
            <v/>
          </cell>
          <cell r="M523" t="str">
            <v>775501</v>
          </cell>
        </row>
        <row r="524">
          <cell r="A524" t="str">
            <v>63010299</v>
          </cell>
          <cell r="B524" t="str">
            <v>19/01/01..19/12/31</v>
          </cell>
          <cell r="C524" t="str">
            <v>Non-operating Income-Other</v>
          </cell>
          <cell r="D524" t="str">
            <v>营业外收入-其他</v>
          </cell>
          <cell r="E524" t="str">
            <v>Income Statement</v>
          </cell>
          <cell r="F524" t="str">
            <v>Posting</v>
          </cell>
          <cell r="G524" t="str">
            <v>Yes</v>
          </cell>
          <cell r="H524" t="str">
            <v/>
          </cell>
          <cell r="I524">
            <v>-824417.21</v>
          </cell>
          <cell r="J524">
            <v>-221861.25</v>
          </cell>
          <cell r="K524">
            <v>602555.96</v>
          </cell>
          <cell r="L524">
            <v>-824417.21</v>
          </cell>
          <cell r="M524" t="str">
            <v>620300</v>
          </cell>
        </row>
        <row r="525">
          <cell r="A525" t="str">
            <v>63019999</v>
          </cell>
          <cell r="B525" t="str">
            <v>19/01/01..19/12/31</v>
          </cell>
          <cell r="C525" t="str">
            <v>Non-operating Income-Total</v>
          </cell>
          <cell r="D525" t="str">
            <v>营业外收入-合计</v>
          </cell>
          <cell r="E525" t="str">
            <v>Income Statement</v>
          </cell>
          <cell r="F525" t="str">
            <v>End-Total</v>
          </cell>
          <cell r="G525" t="str">
            <v>No</v>
          </cell>
          <cell r="H525" t="str">
            <v>63010000..63019999</v>
          </cell>
          <cell r="I525">
            <v>-824417.21</v>
          </cell>
          <cell r="J525">
            <v>-221861.25</v>
          </cell>
          <cell r="K525">
            <v>602555.96</v>
          </cell>
          <cell r="L525">
            <v>-824417.21</v>
          </cell>
          <cell r="M525" t="str">
            <v/>
          </cell>
        </row>
        <row r="526">
          <cell r="A526" t="str">
            <v>64010000</v>
          </cell>
          <cell r="B526" t="str">
            <v>19/01/01..19/12/31</v>
          </cell>
          <cell r="C526" t="str">
            <v>Cost of Goods Sold</v>
          </cell>
          <cell r="D526" t="str">
            <v>主营业务成本</v>
          </cell>
          <cell r="E526" t="str">
            <v>Income Statement</v>
          </cell>
          <cell r="F526" t="str">
            <v>Begin-Total</v>
          </cell>
          <cell r="G526" t="str">
            <v>No</v>
          </cell>
          <cell r="H526" t="str">
            <v/>
          </cell>
          <cell r="I526" t="str">
            <v/>
          </cell>
          <cell r="J526" t="str">
            <v/>
          </cell>
          <cell r="K526" t="str">
            <v/>
          </cell>
          <cell r="L526" t="str">
            <v/>
          </cell>
          <cell r="M526" t="str">
            <v/>
          </cell>
        </row>
        <row r="527">
          <cell r="A527" t="str">
            <v>64010100</v>
          </cell>
          <cell r="B527" t="str">
            <v>19/01/01..19/12/31</v>
          </cell>
          <cell r="C527" t="str">
            <v>COGS-Standard</v>
          </cell>
          <cell r="D527" t="str">
            <v>主营业务成本-标准</v>
          </cell>
          <cell r="E527" t="str">
            <v>Income Statement</v>
          </cell>
          <cell r="F527" t="str">
            <v>Begin-Total</v>
          </cell>
          <cell r="G527" t="str">
            <v>No</v>
          </cell>
          <cell r="H527" t="str">
            <v/>
          </cell>
          <cell r="I527" t="str">
            <v/>
          </cell>
          <cell r="J527" t="str">
            <v/>
          </cell>
          <cell r="K527" t="str">
            <v/>
          </cell>
          <cell r="L527" t="str">
            <v/>
          </cell>
          <cell r="M527" t="str">
            <v/>
          </cell>
        </row>
        <row r="528">
          <cell r="A528" t="str">
            <v>64010110</v>
          </cell>
          <cell r="B528" t="str">
            <v>19/01/01..19/12/31</v>
          </cell>
          <cell r="C528" t="str">
            <v>COGS-Standard Materials</v>
          </cell>
          <cell r="D528" t="str">
            <v>主营业务成本-标准材料</v>
          </cell>
          <cell r="E528" t="str">
            <v>Income Statement</v>
          </cell>
          <cell r="F528" t="str">
            <v>Posting</v>
          </cell>
          <cell r="G528" t="str">
            <v>No</v>
          </cell>
          <cell r="H528" t="str">
            <v/>
          </cell>
          <cell r="I528">
            <v>331076302.58999997</v>
          </cell>
          <cell r="J528">
            <v>627410803.96000004</v>
          </cell>
          <cell r="K528">
            <v>296334501.37</v>
          </cell>
          <cell r="L528">
            <v>331076302.58999997</v>
          </cell>
          <cell r="M528" t="str">
            <v>601100</v>
          </cell>
        </row>
        <row r="529">
          <cell r="A529" t="str">
            <v>64010111</v>
          </cell>
          <cell r="B529" t="str">
            <v>19/01/01..19/12/31</v>
          </cell>
          <cell r="C529" t="str">
            <v>COGS-Standard Reclass</v>
          </cell>
          <cell r="D529" t="str">
            <v>主营业务成本-标准材料重分类</v>
          </cell>
          <cell r="E529" t="str">
            <v>Income Statement</v>
          </cell>
          <cell r="F529" t="str">
            <v>Posting</v>
          </cell>
          <cell r="G529" t="str">
            <v>Yes</v>
          </cell>
          <cell r="H529" t="str">
            <v/>
          </cell>
          <cell r="I529" t="str">
            <v/>
          </cell>
          <cell r="J529" t="str">
            <v/>
          </cell>
          <cell r="K529" t="str">
            <v/>
          </cell>
          <cell r="L529" t="str">
            <v/>
          </cell>
          <cell r="M529" t="str">
            <v>601100</v>
          </cell>
        </row>
        <row r="530">
          <cell r="A530" t="str">
            <v>64010121</v>
          </cell>
          <cell r="B530" t="str">
            <v>19/01/01..19/12/31</v>
          </cell>
          <cell r="C530" t="str">
            <v>COGS-Standard Copper</v>
          </cell>
          <cell r="D530" t="str">
            <v>主营业务成本-标准铜</v>
          </cell>
          <cell r="E530" t="str">
            <v>Income Statement</v>
          </cell>
          <cell r="F530" t="str">
            <v>Posting</v>
          </cell>
          <cell r="G530" t="str">
            <v>Yes</v>
          </cell>
          <cell r="H530" t="str">
            <v/>
          </cell>
          <cell r="I530" t="str">
            <v/>
          </cell>
          <cell r="J530" t="str">
            <v/>
          </cell>
          <cell r="K530" t="str">
            <v/>
          </cell>
          <cell r="L530" t="str">
            <v/>
          </cell>
          <cell r="M530" t="str">
            <v>601140</v>
          </cell>
        </row>
        <row r="531">
          <cell r="A531" t="str">
            <v>64010122</v>
          </cell>
          <cell r="B531" t="str">
            <v>19/01/01..19/12/31</v>
          </cell>
          <cell r="C531" t="str">
            <v>COGS-Standard Aluminum</v>
          </cell>
          <cell r="D531" t="str">
            <v>主营业务成本-标准铝</v>
          </cell>
          <cell r="E531" t="str">
            <v>Income Statement</v>
          </cell>
          <cell r="F531" t="str">
            <v>Posting</v>
          </cell>
          <cell r="G531" t="str">
            <v>Yes</v>
          </cell>
          <cell r="H531" t="str">
            <v/>
          </cell>
          <cell r="I531" t="str">
            <v/>
          </cell>
          <cell r="J531" t="str">
            <v/>
          </cell>
          <cell r="K531" t="str">
            <v/>
          </cell>
          <cell r="L531" t="str">
            <v/>
          </cell>
          <cell r="M531" t="str">
            <v>601150</v>
          </cell>
        </row>
        <row r="532">
          <cell r="A532" t="str">
            <v>64010125</v>
          </cell>
          <cell r="B532" t="str">
            <v>19/01/01..19/12/31</v>
          </cell>
          <cell r="C532" t="str">
            <v>COGS-Standard Other Materials</v>
          </cell>
          <cell r="D532" t="str">
            <v>主营业务成本-其他标准材料</v>
          </cell>
          <cell r="E532" t="str">
            <v>Income Statement</v>
          </cell>
          <cell r="F532" t="str">
            <v>Posting</v>
          </cell>
          <cell r="G532" t="str">
            <v>Yes</v>
          </cell>
          <cell r="H532" t="str">
            <v/>
          </cell>
          <cell r="I532" t="str">
            <v/>
          </cell>
          <cell r="J532" t="str">
            <v/>
          </cell>
          <cell r="K532" t="str">
            <v/>
          </cell>
          <cell r="L532" t="str">
            <v/>
          </cell>
          <cell r="M532" t="str">
            <v>601100</v>
          </cell>
        </row>
        <row r="533">
          <cell r="A533" t="str">
            <v>64010130</v>
          </cell>
          <cell r="B533" t="str">
            <v>19/01/01..19/12/31</v>
          </cell>
          <cell r="C533" t="str">
            <v>COGS-Standard Labor Cost</v>
          </cell>
          <cell r="D533" t="str">
            <v>主营业务成本-标准人工</v>
          </cell>
          <cell r="E533" t="str">
            <v>Income Statement</v>
          </cell>
          <cell r="F533" t="str">
            <v>Posting</v>
          </cell>
          <cell r="G533" t="str">
            <v>No</v>
          </cell>
          <cell r="H533" t="str">
            <v/>
          </cell>
          <cell r="I533" t="str">
            <v/>
          </cell>
          <cell r="J533" t="str">
            <v/>
          </cell>
          <cell r="K533" t="str">
            <v/>
          </cell>
          <cell r="L533" t="str">
            <v/>
          </cell>
          <cell r="M533" t="str">
            <v>601160</v>
          </cell>
        </row>
        <row r="534">
          <cell r="A534" t="str">
            <v>64010140</v>
          </cell>
          <cell r="B534" t="str">
            <v>19/01/01..19/12/31</v>
          </cell>
          <cell r="C534" t="str">
            <v>COGS-Standard overhead</v>
          </cell>
          <cell r="D534" t="str">
            <v>主营业务成本-标准费用</v>
          </cell>
          <cell r="E534" t="str">
            <v>Income Statement</v>
          </cell>
          <cell r="F534" t="str">
            <v>Posting</v>
          </cell>
          <cell r="G534" t="str">
            <v>No</v>
          </cell>
          <cell r="H534" t="str">
            <v/>
          </cell>
          <cell r="I534" t="str">
            <v/>
          </cell>
          <cell r="J534" t="str">
            <v/>
          </cell>
          <cell r="K534" t="str">
            <v/>
          </cell>
          <cell r="L534" t="str">
            <v/>
          </cell>
          <cell r="M534" t="str">
            <v>601100</v>
          </cell>
        </row>
        <row r="535">
          <cell r="A535" t="str">
            <v>64010199</v>
          </cell>
          <cell r="B535" t="str">
            <v>19/01/01..19/12/31</v>
          </cell>
          <cell r="C535" t="str">
            <v>COGS-Standard-Total</v>
          </cell>
          <cell r="D535" t="str">
            <v>主营业务成本-标准合计</v>
          </cell>
          <cell r="E535" t="str">
            <v>Income Statement</v>
          </cell>
          <cell r="F535" t="str">
            <v>End-Total</v>
          </cell>
          <cell r="G535" t="str">
            <v>No</v>
          </cell>
          <cell r="H535" t="str">
            <v>64010100..64010199</v>
          </cell>
          <cell r="I535">
            <v>331076302.58999997</v>
          </cell>
          <cell r="J535">
            <v>627410803.96000004</v>
          </cell>
          <cell r="K535">
            <v>296334501.37</v>
          </cell>
          <cell r="L535">
            <v>331076302.58999997</v>
          </cell>
          <cell r="M535" t="str">
            <v/>
          </cell>
        </row>
        <row r="536">
          <cell r="A536" t="str">
            <v>64010200</v>
          </cell>
          <cell r="B536" t="str">
            <v>19/01/01..19/12/31</v>
          </cell>
          <cell r="C536" t="str">
            <v>COGS-Price Variance</v>
          </cell>
          <cell r="D536" t="str">
            <v>主营业务成本价格差异</v>
          </cell>
          <cell r="E536" t="str">
            <v>Income Statement</v>
          </cell>
          <cell r="F536" t="str">
            <v>Begin-Total</v>
          </cell>
          <cell r="G536" t="str">
            <v>No</v>
          </cell>
          <cell r="H536" t="str">
            <v/>
          </cell>
          <cell r="I536" t="str">
            <v/>
          </cell>
          <cell r="J536" t="str">
            <v/>
          </cell>
          <cell r="K536" t="str">
            <v/>
          </cell>
          <cell r="L536" t="str">
            <v/>
          </cell>
          <cell r="M536" t="str">
            <v/>
          </cell>
        </row>
        <row r="537">
          <cell r="A537" t="str">
            <v>64010210</v>
          </cell>
          <cell r="B537" t="str">
            <v>19/01/01..19/12/31</v>
          </cell>
          <cell r="C537" t="str">
            <v>COGS-Price Vari.-Copper Effect</v>
          </cell>
          <cell r="D537" t="str">
            <v>主营业务成本价格差异-铜</v>
          </cell>
          <cell r="E537" t="str">
            <v>Income Statement</v>
          </cell>
          <cell r="F537" t="str">
            <v>Posting</v>
          </cell>
          <cell r="G537" t="str">
            <v>Yes</v>
          </cell>
          <cell r="H537" t="str">
            <v/>
          </cell>
          <cell r="I537">
            <v>93206565.819999993</v>
          </cell>
          <cell r="J537">
            <v>93206565.819999993</v>
          </cell>
          <cell r="K537" t="str">
            <v/>
          </cell>
          <cell r="L537">
            <v>93206565.819999993</v>
          </cell>
          <cell r="M537" t="str">
            <v>710510</v>
          </cell>
        </row>
        <row r="538">
          <cell r="A538" t="str">
            <v>64010215</v>
          </cell>
          <cell r="B538" t="str">
            <v>19/01/01..19/12/31</v>
          </cell>
          <cell r="C538" t="str">
            <v>COGS-Price Vari.-Alum. Effect</v>
          </cell>
          <cell r="D538" t="str">
            <v>主营业务成本价格差异-铝</v>
          </cell>
          <cell r="E538" t="str">
            <v>Income Statement</v>
          </cell>
          <cell r="F538" t="str">
            <v>Posting</v>
          </cell>
          <cell r="G538" t="str">
            <v>Yes</v>
          </cell>
          <cell r="H538" t="str">
            <v/>
          </cell>
          <cell r="I538" t="str">
            <v/>
          </cell>
          <cell r="J538" t="str">
            <v/>
          </cell>
          <cell r="K538" t="str">
            <v/>
          </cell>
          <cell r="L538" t="str">
            <v/>
          </cell>
          <cell r="M538" t="str">
            <v>710511</v>
          </cell>
        </row>
        <row r="539">
          <cell r="A539" t="str">
            <v>64010220</v>
          </cell>
          <cell r="B539" t="str">
            <v>19/01/01..19/12/31</v>
          </cell>
          <cell r="C539" t="str">
            <v>COGS-Price Vari.-Othe Material</v>
          </cell>
          <cell r="D539" t="str">
            <v>主营业务成本价格差异-其他材料</v>
          </cell>
          <cell r="E539" t="str">
            <v>Income Statement</v>
          </cell>
          <cell r="F539" t="str">
            <v>Posting</v>
          </cell>
          <cell r="G539" t="str">
            <v>Yes</v>
          </cell>
          <cell r="H539" t="str">
            <v/>
          </cell>
          <cell r="I539">
            <v>-3057543.99</v>
          </cell>
          <cell r="J539">
            <v>11374130.25</v>
          </cell>
          <cell r="K539">
            <v>14431674.24</v>
          </cell>
          <cell r="L539">
            <v>-3057543.99</v>
          </cell>
          <cell r="M539" t="str">
            <v>601200</v>
          </cell>
        </row>
        <row r="540">
          <cell r="A540" t="str">
            <v>64010230</v>
          </cell>
          <cell r="B540" t="str">
            <v>19/01/01..19/12/31</v>
          </cell>
          <cell r="C540" t="str">
            <v>COGS-Price Variance-Labor</v>
          </cell>
          <cell r="D540" t="str">
            <v>主营业务成本价格差异-人工</v>
          </cell>
          <cell r="E540" t="str">
            <v>Income Statement</v>
          </cell>
          <cell r="F540" t="str">
            <v>Posting</v>
          </cell>
          <cell r="G540" t="str">
            <v>Yes</v>
          </cell>
          <cell r="H540" t="str">
            <v/>
          </cell>
          <cell r="I540" t="str">
            <v/>
          </cell>
          <cell r="J540" t="str">
            <v/>
          </cell>
          <cell r="K540" t="str">
            <v/>
          </cell>
          <cell r="L540" t="str">
            <v/>
          </cell>
          <cell r="M540" t="str">
            <v>601260</v>
          </cell>
        </row>
        <row r="541">
          <cell r="A541" t="str">
            <v>64010240</v>
          </cell>
          <cell r="B541" t="str">
            <v>19/01/01..19/12/31</v>
          </cell>
          <cell r="C541" t="str">
            <v>COGS-Price Vari.-Depreciation</v>
          </cell>
          <cell r="D541" t="str">
            <v>主营业务成本价格差异-折旧</v>
          </cell>
          <cell r="E541" t="str">
            <v>Income Statement</v>
          </cell>
          <cell r="F541" t="str">
            <v>Posting</v>
          </cell>
          <cell r="G541" t="str">
            <v>Yes</v>
          </cell>
          <cell r="H541" t="str">
            <v/>
          </cell>
          <cell r="I541" t="str">
            <v/>
          </cell>
          <cell r="J541" t="str">
            <v/>
          </cell>
          <cell r="K541" t="str">
            <v/>
          </cell>
          <cell r="L541" t="str">
            <v/>
          </cell>
          <cell r="M541" t="str">
            <v>94010010</v>
          </cell>
        </row>
        <row r="542">
          <cell r="A542" t="str">
            <v>64010250</v>
          </cell>
          <cell r="B542" t="str">
            <v>19/01/01..19/12/31</v>
          </cell>
          <cell r="C542" t="str">
            <v>COGS-Price Variance-IPC</v>
          </cell>
          <cell r="D542" t="str">
            <v>主营业务成本价格差异-间接成本</v>
          </cell>
          <cell r="E542" t="str">
            <v>Income Statement</v>
          </cell>
          <cell r="F542" t="str">
            <v>Posting</v>
          </cell>
          <cell r="G542" t="str">
            <v>Yes</v>
          </cell>
          <cell r="H542" t="str">
            <v/>
          </cell>
          <cell r="I542" t="str">
            <v/>
          </cell>
          <cell r="J542" t="str">
            <v/>
          </cell>
          <cell r="K542" t="str">
            <v/>
          </cell>
          <cell r="L542" t="str">
            <v/>
          </cell>
          <cell r="M542" t="str">
            <v>94010010</v>
          </cell>
        </row>
        <row r="543">
          <cell r="A543" t="str">
            <v>64010260</v>
          </cell>
          <cell r="B543" t="str">
            <v>19/01/01..19/12/31</v>
          </cell>
          <cell r="C543" t="str">
            <v>COGS-Price Vari.-Utility</v>
          </cell>
          <cell r="D543" t="str">
            <v>主营业务成本价格差异-水电</v>
          </cell>
          <cell r="E543" t="str">
            <v>Income Statement</v>
          </cell>
          <cell r="F543" t="str">
            <v>Posting</v>
          </cell>
          <cell r="G543" t="str">
            <v>Yes</v>
          </cell>
          <cell r="H543" t="str">
            <v/>
          </cell>
          <cell r="I543" t="str">
            <v/>
          </cell>
          <cell r="J543" t="str">
            <v/>
          </cell>
          <cell r="K543" t="str">
            <v/>
          </cell>
          <cell r="L543" t="str">
            <v/>
          </cell>
          <cell r="M543" t="str">
            <v>601200</v>
          </cell>
        </row>
        <row r="544">
          <cell r="A544" t="str">
            <v>64010299</v>
          </cell>
          <cell r="B544" t="str">
            <v>19/01/01..19/12/31</v>
          </cell>
          <cell r="C544" t="str">
            <v>COGS-Price Variance-Total</v>
          </cell>
          <cell r="D544" t="str">
            <v>主营业务成本价格差异-合计</v>
          </cell>
          <cell r="E544" t="str">
            <v>Income Statement</v>
          </cell>
          <cell r="F544" t="str">
            <v>End-Total</v>
          </cell>
          <cell r="G544" t="str">
            <v>No</v>
          </cell>
          <cell r="H544" t="str">
            <v>64010200..64010299</v>
          </cell>
          <cell r="I544">
            <v>90149021.829999998</v>
          </cell>
          <cell r="J544">
            <v>104580696.06999999</v>
          </cell>
          <cell r="K544">
            <v>14431674.24</v>
          </cell>
          <cell r="L544">
            <v>90149021.829999998</v>
          </cell>
          <cell r="M544" t="str">
            <v/>
          </cell>
        </row>
        <row r="545">
          <cell r="A545" t="str">
            <v>64010300</v>
          </cell>
          <cell r="B545" t="str">
            <v>19/01/01..19/12/31</v>
          </cell>
          <cell r="C545" t="str">
            <v>COGS-Volume Variance</v>
          </cell>
          <cell r="D545" t="str">
            <v>主营业务成本耗量差异</v>
          </cell>
          <cell r="E545" t="str">
            <v>Income Statement</v>
          </cell>
          <cell r="F545" t="str">
            <v>Begin-Total</v>
          </cell>
          <cell r="G545" t="str">
            <v>No</v>
          </cell>
          <cell r="H545" t="str">
            <v/>
          </cell>
          <cell r="I545" t="str">
            <v/>
          </cell>
          <cell r="J545" t="str">
            <v/>
          </cell>
          <cell r="K545" t="str">
            <v/>
          </cell>
          <cell r="L545" t="str">
            <v/>
          </cell>
          <cell r="M545" t="str">
            <v/>
          </cell>
        </row>
        <row r="546">
          <cell r="A546" t="str">
            <v>64010310</v>
          </cell>
          <cell r="B546" t="str">
            <v>19/01/01..19/12/31</v>
          </cell>
          <cell r="C546" t="str">
            <v>COGS-MV-Copper Effect</v>
          </cell>
          <cell r="D546" t="str">
            <v>主营业务成本耗量差异-铜</v>
          </cell>
          <cell r="E546" t="str">
            <v>Income Statement</v>
          </cell>
          <cell r="F546" t="str">
            <v>Posting</v>
          </cell>
          <cell r="G546" t="str">
            <v>Yes</v>
          </cell>
          <cell r="H546" t="str">
            <v/>
          </cell>
          <cell r="I546">
            <v>752158.47</v>
          </cell>
          <cell r="J546">
            <v>1127768.74</v>
          </cell>
          <cell r="K546">
            <v>375610.27</v>
          </cell>
          <cell r="L546">
            <v>752158.47</v>
          </cell>
          <cell r="M546" t="str">
            <v>603150</v>
          </cell>
        </row>
        <row r="547">
          <cell r="A547" t="str">
            <v>64010315</v>
          </cell>
          <cell r="B547" t="str">
            <v>19/01/01..19/12/31</v>
          </cell>
          <cell r="C547" t="str">
            <v>COGS-MV-Aluminum Effect</v>
          </cell>
          <cell r="D547" t="str">
            <v>主营业务成本耗量差异-铝</v>
          </cell>
          <cell r="E547" t="str">
            <v>Income Statement</v>
          </cell>
          <cell r="F547" t="str">
            <v>Posting</v>
          </cell>
          <cell r="G547" t="str">
            <v>Yes</v>
          </cell>
          <cell r="H547" t="str">
            <v/>
          </cell>
          <cell r="I547" t="str">
            <v/>
          </cell>
          <cell r="J547" t="str">
            <v/>
          </cell>
          <cell r="K547" t="str">
            <v/>
          </cell>
          <cell r="L547" t="str">
            <v/>
          </cell>
          <cell r="M547" t="str">
            <v>603150</v>
          </cell>
        </row>
        <row r="548">
          <cell r="A548" t="str">
            <v>64010320</v>
          </cell>
          <cell r="B548" t="str">
            <v>19/01/01..19/12/31</v>
          </cell>
          <cell r="C548" t="str">
            <v>COGS-MV-Other Material</v>
          </cell>
          <cell r="D548" t="str">
            <v>主营业务成本耗量差异-其他材料</v>
          </cell>
          <cell r="E548" t="str">
            <v>Income Statement</v>
          </cell>
          <cell r="F548" t="str">
            <v>Posting</v>
          </cell>
          <cell r="G548" t="str">
            <v>Yes</v>
          </cell>
          <cell r="H548" t="str">
            <v/>
          </cell>
          <cell r="I548">
            <v>1932602.65</v>
          </cell>
          <cell r="J548">
            <v>1223695856338.8301</v>
          </cell>
          <cell r="K548">
            <v>1223693923736.1799</v>
          </cell>
          <cell r="L548">
            <v>1932602.65</v>
          </cell>
          <cell r="M548" t="str">
            <v>603100</v>
          </cell>
        </row>
        <row r="549">
          <cell r="A549" t="str">
            <v>64010330</v>
          </cell>
          <cell r="B549" t="str">
            <v>19/01/01..19/12/31</v>
          </cell>
          <cell r="C549" t="str">
            <v>COGS-MV-Labor</v>
          </cell>
          <cell r="D549" t="str">
            <v>主营业务成本耗量差异-人工</v>
          </cell>
          <cell r="E549" t="str">
            <v>Income Statement</v>
          </cell>
          <cell r="F549" t="str">
            <v>Posting</v>
          </cell>
          <cell r="G549" t="str">
            <v>Yes</v>
          </cell>
          <cell r="H549" t="str">
            <v/>
          </cell>
          <cell r="I549">
            <v>1799487.74</v>
          </cell>
          <cell r="J549">
            <v>27198836848.099998</v>
          </cell>
          <cell r="K549">
            <v>27197037360.360001</v>
          </cell>
          <cell r="L549">
            <v>1799487.74</v>
          </cell>
          <cell r="M549" t="str">
            <v>603160</v>
          </cell>
        </row>
        <row r="550">
          <cell r="A550" t="str">
            <v>64010340</v>
          </cell>
          <cell r="B550" t="str">
            <v>19/01/01..19/12/31</v>
          </cell>
          <cell r="C550" t="str">
            <v>COGS-MV-Depre.</v>
          </cell>
          <cell r="D550" t="str">
            <v>主营业务成本耗量差异-折旧</v>
          </cell>
          <cell r="E550" t="str">
            <v>Income Statement</v>
          </cell>
          <cell r="F550" t="str">
            <v>Posting</v>
          </cell>
          <cell r="G550" t="str">
            <v>Yes</v>
          </cell>
          <cell r="H550" t="str">
            <v/>
          </cell>
          <cell r="I550">
            <v>13625309.77</v>
          </cell>
          <cell r="J550">
            <v>13625309.77</v>
          </cell>
          <cell r="K550" t="str">
            <v/>
          </cell>
          <cell r="L550">
            <v>13625309.77</v>
          </cell>
          <cell r="M550" t="str">
            <v>682100</v>
          </cell>
        </row>
        <row r="551">
          <cell r="A551" t="str">
            <v>64010350</v>
          </cell>
          <cell r="B551" t="str">
            <v>19/01/01..19/12/31</v>
          </cell>
          <cell r="C551" t="str">
            <v>COGS-MV-IPC</v>
          </cell>
          <cell r="D551" t="str">
            <v>主营业务成本耗量差异-间接成本</v>
          </cell>
          <cell r="E551" t="str">
            <v>Income Statement</v>
          </cell>
          <cell r="F551" t="str">
            <v>Posting</v>
          </cell>
          <cell r="G551" t="str">
            <v>Yes</v>
          </cell>
          <cell r="H551" t="str">
            <v/>
          </cell>
          <cell r="I551">
            <v>33177524.34</v>
          </cell>
          <cell r="J551">
            <v>33698314.219999999</v>
          </cell>
          <cell r="K551">
            <v>520789.88</v>
          </cell>
          <cell r="L551">
            <v>33177524.34</v>
          </cell>
          <cell r="M551" t="str">
            <v>94010010</v>
          </cell>
        </row>
        <row r="552">
          <cell r="A552" t="str">
            <v>64010360</v>
          </cell>
          <cell r="B552" t="str">
            <v>19/01/01..19/12/31</v>
          </cell>
          <cell r="C552" t="str">
            <v>COGS-MV-Utility</v>
          </cell>
          <cell r="D552" t="str">
            <v>主营业务成本耗量差异-水电</v>
          </cell>
          <cell r="E552" t="str">
            <v>Income Statement</v>
          </cell>
          <cell r="F552" t="str">
            <v>Posting</v>
          </cell>
          <cell r="G552" t="str">
            <v>Yes</v>
          </cell>
          <cell r="H552" t="str">
            <v/>
          </cell>
          <cell r="I552">
            <v>-1014461.89</v>
          </cell>
          <cell r="J552">
            <v>3325852428.1999998</v>
          </cell>
          <cell r="K552">
            <v>3326866890.0900002</v>
          </cell>
          <cell r="L552">
            <v>-1014461.89</v>
          </cell>
          <cell r="M552" t="str">
            <v>603100</v>
          </cell>
        </row>
        <row r="553">
          <cell r="A553" t="str">
            <v>64010399</v>
          </cell>
          <cell r="B553" t="str">
            <v>19/01/01..19/12/31</v>
          </cell>
          <cell r="C553" t="str">
            <v>COGS-Volume Variance-Total</v>
          </cell>
          <cell r="D553" t="str">
            <v>主营业务成本耗量差异-合计</v>
          </cell>
          <cell r="E553" t="str">
            <v>Income Statement</v>
          </cell>
          <cell r="F553" t="str">
            <v>End-Total</v>
          </cell>
          <cell r="G553" t="str">
            <v>No</v>
          </cell>
          <cell r="H553" t="str">
            <v>64010300..64010399</v>
          </cell>
          <cell r="I553">
            <v>50272621.079999998</v>
          </cell>
          <cell r="J553">
            <v>1254268997007.8601</v>
          </cell>
          <cell r="K553">
            <v>1254218724386.78</v>
          </cell>
          <cell r="L553">
            <v>50272621.079999998</v>
          </cell>
          <cell r="M553" t="str">
            <v/>
          </cell>
        </row>
        <row r="554">
          <cell r="A554" t="str">
            <v>64010410</v>
          </cell>
          <cell r="B554" t="str">
            <v>19/01/01..19/12/31</v>
          </cell>
          <cell r="C554" t="str">
            <v>COGS-Other</v>
          </cell>
          <cell r="D554" t="str">
            <v xml:space="preserve"> 主营业务成本-其他</v>
          </cell>
          <cell r="E554" t="str">
            <v>Income Statement</v>
          </cell>
          <cell r="F554" t="str">
            <v>Posting</v>
          </cell>
          <cell r="G554" t="str">
            <v>Yes</v>
          </cell>
          <cell r="H554" t="str">
            <v/>
          </cell>
          <cell r="I554">
            <v>22565424.359999999</v>
          </cell>
          <cell r="J554">
            <v>41329417.140000001</v>
          </cell>
          <cell r="K554">
            <v>18763992.780000001</v>
          </cell>
          <cell r="L554">
            <v>22565424.359999999</v>
          </cell>
          <cell r="M554" t="str">
            <v>94010010</v>
          </cell>
        </row>
        <row r="555">
          <cell r="A555" t="str">
            <v>64010420</v>
          </cell>
          <cell r="B555" t="str">
            <v>19/01/01..19/12/31</v>
          </cell>
          <cell r="C555" t="str">
            <v>COGS-fixed cost</v>
          </cell>
          <cell r="D555" t="str">
            <v>主营业务成本-固定费用</v>
          </cell>
          <cell r="E555" t="str">
            <v>Income Statement</v>
          </cell>
          <cell r="F555" t="str">
            <v>Posting</v>
          </cell>
          <cell r="G555" t="str">
            <v>Yes</v>
          </cell>
          <cell r="H555" t="str">
            <v/>
          </cell>
          <cell r="I555">
            <v>-2685487.75</v>
          </cell>
          <cell r="J555">
            <v>1480037.15</v>
          </cell>
          <cell r="K555">
            <v>4165524.9</v>
          </cell>
          <cell r="L555">
            <v>-2685487.75</v>
          </cell>
          <cell r="M555" t="str">
            <v>603218</v>
          </cell>
        </row>
        <row r="556">
          <cell r="A556" t="str">
            <v>64010430</v>
          </cell>
          <cell r="B556" t="str">
            <v>19/01/01..19/12/31</v>
          </cell>
          <cell r="C556" t="str">
            <v>COGS-TP_Accruals</v>
          </cell>
          <cell r="D556" t="str">
            <v>主营业务成本-第三方-暂估</v>
          </cell>
          <cell r="E556" t="str">
            <v>Income Statement</v>
          </cell>
          <cell r="F556" t="str">
            <v>Posting</v>
          </cell>
          <cell r="G556" t="str">
            <v>Yes</v>
          </cell>
          <cell r="H556" t="str">
            <v/>
          </cell>
          <cell r="I556">
            <v>-4574918.55</v>
          </cell>
          <cell r="J556">
            <v>92249224.760000005</v>
          </cell>
          <cell r="K556">
            <v>96824143.310000002</v>
          </cell>
          <cell r="L556">
            <v>-4574918.55</v>
          </cell>
          <cell r="M556" t="str">
            <v>94010010</v>
          </cell>
        </row>
        <row r="557">
          <cell r="A557" t="str">
            <v>64019999</v>
          </cell>
          <cell r="B557" t="str">
            <v>19/01/01..19/12/31</v>
          </cell>
          <cell r="C557" t="str">
            <v>COGS-Total</v>
          </cell>
          <cell r="D557" t="str">
            <v>主营业务成本-合计</v>
          </cell>
          <cell r="E557" t="str">
            <v>Income Statement</v>
          </cell>
          <cell r="F557" t="str">
            <v>End-Total</v>
          </cell>
          <cell r="G557" t="str">
            <v>No</v>
          </cell>
          <cell r="H557" t="str">
            <v>64010000..64019999</v>
          </cell>
          <cell r="I557">
            <v>486802963.56</v>
          </cell>
          <cell r="J557">
            <v>1255136047186.9399</v>
          </cell>
          <cell r="K557">
            <v>1254649244223.3799</v>
          </cell>
          <cell r="L557">
            <v>486802963.56</v>
          </cell>
          <cell r="M557" t="str">
            <v/>
          </cell>
        </row>
        <row r="558">
          <cell r="A558" t="str">
            <v>64020000</v>
          </cell>
          <cell r="B558" t="str">
            <v>19/01/01..19/12/31</v>
          </cell>
          <cell r="C558" t="str">
            <v>Other Expense</v>
          </cell>
          <cell r="D558" t="str">
            <v>其他业务成本</v>
          </cell>
          <cell r="E558" t="str">
            <v>Income Statement</v>
          </cell>
          <cell r="F558" t="str">
            <v>Begin-Total</v>
          </cell>
          <cell r="G558" t="str">
            <v>No</v>
          </cell>
          <cell r="H558" t="str">
            <v/>
          </cell>
          <cell r="I558" t="str">
            <v/>
          </cell>
          <cell r="J558" t="str">
            <v/>
          </cell>
          <cell r="K558" t="str">
            <v/>
          </cell>
          <cell r="L558" t="str">
            <v/>
          </cell>
          <cell r="M558" t="str">
            <v/>
          </cell>
        </row>
        <row r="559">
          <cell r="A559" t="str">
            <v>64020100</v>
          </cell>
          <cell r="B559" t="str">
            <v>19/01/01..19/12/31</v>
          </cell>
          <cell r="C559" t="str">
            <v>Other Expense-Scrap sold</v>
          </cell>
          <cell r="D559" t="str">
            <v>其他业务成本-生产废料成本</v>
          </cell>
          <cell r="E559" t="str">
            <v>Income Statement</v>
          </cell>
          <cell r="F559" t="str">
            <v>Posting</v>
          </cell>
          <cell r="G559" t="str">
            <v>Yes</v>
          </cell>
          <cell r="H559" t="str">
            <v/>
          </cell>
          <cell r="I559">
            <v>3382797.7</v>
          </cell>
          <cell r="J559">
            <v>5741271.5700000003</v>
          </cell>
          <cell r="K559">
            <v>2358473.87</v>
          </cell>
          <cell r="L559">
            <v>3382797.7</v>
          </cell>
          <cell r="M559" t="str">
            <v>610201</v>
          </cell>
        </row>
        <row r="560">
          <cell r="A560" t="str">
            <v>64020299</v>
          </cell>
          <cell r="B560" t="str">
            <v>19/01/01..19/12/31</v>
          </cell>
          <cell r="C560" t="str">
            <v>Other Expense-Others</v>
          </cell>
          <cell r="D560" t="str">
            <v>其他业务成本-其他</v>
          </cell>
          <cell r="E560" t="str">
            <v>Income Statement</v>
          </cell>
          <cell r="F560" t="str">
            <v>Posting</v>
          </cell>
          <cell r="G560" t="str">
            <v>Yes</v>
          </cell>
          <cell r="H560" t="str">
            <v/>
          </cell>
          <cell r="I560">
            <v>1601937.27</v>
          </cell>
          <cell r="J560">
            <v>1601937.27</v>
          </cell>
          <cell r="K560" t="str">
            <v/>
          </cell>
          <cell r="L560">
            <v>1601937.27</v>
          </cell>
          <cell r="M560" t="str">
            <v>620300</v>
          </cell>
        </row>
        <row r="561">
          <cell r="A561" t="str">
            <v>64029999</v>
          </cell>
          <cell r="B561" t="str">
            <v>19/01/01..19/12/31</v>
          </cell>
          <cell r="C561" t="str">
            <v>Other Expense-Total</v>
          </cell>
          <cell r="D561" t="str">
            <v>其他业务成本-合计</v>
          </cell>
          <cell r="E561" t="str">
            <v>Income Statement</v>
          </cell>
          <cell r="F561" t="str">
            <v>End-Total</v>
          </cell>
          <cell r="G561" t="str">
            <v>No</v>
          </cell>
          <cell r="H561" t="str">
            <v>64020000..64029999</v>
          </cell>
          <cell r="I561">
            <v>4984734.97</v>
          </cell>
          <cell r="J561">
            <v>7343208.8399999999</v>
          </cell>
          <cell r="K561">
            <v>2358473.87</v>
          </cell>
          <cell r="L561">
            <v>4984734.97</v>
          </cell>
          <cell r="M561" t="str">
            <v/>
          </cell>
        </row>
        <row r="562">
          <cell r="A562" t="str">
            <v>64030000</v>
          </cell>
          <cell r="B562" t="str">
            <v>19/01/01..19/12/31</v>
          </cell>
          <cell r="C562" t="str">
            <v>Tax&amp;surcharge</v>
          </cell>
          <cell r="D562" t="str">
            <v>税金及附加</v>
          </cell>
          <cell r="E562" t="str">
            <v>Income Statement</v>
          </cell>
          <cell r="F562" t="str">
            <v>Posting</v>
          </cell>
          <cell r="G562" t="str">
            <v>No</v>
          </cell>
          <cell r="H562" t="str">
            <v/>
          </cell>
          <cell r="I562" t="str">
            <v/>
          </cell>
          <cell r="J562" t="str">
            <v/>
          </cell>
          <cell r="K562" t="str">
            <v/>
          </cell>
          <cell r="L562" t="str">
            <v/>
          </cell>
          <cell r="M562" t="str">
            <v>610400</v>
          </cell>
        </row>
        <row r="563">
          <cell r="A563" t="str">
            <v>64030100</v>
          </cell>
          <cell r="B563" t="str">
            <v>19/01/01..19/12/31</v>
          </cell>
          <cell r="C563" t="str">
            <v>Tax&amp;surcharge-Construction tax&amp;Education surcharge</v>
          </cell>
          <cell r="D563" t="str">
            <v>税金及附加-城建税及教育费附加</v>
          </cell>
          <cell r="E563" t="str">
            <v>Income Statement</v>
          </cell>
          <cell r="F563" t="str">
            <v>Posting</v>
          </cell>
          <cell r="G563" t="str">
            <v>Yes</v>
          </cell>
          <cell r="H563" t="str">
            <v/>
          </cell>
          <cell r="I563">
            <v>1709822.04</v>
          </cell>
          <cell r="J563">
            <v>1709822.04</v>
          </cell>
          <cell r="K563" t="str">
            <v/>
          </cell>
          <cell r="L563">
            <v>1709822.04</v>
          </cell>
          <cell r="M563" t="str">
            <v>610400</v>
          </cell>
        </row>
        <row r="564">
          <cell r="A564" t="str">
            <v>64030200</v>
          </cell>
          <cell r="B564" t="str">
            <v>19/01/01..19/12/31</v>
          </cell>
          <cell r="C564" t="str">
            <v>Tax&amp;surcharge-Land tax</v>
          </cell>
          <cell r="D564" t="str">
            <v>税金及附加-土地税</v>
          </cell>
          <cell r="E564" t="str">
            <v>Income Statement</v>
          </cell>
          <cell r="F564" t="str">
            <v>Posting</v>
          </cell>
          <cell r="G564" t="str">
            <v>Yes</v>
          </cell>
          <cell r="H564" t="str">
            <v/>
          </cell>
          <cell r="I564">
            <v>712502.85</v>
          </cell>
          <cell r="J564">
            <v>762502.85</v>
          </cell>
          <cell r="K564">
            <v>50000</v>
          </cell>
          <cell r="L564">
            <v>712502.85</v>
          </cell>
          <cell r="M564" t="str">
            <v>610400</v>
          </cell>
        </row>
        <row r="565">
          <cell r="A565" t="str">
            <v>64030300</v>
          </cell>
          <cell r="B565" t="str">
            <v>19/01/01..19/12/31</v>
          </cell>
          <cell r="C565" t="str">
            <v>Tax&amp;surcharge-Property tax</v>
          </cell>
          <cell r="D565" t="str">
            <v>税金及附加-房产税</v>
          </cell>
          <cell r="E565" t="str">
            <v>Income Statement</v>
          </cell>
          <cell r="F565" t="str">
            <v>Posting</v>
          </cell>
          <cell r="G565" t="str">
            <v>Yes</v>
          </cell>
          <cell r="H565" t="str">
            <v/>
          </cell>
          <cell r="I565">
            <v>2370082.46</v>
          </cell>
          <cell r="J565">
            <v>2520000</v>
          </cell>
          <cell r="K565">
            <v>149917.54</v>
          </cell>
          <cell r="L565">
            <v>2370082.46</v>
          </cell>
          <cell r="M565" t="str">
            <v>610400</v>
          </cell>
        </row>
        <row r="566">
          <cell r="A566" t="str">
            <v>64030400</v>
          </cell>
          <cell r="B566" t="str">
            <v>19/01/01..19/12/31</v>
          </cell>
          <cell r="C566" t="str">
            <v>Tax&amp;surcharge-Stamp tax</v>
          </cell>
          <cell r="D566" t="str">
            <v>税金及附加-印花税</v>
          </cell>
          <cell r="E566" t="str">
            <v>Income Statement</v>
          </cell>
          <cell r="F566" t="str">
            <v>Posting</v>
          </cell>
          <cell r="G566" t="str">
            <v>Yes</v>
          </cell>
          <cell r="H566" t="str">
            <v/>
          </cell>
          <cell r="I566">
            <v>232339</v>
          </cell>
          <cell r="J566">
            <v>233594.7</v>
          </cell>
          <cell r="K566">
            <v>1255.7</v>
          </cell>
          <cell r="L566">
            <v>232339</v>
          </cell>
          <cell r="M566" t="str">
            <v>610400</v>
          </cell>
        </row>
        <row r="567">
          <cell r="A567" t="str">
            <v>64039999</v>
          </cell>
          <cell r="B567" t="str">
            <v>19/01/01..19/12/31</v>
          </cell>
          <cell r="C567" t="str">
            <v>Business Tax-Total</v>
          </cell>
          <cell r="D567" t="str">
            <v>税金及附加-合计</v>
          </cell>
          <cell r="E567" t="str">
            <v>Income Statement</v>
          </cell>
          <cell r="F567" t="str">
            <v>End-Total</v>
          </cell>
          <cell r="G567" t="str">
            <v>No</v>
          </cell>
          <cell r="H567" t="str">
            <v>64030000..64039999</v>
          </cell>
          <cell r="I567">
            <v>5024746.3499999996</v>
          </cell>
          <cell r="J567">
            <v>5225919.59</v>
          </cell>
          <cell r="K567">
            <v>201173.24</v>
          </cell>
          <cell r="L567">
            <v>5024746.3499999996</v>
          </cell>
          <cell r="M567" t="str">
            <v/>
          </cell>
        </row>
        <row r="568">
          <cell r="A568" t="str">
            <v>66010000</v>
          </cell>
          <cell r="B568" t="str">
            <v>19/01/01..19/12/31</v>
          </cell>
          <cell r="C568" t="str">
            <v>Selling expenses</v>
          </cell>
          <cell r="D568" t="str">
            <v>销售费用</v>
          </cell>
          <cell r="E568" t="str">
            <v>Income Statement</v>
          </cell>
          <cell r="F568" t="str">
            <v>Begin-Total</v>
          </cell>
          <cell r="G568" t="str">
            <v>No</v>
          </cell>
          <cell r="H568" t="str">
            <v/>
          </cell>
          <cell r="I568" t="str">
            <v/>
          </cell>
          <cell r="J568" t="str">
            <v/>
          </cell>
          <cell r="K568" t="str">
            <v/>
          </cell>
          <cell r="L568" t="str">
            <v/>
          </cell>
          <cell r="M568" t="str">
            <v/>
          </cell>
        </row>
        <row r="569">
          <cell r="A569" t="str">
            <v>66010100</v>
          </cell>
          <cell r="B569" t="str">
            <v>19/01/01..19/12/31</v>
          </cell>
          <cell r="C569" t="str">
            <v>Selling exp.-Salary</v>
          </cell>
          <cell r="D569" t="str">
            <v>销售费用_工资</v>
          </cell>
          <cell r="E569" t="str">
            <v>Income Statement</v>
          </cell>
          <cell r="F569" t="str">
            <v>Posting</v>
          </cell>
          <cell r="G569" t="str">
            <v>No</v>
          </cell>
          <cell r="H569" t="str">
            <v/>
          </cell>
          <cell r="I569" t="str">
            <v/>
          </cell>
          <cell r="J569" t="str">
            <v/>
          </cell>
          <cell r="K569" t="str">
            <v/>
          </cell>
          <cell r="L569" t="str">
            <v/>
          </cell>
          <cell r="M569" t="str">
            <v>620100</v>
          </cell>
        </row>
        <row r="570">
          <cell r="A570" t="str">
            <v>66010101</v>
          </cell>
          <cell r="B570" t="str">
            <v>19/01/01..19/12/31</v>
          </cell>
          <cell r="C570" t="str">
            <v>Selling Exp.-Salary-Basic Salary</v>
          </cell>
          <cell r="D570" t="str">
            <v>销售费用-工资-基本工资</v>
          </cell>
          <cell r="E570" t="str">
            <v>Income Statement</v>
          </cell>
          <cell r="F570" t="str">
            <v>Posting</v>
          </cell>
          <cell r="G570" t="str">
            <v>Yes</v>
          </cell>
          <cell r="H570" t="str">
            <v/>
          </cell>
          <cell r="I570">
            <v>10229915.08</v>
          </cell>
          <cell r="J570">
            <v>10471200.6</v>
          </cell>
          <cell r="K570">
            <v>241285.52</v>
          </cell>
          <cell r="L570">
            <v>10229915.08</v>
          </cell>
          <cell r="M570" t="str">
            <v>620100</v>
          </cell>
        </row>
        <row r="571">
          <cell r="A571" t="str">
            <v>66010102</v>
          </cell>
          <cell r="B571" t="str">
            <v>19/01/01..19/12/31</v>
          </cell>
          <cell r="C571" t="str">
            <v>Selling Exp.-Salary-OT</v>
          </cell>
          <cell r="D571" t="str">
            <v>销售费用-工资-加班工资</v>
          </cell>
          <cell r="E571" t="str">
            <v>Income Statement</v>
          </cell>
          <cell r="F571" t="str">
            <v>Posting</v>
          </cell>
          <cell r="G571" t="str">
            <v>Yes</v>
          </cell>
          <cell r="H571" t="str">
            <v/>
          </cell>
          <cell r="I571">
            <v>45943.51</v>
          </cell>
          <cell r="J571">
            <v>45943.51</v>
          </cell>
          <cell r="K571" t="str">
            <v/>
          </cell>
          <cell r="L571">
            <v>45943.51</v>
          </cell>
          <cell r="M571" t="str">
            <v>620100</v>
          </cell>
        </row>
        <row r="572">
          <cell r="A572" t="str">
            <v>66010103</v>
          </cell>
          <cell r="B572" t="str">
            <v>19/01/01..19/12/31</v>
          </cell>
          <cell r="C572" t="str">
            <v>Selling Exp.-Salary-13th Salary</v>
          </cell>
          <cell r="D572" t="str">
            <v>销售费用-工资-13薪</v>
          </cell>
          <cell r="E572" t="str">
            <v>Income Statement</v>
          </cell>
          <cell r="F572" t="str">
            <v>Posting</v>
          </cell>
          <cell r="G572" t="str">
            <v>Yes</v>
          </cell>
          <cell r="H572" t="str">
            <v/>
          </cell>
          <cell r="I572">
            <v>774647.78</v>
          </cell>
          <cell r="J572">
            <v>813224.51</v>
          </cell>
          <cell r="K572">
            <v>38576.730000000003</v>
          </cell>
          <cell r="L572">
            <v>774647.78</v>
          </cell>
          <cell r="M572" t="str">
            <v>620100</v>
          </cell>
        </row>
        <row r="573">
          <cell r="A573" t="str">
            <v>66010104</v>
          </cell>
          <cell r="B573" t="str">
            <v>19/01/01..19/12/31</v>
          </cell>
          <cell r="C573" t="str">
            <v>Selling Exp.-Salary-Bonus</v>
          </cell>
          <cell r="D573" t="str">
            <v>销售费用-工资-奖金</v>
          </cell>
          <cell r="E573" t="str">
            <v>Income Statement</v>
          </cell>
          <cell r="F573" t="str">
            <v>Posting</v>
          </cell>
          <cell r="G573" t="str">
            <v>Yes</v>
          </cell>
          <cell r="H573" t="str">
            <v/>
          </cell>
          <cell r="I573">
            <v>2885283.47</v>
          </cell>
          <cell r="J573">
            <v>3437577.05</v>
          </cell>
          <cell r="K573">
            <v>552293.57999999996</v>
          </cell>
          <cell r="L573">
            <v>2885283.47</v>
          </cell>
          <cell r="M573" t="str">
            <v>620100</v>
          </cell>
        </row>
        <row r="574">
          <cell r="A574" t="str">
            <v>66010105</v>
          </cell>
          <cell r="B574" t="str">
            <v>19/01/01..19/12/31</v>
          </cell>
          <cell r="C574" t="str">
            <v>Selling Exp.-Salary-Housing Allowance</v>
          </cell>
          <cell r="D574" t="str">
            <v>销售费用-工资-房贴</v>
          </cell>
          <cell r="E574" t="str">
            <v>Income Statement</v>
          </cell>
          <cell r="F574" t="str">
            <v>Posting</v>
          </cell>
          <cell r="G574" t="str">
            <v>Yes</v>
          </cell>
          <cell r="H574" t="str">
            <v/>
          </cell>
          <cell r="I574">
            <v>984505.1</v>
          </cell>
          <cell r="J574">
            <v>1052844.5</v>
          </cell>
          <cell r="K574">
            <v>68339.399999999994</v>
          </cell>
          <cell r="L574">
            <v>984505.1</v>
          </cell>
          <cell r="M574" t="str">
            <v>620100</v>
          </cell>
        </row>
        <row r="575">
          <cell r="A575" t="str">
            <v>66010106</v>
          </cell>
          <cell r="B575" t="str">
            <v>19/01/01..19/12/31</v>
          </cell>
          <cell r="C575" t="str">
            <v>Selling Exp.-Salary-Severance Pay</v>
          </cell>
          <cell r="D575" t="str">
            <v>销售费用-工资-离职补偿金</v>
          </cell>
          <cell r="E575" t="str">
            <v>Income Statement</v>
          </cell>
          <cell r="F575" t="str">
            <v>Posting</v>
          </cell>
          <cell r="G575" t="str">
            <v>Yes</v>
          </cell>
          <cell r="H575" t="str">
            <v/>
          </cell>
          <cell r="I575">
            <v>361283.04</v>
          </cell>
          <cell r="J575">
            <v>361283.04</v>
          </cell>
          <cell r="K575" t="str">
            <v/>
          </cell>
          <cell r="L575">
            <v>361283.04</v>
          </cell>
          <cell r="M575" t="str">
            <v>620100</v>
          </cell>
        </row>
        <row r="576">
          <cell r="A576" t="str">
            <v>66010110</v>
          </cell>
          <cell r="B576" t="str">
            <v>19/01/01..19/12/31</v>
          </cell>
          <cell r="C576" t="str">
            <v>Selling exp.-Social Welfare</v>
          </cell>
          <cell r="D576" t="str">
            <v>销售费用_四金</v>
          </cell>
          <cell r="E576" t="str">
            <v>Income Statement</v>
          </cell>
          <cell r="F576" t="str">
            <v>Posting</v>
          </cell>
          <cell r="G576" t="str">
            <v>No</v>
          </cell>
          <cell r="H576" t="str">
            <v/>
          </cell>
          <cell r="I576" t="str">
            <v/>
          </cell>
          <cell r="J576" t="str">
            <v/>
          </cell>
          <cell r="K576" t="str">
            <v/>
          </cell>
          <cell r="L576" t="str">
            <v/>
          </cell>
          <cell r="M576" t="str">
            <v>620100</v>
          </cell>
        </row>
        <row r="577">
          <cell r="A577" t="str">
            <v>66010111</v>
          </cell>
          <cell r="B577" t="str">
            <v>19/01/01..19/12/31</v>
          </cell>
          <cell r="C577" t="str">
            <v>Selling Exp.-Social Welfare-Pension Benefit</v>
          </cell>
          <cell r="D577" t="str">
            <v>销售费用-社保-养老保险</v>
          </cell>
          <cell r="E577" t="str">
            <v>Income Statement</v>
          </cell>
          <cell r="F577" t="str">
            <v>Posting</v>
          </cell>
          <cell r="G577" t="str">
            <v>Yes</v>
          </cell>
          <cell r="H577" t="str">
            <v/>
          </cell>
          <cell r="I577">
            <v>1415145.22</v>
          </cell>
          <cell r="J577">
            <v>1437767.62</v>
          </cell>
          <cell r="K577">
            <v>22622.400000000001</v>
          </cell>
          <cell r="L577">
            <v>1415145.22</v>
          </cell>
          <cell r="M577" t="str">
            <v>620100</v>
          </cell>
        </row>
        <row r="578">
          <cell r="A578" t="str">
            <v>66010112</v>
          </cell>
          <cell r="B578" t="str">
            <v>19/01/01..19/12/31</v>
          </cell>
          <cell r="C578" t="str">
            <v>Selling Exp.-Social Welfare-Medical Insurance</v>
          </cell>
          <cell r="D578" t="str">
            <v>销售费用-社保-医疗保险</v>
          </cell>
          <cell r="E578" t="str">
            <v>Income Statement</v>
          </cell>
          <cell r="F578" t="str">
            <v>Posting</v>
          </cell>
          <cell r="G578" t="str">
            <v>Yes</v>
          </cell>
          <cell r="H578" t="str">
            <v/>
          </cell>
          <cell r="I578">
            <v>804672.26</v>
          </cell>
          <cell r="J578">
            <v>821343.86</v>
          </cell>
          <cell r="K578">
            <v>16671.599999999999</v>
          </cell>
          <cell r="L578">
            <v>804672.26</v>
          </cell>
          <cell r="M578" t="str">
            <v>620100</v>
          </cell>
        </row>
        <row r="579">
          <cell r="A579" t="str">
            <v>66010113</v>
          </cell>
          <cell r="B579" t="str">
            <v>19/01/01..19/12/31</v>
          </cell>
          <cell r="C579" t="str">
            <v>Selling Exp.-Social Welfare-Maternity Insurance</v>
          </cell>
          <cell r="D579" t="str">
            <v>销售费用-社保-生育保险</v>
          </cell>
          <cell r="E579" t="str">
            <v>Income Statement</v>
          </cell>
          <cell r="F579" t="str">
            <v>Posting</v>
          </cell>
          <cell r="G579" t="str">
            <v>Yes</v>
          </cell>
          <cell r="H579" t="str">
            <v/>
          </cell>
          <cell r="I579">
            <v>83706.28</v>
          </cell>
          <cell r="J579">
            <v>85040.02</v>
          </cell>
          <cell r="K579">
            <v>1333.74</v>
          </cell>
          <cell r="L579">
            <v>83706.28</v>
          </cell>
          <cell r="M579" t="str">
            <v>620100</v>
          </cell>
        </row>
        <row r="580">
          <cell r="A580" t="str">
            <v>66010114</v>
          </cell>
          <cell r="B580" t="str">
            <v>19/01/01..19/12/31</v>
          </cell>
          <cell r="C580" t="str">
            <v>Selling Exp.-Social Welfare-Life, Accident</v>
          </cell>
          <cell r="D580" t="str">
            <v>销售费用-社保-工伤保险</v>
          </cell>
          <cell r="E580" t="str">
            <v>Income Statement</v>
          </cell>
          <cell r="F580" t="str">
            <v>Posting</v>
          </cell>
          <cell r="G580" t="str">
            <v>Yes</v>
          </cell>
          <cell r="H580" t="str">
            <v/>
          </cell>
          <cell r="I580">
            <v>27578.95</v>
          </cell>
          <cell r="J580">
            <v>28087.93</v>
          </cell>
          <cell r="K580">
            <v>508.98</v>
          </cell>
          <cell r="L580">
            <v>27578.95</v>
          </cell>
          <cell r="M580" t="str">
            <v>620100</v>
          </cell>
        </row>
        <row r="581">
          <cell r="A581" t="str">
            <v>66010115</v>
          </cell>
          <cell r="B581" t="str">
            <v>19/01/01..19/12/31</v>
          </cell>
          <cell r="C581" t="str">
            <v>Selling Exp.-Social Welfare-Unemployment</v>
          </cell>
          <cell r="D581" t="str">
            <v>销售费用-社保-失业保险</v>
          </cell>
          <cell r="E581" t="str">
            <v>Income Statement</v>
          </cell>
          <cell r="F581" t="str">
            <v>Posting</v>
          </cell>
          <cell r="G581" t="str">
            <v>Yes</v>
          </cell>
          <cell r="H581" t="str">
            <v/>
          </cell>
          <cell r="I581">
            <v>47151.95</v>
          </cell>
          <cell r="J581">
            <v>48283.07</v>
          </cell>
          <cell r="K581">
            <v>1131.1199999999999</v>
          </cell>
          <cell r="L581">
            <v>47151.95</v>
          </cell>
          <cell r="M581" t="str">
            <v>620100</v>
          </cell>
        </row>
        <row r="582">
          <cell r="A582" t="str">
            <v>66010116</v>
          </cell>
          <cell r="B582" t="str">
            <v>19/01/01..19/12/31</v>
          </cell>
          <cell r="C582" t="str">
            <v>Selling Exp.-Social Welfare-Housing Fund</v>
          </cell>
          <cell r="D582" t="str">
            <v>销售费用-社保-公积金</v>
          </cell>
          <cell r="E582" t="str">
            <v>Income Statement</v>
          </cell>
          <cell r="F582" t="str">
            <v>Posting</v>
          </cell>
          <cell r="G582" t="str">
            <v>Yes</v>
          </cell>
          <cell r="H582" t="str">
            <v/>
          </cell>
          <cell r="I582">
            <v>421315.61</v>
          </cell>
          <cell r="J582">
            <v>431317.61</v>
          </cell>
          <cell r="K582">
            <v>10002</v>
          </cell>
          <cell r="L582">
            <v>421315.61</v>
          </cell>
          <cell r="M582" t="str">
            <v>620100</v>
          </cell>
        </row>
        <row r="583">
          <cell r="A583" t="str">
            <v>66010117</v>
          </cell>
          <cell r="B583" t="str">
            <v>19/01/01..19/12/31</v>
          </cell>
          <cell r="C583" t="str">
            <v>Selling Exp.-Social Welfare-residual insurance</v>
          </cell>
          <cell r="D583" t="str">
            <v>销售费用-社保-残保金</v>
          </cell>
          <cell r="E583" t="str">
            <v>Income Statement</v>
          </cell>
          <cell r="F583" t="str">
            <v>Posting</v>
          </cell>
          <cell r="G583" t="str">
            <v>Yes</v>
          </cell>
          <cell r="H583" t="str">
            <v/>
          </cell>
          <cell r="I583">
            <v>1660.8</v>
          </cell>
          <cell r="J583">
            <v>1660.8</v>
          </cell>
          <cell r="K583" t="str">
            <v/>
          </cell>
          <cell r="L583">
            <v>1660.8</v>
          </cell>
          <cell r="M583" t="str">
            <v>620100</v>
          </cell>
        </row>
        <row r="584">
          <cell r="A584" t="str">
            <v>66010150</v>
          </cell>
          <cell r="B584" t="str">
            <v>19/01/01..19/12/31</v>
          </cell>
          <cell r="C584" t="str">
            <v>Selling exp.-Welfare</v>
          </cell>
          <cell r="D584" t="str">
            <v>销售费用_福利费</v>
          </cell>
          <cell r="E584" t="str">
            <v>Income Statement</v>
          </cell>
          <cell r="F584" t="str">
            <v>Posting</v>
          </cell>
          <cell r="G584" t="str">
            <v>Yes</v>
          </cell>
          <cell r="H584" t="str">
            <v/>
          </cell>
          <cell r="I584">
            <v>244288</v>
          </cell>
          <cell r="J584">
            <v>250588</v>
          </cell>
          <cell r="K584">
            <v>6300</v>
          </cell>
          <cell r="L584">
            <v>244288</v>
          </cell>
          <cell r="M584" t="str">
            <v>620100</v>
          </cell>
        </row>
        <row r="585">
          <cell r="A585" t="str">
            <v>66010160</v>
          </cell>
          <cell r="B585" t="str">
            <v>19/01/01..19/12/31</v>
          </cell>
          <cell r="C585" t="str">
            <v>Selling exp.-Temp Salary</v>
          </cell>
          <cell r="D585" t="str">
            <v>销售费用_外包劳务费</v>
          </cell>
          <cell r="E585" t="str">
            <v>Income Statement</v>
          </cell>
          <cell r="F585" t="str">
            <v>Posting</v>
          </cell>
          <cell r="G585" t="str">
            <v>Yes</v>
          </cell>
          <cell r="H585" t="str">
            <v/>
          </cell>
          <cell r="I585">
            <v>352624.29</v>
          </cell>
          <cell r="J585">
            <v>352624.29</v>
          </cell>
          <cell r="K585" t="str">
            <v/>
          </cell>
          <cell r="L585">
            <v>352624.29</v>
          </cell>
          <cell r="M585" t="str">
            <v>620100</v>
          </cell>
        </row>
        <row r="586">
          <cell r="A586" t="str">
            <v>66010200</v>
          </cell>
          <cell r="B586" t="str">
            <v>19/01/01..19/12/31</v>
          </cell>
          <cell r="C586" t="str">
            <v>Selling exp.-Depreciation</v>
          </cell>
          <cell r="D586" t="str">
            <v>销售费用_折旧费</v>
          </cell>
          <cell r="E586" t="str">
            <v>Income Statement</v>
          </cell>
          <cell r="F586" t="str">
            <v>Posting</v>
          </cell>
          <cell r="G586" t="str">
            <v>Yes</v>
          </cell>
          <cell r="H586" t="str">
            <v/>
          </cell>
          <cell r="I586" t="str">
            <v/>
          </cell>
          <cell r="J586" t="str">
            <v/>
          </cell>
          <cell r="K586" t="str">
            <v/>
          </cell>
          <cell r="L586" t="str">
            <v/>
          </cell>
          <cell r="M586" t="str">
            <v>682100</v>
          </cell>
        </row>
        <row r="587">
          <cell r="A587" t="str">
            <v>66010300</v>
          </cell>
          <cell r="B587" t="str">
            <v>19/01/01..19/12/31</v>
          </cell>
          <cell r="C587" t="str">
            <v>Selling exp.-Travel Expense</v>
          </cell>
          <cell r="D587" t="str">
            <v>销售费用_差旅费</v>
          </cell>
          <cell r="E587" t="str">
            <v>Income Statement</v>
          </cell>
          <cell r="F587" t="str">
            <v>Begin-Total</v>
          </cell>
          <cell r="G587" t="str">
            <v>No</v>
          </cell>
          <cell r="H587" t="str">
            <v/>
          </cell>
          <cell r="I587" t="str">
            <v/>
          </cell>
          <cell r="J587" t="str">
            <v/>
          </cell>
          <cell r="K587" t="str">
            <v/>
          </cell>
          <cell r="L587" t="str">
            <v/>
          </cell>
          <cell r="M587" t="str">
            <v/>
          </cell>
        </row>
        <row r="588">
          <cell r="A588" t="str">
            <v>66010310</v>
          </cell>
          <cell r="B588" t="str">
            <v>19/01/01..19/12/31</v>
          </cell>
          <cell r="C588" t="str">
            <v>Selling exp.-Travel-Local</v>
          </cell>
          <cell r="D588" t="str">
            <v>销售费用_差旅费_国内</v>
          </cell>
          <cell r="E588" t="str">
            <v>Income Statement</v>
          </cell>
          <cell r="F588" t="str">
            <v>Begin-Total</v>
          </cell>
          <cell r="G588" t="str">
            <v>No</v>
          </cell>
          <cell r="H588" t="str">
            <v/>
          </cell>
          <cell r="I588" t="str">
            <v/>
          </cell>
          <cell r="J588" t="str">
            <v/>
          </cell>
          <cell r="K588" t="str">
            <v/>
          </cell>
          <cell r="L588" t="str">
            <v/>
          </cell>
          <cell r="M588" t="str">
            <v/>
          </cell>
        </row>
        <row r="589">
          <cell r="A589" t="str">
            <v>66010311</v>
          </cell>
          <cell r="B589" t="str">
            <v>19/01/01..19/12/31</v>
          </cell>
          <cell r="C589" t="str">
            <v>IME-Travel-Local-traffic</v>
          </cell>
          <cell r="D589" t="str">
            <v>销售费用_差旅费_国内_交通</v>
          </cell>
          <cell r="E589" t="str">
            <v>Income Statement</v>
          </cell>
          <cell r="F589" t="str">
            <v>Posting</v>
          </cell>
          <cell r="G589" t="str">
            <v>Yes</v>
          </cell>
          <cell r="H589" t="str">
            <v/>
          </cell>
          <cell r="I589">
            <v>611187.36</v>
          </cell>
          <cell r="J589">
            <v>1089858.94</v>
          </cell>
          <cell r="K589">
            <v>478671.58</v>
          </cell>
          <cell r="L589">
            <v>611187.36</v>
          </cell>
          <cell r="M589" t="str">
            <v>620100</v>
          </cell>
        </row>
        <row r="590">
          <cell r="A590" t="str">
            <v>66010312</v>
          </cell>
          <cell r="B590" t="str">
            <v>19/01/01..19/12/31</v>
          </cell>
          <cell r="C590" t="str">
            <v>IME-Travel-Local-Hotel</v>
          </cell>
          <cell r="D590" t="str">
            <v>销售费用_差旅费_国内_住宿</v>
          </cell>
          <cell r="E590" t="str">
            <v>Income Statement</v>
          </cell>
          <cell r="F590" t="str">
            <v>Posting</v>
          </cell>
          <cell r="G590" t="str">
            <v>Yes</v>
          </cell>
          <cell r="H590" t="str">
            <v/>
          </cell>
          <cell r="I590">
            <v>297497.78000000003</v>
          </cell>
          <cell r="J590">
            <v>328844.99</v>
          </cell>
          <cell r="K590">
            <v>31347.21</v>
          </cell>
          <cell r="L590">
            <v>297497.78000000003</v>
          </cell>
          <cell r="M590" t="str">
            <v>620100</v>
          </cell>
        </row>
        <row r="591">
          <cell r="A591" t="str">
            <v>66010313</v>
          </cell>
          <cell r="B591" t="str">
            <v>19/01/01..19/12/31</v>
          </cell>
          <cell r="C591" t="str">
            <v>IME-Travel-Local-Meals</v>
          </cell>
          <cell r="D591" t="str">
            <v>销售费用_差旅费_国内_餐费</v>
          </cell>
          <cell r="E591" t="str">
            <v>Income Statement</v>
          </cell>
          <cell r="F591" t="str">
            <v>Posting</v>
          </cell>
          <cell r="G591" t="str">
            <v>Yes</v>
          </cell>
          <cell r="H591" t="str">
            <v/>
          </cell>
          <cell r="I591">
            <v>76490.13</v>
          </cell>
          <cell r="J591">
            <v>77827.33</v>
          </cell>
          <cell r="K591">
            <v>1337.2</v>
          </cell>
          <cell r="L591">
            <v>76490.13</v>
          </cell>
          <cell r="M591" t="str">
            <v>620100</v>
          </cell>
        </row>
        <row r="592">
          <cell r="A592" t="str">
            <v>66010319</v>
          </cell>
          <cell r="B592" t="str">
            <v>19/01/01..19/12/31</v>
          </cell>
          <cell r="C592" t="str">
            <v>Selling exp-Travel-Local-Total</v>
          </cell>
          <cell r="D592" t="str">
            <v>销售费用_差旅费_国内_合计</v>
          </cell>
          <cell r="E592" t="str">
            <v>Income Statement</v>
          </cell>
          <cell r="F592" t="str">
            <v>End-Total</v>
          </cell>
          <cell r="G592" t="str">
            <v>No</v>
          </cell>
          <cell r="H592" t="str">
            <v>66010310..66010319</v>
          </cell>
          <cell r="I592">
            <v>985175.27</v>
          </cell>
          <cell r="J592">
            <v>1496531.26</v>
          </cell>
          <cell r="K592">
            <v>511355.99</v>
          </cell>
          <cell r="L592">
            <v>985175.27</v>
          </cell>
          <cell r="M592" t="str">
            <v/>
          </cell>
        </row>
        <row r="593">
          <cell r="A593" t="str">
            <v>66010320</v>
          </cell>
          <cell r="B593" t="str">
            <v>19/01/01..19/12/31</v>
          </cell>
          <cell r="C593" t="str">
            <v>Selling exp.-Travel-Oversea</v>
          </cell>
          <cell r="D593" t="str">
            <v>销售费用_差旅费_国外</v>
          </cell>
          <cell r="E593" t="str">
            <v>Income Statement</v>
          </cell>
          <cell r="F593" t="str">
            <v>Begin-Total</v>
          </cell>
          <cell r="G593" t="str">
            <v>No</v>
          </cell>
          <cell r="H593" t="str">
            <v/>
          </cell>
          <cell r="I593" t="str">
            <v/>
          </cell>
          <cell r="J593" t="str">
            <v/>
          </cell>
          <cell r="K593" t="str">
            <v/>
          </cell>
          <cell r="L593" t="str">
            <v/>
          </cell>
          <cell r="M593" t="str">
            <v/>
          </cell>
        </row>
        <row r="594">
          <cell r="A594" t="str">
            <v>66010321</v>
          </cell>
          <cell r="B594" t="str">
            <v>19/01/01..19/12/31</v>
          </cell>
          <cell r="C594" t="str">
            <v>IME-Travel-Oversea-traffic</v>
          </cell>
          <cell r="D594" t="str">
            <v>销售费用_差旅费_国外_交通</v>
          </cell>
          <cell r="E594" t="str">
            <v>Income Statement</v>
          </cell>
          <cell r="F594" t="str">
            <v>Posting</v>
          </cell>
          <cell r="G594" t="str">
            <v>Yes</v>
          </cell>
          <cell r="H594" t="str">
            <v/>
          </cell>
          <cell r="I594">
            <v>24875.84</v>
          </cell>
          <cell r="J594">
            <v>36560.25</v>
          </cell>
          <cell r="K594">
            <v>11684.41</v>
          </cell>
          <cell r="L594">
            <v>24875.84</v>
          </cell>
          <cell r="M594" t="str">
            <v>620100</v>
          </cell>
        </row>
        <row r="595">
          <cell r="A595" t="str">
            <v>66010322</v>
          </cell>
          <cell r="B595" t="str">
            <v>19/01/01..19/12/31</v>
          </cell>
          <cell r="C595" t="str">
            <v>IME-Travel-Oversea-Hotel</v>
          </cell>
          <cell r="D595" t="str">
            <v>销售费用_差旅费_国外_住宿</v>
          </cell>
          <cell r="E595" t="str">
            <v>Income Statement</v>
          </cell>
          <cell r="F595" t="str">
            <v>Posting</v>
          </cell>
          <cell r="G595" t="str">
            <v>Yes</v>
          </cell>
          <cell r="H595" t="str">
            <v/>
          </cell>
          <cell r="I595">
            <v>39344.69</v>
          </cell>
          <cell r="J595">
            <v>39344.69</v>
          </cell>
          <cell r="K595" t="str">
            <v/>
          </cell>
          <cell r="L595">
            <v>39344.69</v>
          </cell>
          <cell r="M595" t="str">
            <v>620100</v>
          </cell>
        </row>
        <row r="596">
          <cell r="A596" t="str">
            <v>66010323</v>
          </cell>
          <cell r="B596" t="str">
            <v>19/01/01..19/12/31</v>
          </cell>
          <cell r="C596" t="str">
            <v>IME-Travel-Oversea-Meals</v>
          </cell>
          <cell r="D596" t="str">
            <v>销售费用_差旅费_国外_餐费</v>
          </cell>
          <cell r="E596" t="str">
            <v>Income Statement</v>
          </cell>
          <cell r="F596" t="str">
            <v>Posting</v>
          </cell>
          <cell r="G596" t="str">
            <v>Yes</v>
          </cell>
          <cell r="H596" t="str">
            <v/>
          </cell>
          <cell r="I596">
            <v>5710.34</v>
          </cell>
          <cell r="J596">
            <v>5710.34</v>
          </cell>
          <cell r="K596" t="str">
            <v/>
          </cell>
          <cell r="L596">
            <v>5710.34</v>
          </cell>
          <cell r="M596" t="str">
            <v>620100</v>
          </cell>
        </row>
        <row r="597">
          <cell r="A597" t="str">
            <v>66010329</v>
          </cell>
          <cell r="B597" t="str">
            <v>19/01/01..19/12/31</v>
          </cell>
          <cell r="C597" t="str">
            <v>IME-Travel-Oversea-Total</v>
          </cell>
          <cell r="D597" t="str">
            <v>销售费用_差旅费_国外_合计</v>
          </cell>
          <cell r="E597" t="str">
            <v>Income Statement</v>
          </cell>
          <cell r="F597" t="str">
            <v>End-Total</v>
          </cell>
          <cell r="G597" t="str">
            <v>No</v>
          </cell>
          <cell r="H597" t="str">
            <v>66010320..66010329</v>
          </cell>
          <cell r="I597">
            <v>69930.87</v>
          </cell>
          <cell r="J597">
            <v>81615.28</v>
          </cell>
          <cell r="K597">
            <v>11684.41</v>
          </cell>
          <cell r="L597">
            <v>69930.87</v>
          </cell>
          <cell r="M597" t="str">
            <v/>
          </cell>
        </row>
        <row r="598">
          <cell r="A598" t="str">
            <v>66010399</v>
          </cell>
          <cell r="B598" t="str">
            <v>19/01/01..19/12/31</v>
          </cell>
          <cell r="C598" t="str">
            <v>Selling exp.-Travel Exp.-Total</v>
          </cell>
          <cell r="D598" t="str">
            <v>销售费用_差旅费-合计</v>
          </cell>
          <cell r="E598" t="str">
            <v>Income Statement</v>
          </cell>
          <cell r="F598" t="str">
            <v>End-Total</v>
          </cell>
          <cell r="G598" t="str">
            <v>No</v>
          </cell>
          <cell r="H598" t="str">
            <v>66010300..66010399</v>
          </cell>
          <cell r="I598">
            <v>1055106.1399999999</v>
          </cell>
          <cell r="J598">
            <v>1578146.54</v>
          </cell>
          <cell r="K598">
            <v>523040.4</v>
          </cell>
          <cell r="L598">
            <v>1055106.1399999999</v>
          </cell>
          <cell r="M598" t="str">
            <v/>
          </cell>
        </row>
        <row r="599">
          <cell r="A599" t="str">
            <v>66010400</v>
          </cell>
          <cell r="B599" t="str">
            <v>19/01/01..19/12/31</v>
          </cell>
          <cell r="C599" t="str">
            <v>Selling exp.-Local Trans.</v>
          </cell>
          <cell r="D599" t="str">
            <v>销售费用_市内交通费</v>
          </cell>
          <cell r="E599" t="str">
            <v>Income Statement</v>
          </cell>
          <cell r="F599" t="str">
            <v>Posting</v>
          </cell>
          <cell r="G599" t="str">
            <v>Yes</v>
          </cell>
          <cell r="H599" t="str">
            <v/>
          </cell>
          <cell r="I599">
            <v>355990.98</v>
          </cell>
          <cell r="J599">
            <v>366456.33</v>
          </cell>
          <cell r="K599">
            <v>10465.35</v>
          </cell>
          <cell r="L599">
            <v>355990.98</v>
          </cell>
          <cell r="M599" t="str">
            <v>620100</v>
          </cell>
        </row>
        <row r="600">
          <cell r="A600" t="str">
            <v>66010500</v>
          </cell>
          <cell r="B600" t="str">
            <v>19/01/01..19/12/31</v>
          </cell>
          <cell r="C600" t="str">
            <v>Selling exp.-Sales Commission</v>
          </cell>
          <cell r="D600" t="str">
            <v>销售费用_销售佣金及提成</v>
          </cell>
          <cell r="E600" t="str">
            <v>Income Statement</v>
          </cell>
          <cell r="F600" t="str">
            <v>Posting</v>
          </cell>
          <cell r="G600" t="str">
            <v>Yes</v>
          </cell>
          <cell r="H600" t="str">
            <v/>
          </cell>
          <cell r="I600">
            <v>944383.79</v>
          </cell>
          <cell r="J600">
            <v>1794383.79</v>
          </cell>
          <cell r="K600">
            <v>850000</v>
          </cell>
          <cell r="L600">
            <v>944383.79</v>
          </cell>
          <cell r="M600" t="str">
            <v>603420</v>
          </cell>
        </row>
        <row r="601">
          <cell r="A601" t="str">
            <v>66010600</v>
          </cell>
          <cell r="B601" t="str">
            <v>19/01/01..19/12/31</v>
          </cell>
          <cell r="C601" t="str">
            <v>Selling exp.-Cross sales Comm.</v>
          </cell>
          <cell r="D601" t="str">
            <v>销售费用_集团佣金</v>
          </cell>
          <cell r="E601" t="str">
            <v>Income Statement</v>
          </cell>
          <cell r="F601" t="str">
            <v>Posting</v>
          </cell>
          <cell r="G601" t="str">
            <v>Yes</v>
          </cell>
          <cell r="H601" t="str">
            <v/>
          </cell>
          <cell r="I601" t="str">
            <v/>
          </cell>
          <cell r="J601" t="str">
            <v/>
          </cell>
          <cell r="K601" t="str">
            <v/>
          </cell>
          <cell r="L601" t="str">
            <v/>
          </cell>
          <cell r="M601" t="str">
            <v>651301</v>
          </cell>
        </row>
        <row r="602">
          <cell r="A602" t="str">
            <v>66010700</v>
          </cell>
          <cell r="B602" t="str">
            <v>19/01/01..19/12/31</v>
          </cell>
          <cell r="C602" t="str">
            <v>Selling exp.-Transportation</v>
          </cell>
          <cell r="D602" t="str">
            <v>销售费用_运输装卸费</v>
          </cell>
          <cell r="E602" t="str">
            <v>Income Statement</v>
          </cell>
          <cell r="F602" t="str">
            <v>Posting</v>
          </cell>
          <cell r="G602" t="str">
            <v>Yes</v>
          </cell>
          <cell r="H602" t="str">
            <v/>
          </cell>
          <cell r="I602">
            <v>9929798.7200000007</v>
          </cell>
          <cell r="J602">
            <v>15480461.460000001</v>
          </cell>
          <cell r="K602">
            <v>5550662.7400000002</v>
          </cell>
          <cell r="L602">
            <v>9929798.7200000007</v>
          </cell>
          <cell r="M602" t="str">
            <v>603400</v>
          </cell>
        </row>
        <row r="603">
          <cell r="A603" t="str">
            <v>66010800</v>
          </cell>
          <cell r="B603" t="str">
            <v>19/01/01..19/12/31</v>
          </cell>
          <cell r="C603" t="str">
            <v>Selling exp.-Promotion</v>
          </cell>
          <cell r="D603" t="str">
            <v>销售费用_市场促销费</v>
          </cell>
          <cell r="E603" t="str">
            <v>Income Statement</v>
          </cell>
          <cell r="F603" t="str">
            <v>Posting</v>
          </cell>
          <cell r="G603" t="str">
            <v>Yes</v>
          </cell>
          <cell r="H603" t="str">
            <v/>
          </cell>
          <cell r="I603">
            <v>510414.45</v>
          </cell>
          <cell r="J603">
            <v>1332821.6000000001</v>
          </cell>
          <cell r="K603">
            <v>822407.15</v>
          </cell>
          <cell r="L603">
            <v>510414.45</v>
          </cell>
          <cell r="M603" t="str">
            <v>620100</v>
          </cell>
        </row>
        <row r="604">
          <cell r="A604" t="str">
            <v>66010900</v>
          </cell>
          <cell r="B604" t="str">
            <v>19/01/01..19/12/31</v>
          </cell>
          <cell r="C604" t="str">
            <v>Selling exp.-Insurance fee</v>
          </cell>
          <cell r="D604" t="str">
            <v>销售费用_保险费</v>
          </cell>
          <cell r="E604" t="str">
            <v>Income Statement</v>
          </cell>
          <cell r="F604" t="str">
            <v>Posting</v>
          </cell>
          <cell r="G604" t="str">
            <v>Yes</v>
          </cell>
          <cell r="H604" t="str">
            <v/>
          </cell>
          <cell r="I604">
            <v>79931.460000000006</v>
          </cell>
          <cell r="J604">
            <v>79931.460000000006</v>
          </cell>
          <cell r="K604" t="str">
            <v/>
          </cell>
          <cell r="L604">
            <v>79931.460000000006</v>
          </cell>
          <cell r="M604" t="str">
            <v>603440</v>
          </cell>
        </row>
        <row r="605">
          <cell r="A605" t="str">
            <v>66011000</v>
          </cell>
          <cell r="B605" t="str">
            <v>19/01/01..19/12/31</v>
          </cell>
          <cell r="C605" t="str">
            <v>Selling exp.-Advertising exp.</v>
          </cell>
          <cell r="D605" t="str">
            <v>销售费用_广告费</v>
          </cell>
          <cell r="E605" t="str">
            <v>Income Statement</v>
          </cell>
          <cell r="F605" t="str">
            <v>Posting</v>
          </cell>
          <cell r="G605" t="str">
            <v>Yes</v>
          </cell>
          <cell r="H605" t="str">
            <v/>
          </cell>
          <cell r="I605">
            <v>64096.87</v>
          </cell>
          <cell r="J605">
            <v>64096.87</v>
          </cell>
          <cell r="K605" t="str">
            <v/>
          </cell>
          <cell r="L605">
            <v>64096.87</v>
          </cell>
          <cell r="M605" t="str">
            <v>620100</v>
          </cell>
        </row>
        <row r="606">
          <cell r="A606" t="str">
            <v>66011100</v>
          </cell>
          <cell r="B606" t="str">
            <v>19/01/01..19/12/31</v>
          </cell>
          <cell r="C606" t="str">
            <v>Selling exp.-Rental fee</v>
          </cell>
          <cell r="D606" t="str">
            <v>销售费用_租赁费</v>
          </cell>
          <cell r="E606" t="str">
            <v>Income Statement</v>
          </cell>
          <cell r="F606" t="str">
            <v>Posting</v>
          </cell>
          <cell r="G606" t="str">
            <v>Yes</v>
          </cell>
          <cell r="H606" t="str">
            <v/>
          </cell>
          <cell r="I606">
            <v>7500</v>
          </cell>
          <cell r="J606">
            <v>7500</v>
          </cell>
          <cell r="K606" t="str">
            <v/>
          </cell>
          <cell r="L606">
            <v>7500</v>
          </cell>
          <cell r="M606" t="str">
            <v>620100</v>
          </cell>
        </row>
        <row r="607">
          <cell r="A607" t="str">
            <v>66011200</v>
          </cell>
          <cell r="B607" t="str">
            <v>19/01/01..19/12/31</v>
          </cell>
          <cell r="C607" t="str">
            <v>Selling exp.-After-service fee</v>
          </cell>
          <cell r="D607" t="str">
            <v>销售费用_售后服务费</v>
          </cell>
          <cell r="E607" t="str">
            <v>Income Statement</v>
          </cell>
          <cell r="F607" t="str">
            <v>Posting</v>
          </cell>
          <cell r="G607" t="str">
            <v>Yes</v>
          </cell>
          <cell r="H607" t="str">
            <v/>
          </cell>
          <cell r="I607" t="str">
            <v/>
          </cell>
          <cell r="J607" t="str">
            <v/>
          </cell>
          <cell r="K607" t="str">
            <v/>
          </cell>
          <cell r="L607" t="str">
            <v/>
          </cell>
          <cell r="M607" t="str">
            <v>610100</v>
          </cell>
        </row>
        <row r="608">
          <cell r="A608" t="str">
            <v>66011300</v>
          </cell>
          <cell r="B608" t="str">
            <v>19/01/01..19/12/31</v>
          </cell>
          <cell r="C608" t="str">
            <v>Selling exp.-Sample fee</v>
          </cell>
          <cell r="D608" t="str">
            <v>销售费用_样品费</v>
          </cell>
          <cell r="E608" t="str">
            <v>Income Statement</v>
          </cell>
          <cell r="F608" t="str">
            <v>Posting</v>
          </cell>
          <cell r="G608" t="str">
            <v>Yes</v>
          </cell>
          <cell r="H608" t="str">
            <v/>
          </cell>
          <cell r="I608">
            <v>282664.93</v>
          </cell>
          <cell r="J608">
            <v>283954.74</v>
          </cell>
          <cell r="K608">
            <v>1289.81</v>
          </cell>
          <cell r="L608">
            <v>282664.93</v>
          </cell>
          <cell r="M608" t="str">
            <v>620100</v>
          </cell>
        </row>
        <row r="609">
          <cell r="A609" t="str">
            <v>66011400</v>
          </cell>
          <cell r="B609" t="str">
            <v>19/01/01..19/12/31</v>
          </cell>
          <cell r="C609" t="str">
            <v>Selling exp.-Packing fee</v>
          </cell>
          <cell r="D609" t="str">
            <v>销售费用_包装费</v>
          </cell>
          <cell r="E609" t="str">
            <v>Income Statement</v>
          </cell>
          <cell r="F609" t="str">
            <v>Posting</v>
          </cell>
          <cell r="G609" t="str">
            <v>Yes</v>
          </cell>
          <cell r="H609" t="str">
            <v/>
          </cell>
          <cell r="I609">
            <v>1652486.05</v>
          </cell>
          <cell r="J609">
            <v>3871798.27</v>
          </cell>
          <cell r="K609">
            <v>2219312.2200000002</v>
          </cell>
          <cell r="L609">
            <v>1652486.05</v>
          </cell>
          <cell r="M609" t="str">
            <v>603410</v>
          </cell>
        </row>
        <row r="610">
          <cell r="A610" t="str">
            <v>66011500</v>
          </cell>
          <cell r="B610" t="str">
            <v>19/01/01..19/12/31</v>
          </cell>
          <cell r="C610" t="str">
            <v>Selling exp.-Entertainment fee</v>
          </cell>
          <cell r="D610" t="str">
            <v>销售费用_交际应酬费</v>
          </cell>
          <cell r="E610" t="str">
            <v>Income Statement</v>
          </cell>
          <cell r="F610" t="str">
            <v>Posting</v>
          </cell>
          <cell r="G610" t="str">
            <v>Yes</v>
          </cell>
          <cell r="H610" t="str">
            <v/>
          </cell>
          <cell r="I610">
            <v>1087515.6399999999</v>
          </cell>
          <cell r="J610">
            <v>1114199.04</v>
          </cell>
          <cell r="K610">
            <v>26683.4</v>
          </cell>
          <cell r="L610">
            <v>1087515.6399999999</v>
          </cell>
          <cell r="M610" t="str">
            <v>620100</v>
          </cell>
        </row>
        <row r="611">
          <cell r="A611" t="str">
            <v>66011600</v>
          </cell>
          <cell r="B611" t="str">
            <v>19/01/01..19/12/31</v>
          </cell>
          <cell r="C611" t="str">
            <v>Selling exp.-Communication fee</v>
          </cell>
          <cell r="D611" t="str">
            <v>销售费用_通讯费</v>
          </cell>
          <cell r="E611" t="str">
            <v>Income Statement</v>
          </cell>
          <cell r="F611" t="str">
            <v>Posting</v>
          </cell>
          <cell r="G611" t="str">
            <v>Yes</v>
          </cell>
          <cell r="H611" t="str">
            <v/>
          </cell>
          <cell r="I611">
            <v>105403.67</v>
          </cell>
          <cell r="J611">
            <v>108467.16</v>
          </cell>
          <cell r="K611">
            <v>3063.49</v>
          </cell>
          <cell r="L611">
            <v>105403.67</v>
          </cell>
          <cell r="M611" t="str">
            <v>620100</v>
          </cell>
        </row>
        <row r="612">
          <cell r="A612" t="str">
            <v>66011700</v>
          </cell>
          <cell r="B612" t="str">
            <v>19/01/01..19/12/31</v>
          </cell>
          <cell r="C612" t="str">
            <v>Selling exp.-Training Expense</v>
          </cell>
          <cell r="D612" t="str">
            <v>销售费用_培训费</v>
          </cell>
          <cell r="E612" t="str">
            <v>Income Statement</v>
          </cell>
          <cell r="F612" t="str">
            <v>Posting</v>
          </cell>
          <cell r="G612" t="str">
            <v>Yes</v>
          </cell>
          <cell r="H612" t="str">
            <v/>
          </cell>
          <cell r="I612" t="str">
            <v/>
          </cell>
          <cell r="J612">
            <v>34706.910000000003</v>
          </cell>
          <cell r="K612">
            <v>34706.910000000003</v>
          </cell>
          <cell r="L612" t="str">
            <v/>
          </cell>
          <cell r="M612" t="str">
            <v>620100</v>
          </cell>
        </row>
        <row r="613">
          <cell r="A613" t="str">
            <v>66011800</v>
          </cell>
          <cell r="B613" t="str">
            <v>19/01/01..19/12/31</v>
          </cell>
          <cell r="C613" t="str">
            <v>Selling exp.-Express fee</v>
          </cell>
          <cell r="D613" t="str">
            <v>销售费用_快递费</v>
          </cell>
          <cell r="E613" t="str">
            <v>Income Statement</v>
          </cell>
          <cell r="F613" t="str">
            <v>Posting</v>
          </cell>
          <cell r="G613" t="str">
            <v>Yes</v>
          </cell>
          <cell r="H613" t="str">
            <v/>
          </cell>
          <cell r="I613">
            <v>120302.69</v>
          </cell>
          <cell r="J613">
            <v>121248.13</v>
          </cell>
          <cell r="K613">
            <v>945.44</v>
          </cell>
          <cell r="L613">
            <v>120302.69</v>
          </cell>
          <cell r="M613" t="str">
            <v>620100</v>
          </cell>
        </row>
        <row r="614">
          <cell r="A614" t="str">
            <v>66011900</v>
          </cell>
          <cell r="B614" t="str">
            <v>19/01/01..19/12/31</v>
          </cell>
          <cell r="C614" t="str">
            <v>Selling exp.-Office expense</v>
          </cell>
          <cell r="D614" t="str">
            <v>销售费用_办公费</v>
          </cell>
          <cell r="E614" t="str">
            <v>Income Statement</v>
          </cell>
          <cell r="F614" t="str">
            <v>Posting</v>
          </cell>
          <cell r="G614" t="str">
            <v>Yes</v>
          </cell>
          <cell r="H614" t="str">
            <v/>
          </cell>
          <cell r="I614">
            <v>356490.96</v>
          </cell>
          <cell r="J614">
            <v>358048.4</v>
          </cell>
          <cell r="K614">
            <v>1557.44</v>
          </cell>
          <cell r="L614">
            <v>356490.96</v>
          </cell>
          <cell r="M614" t="str">
            <v>620100</v>
          </cell>
        </row>
        <row r="615">
          <cell r="A615" t="str">
            <v>66012000</v>
          </cell>
          <cell r="B615" t="str">
            <v>19/01/01..19/12/31</v>
          </cell>
          <cell r="C615" t="str">
            <v>Selling exp.-Management fee</v>
          </cell>
          <cell r="D615" t="str">
            <v>销售费用_管理费</v>
          </cell>
          <cell r="E615" t="str">
            <v>Income Statement</v>
          </cell>
          <cell r="F615" t="str">
            <v>Posting</v>
          </cell>
          <cell r="G615" t="str">
            <v>No</v>
          </cell>
          <cell r="H615" t="str">
            <v/>
          </cell>
          <cell r="I615" t="str">
            <v/>
          </cell>
          <cell r="J615" t="str">
            <v/>
          </cell>
          <cell r="K615" t="str">
            <v/>
          </cell>
          <cell r="L615" t="str">
            <v/>
          </cell>
          <cell r="M615" t="str">
            <v>620100</v>
          </cell>
        </row>
        <row r="616">
          <cell r="A616" t="str">
            <v>66012100</v>
          </cell>
          <cell r="B616" t="str">
            <v>19/01/01..19/12/31</v>
          </cell>
          <cell r="C616" t="str">
            <v>Selling exp.-Other</v>
          </cell>
          <cell r="D616" t="str">
            <v>销售费用_其他</v>
          </cell>
          <cell r="E616" t="str">
            <v>Income Statement</v>
          </cell>
          <cell r="F616" t="str">
            <v>Posting</v>
          </cell>
          <cell r="G616" t="str">
            <v>No</v>
          </cell>
          <cell r="H616" t="str">
            <v/>
          </cell>
          <cell r="I616" t="str">
            <v/>
          </cell>
          <cell r="J616" t="str">
            <v/>
          </cell>
          <cell r="K616" t="str">
            <v/>
          </cell>
          <cell r="L616" t="str">
            <v/>
          </cell>
          <cell r="M616" t="str">
            <v>620100</v>
          </cell>
        </row>
        <row r="617">
          <cell r="A617" t="str">
            <v>66018999</v>
          </cell>
          <cell r="B617" t="str">
            <v>19/01/01..19/12/31</v>
          </cell>
          <cell r="C617" t="str">
            <v>Selling exp.-Transfer out</v>
          </cell>
          <cell r="D617" t="str">
            <v>销售费用_结转</v>
          </cell>
          <cell r="E617" t="str">
            <v>Income Statement</v>
          </cell>
          <cell r="F617" t="str">
            <v>Posting</v>
          </cell>
          <cell r="G617" t="str">
            <v>Yes</v>
          </cell>
          <cell r="H617" t="str">
            <v/>
          </cell>
          <cell r="I617" t="str">
            <v/>
          </cell>
          <cell r="J617" t="str">
            <v/>
          </cell>
          <cell r="K617" t="str">
            <v/>
          </cell>
          <cell r="L617" t="str">
            <v/>
          </cell>
          <cell r="M617" t="str">
            <v>620100</v>
          </cell>
        </row>
        <row r="618">
          <cell r="A618" t="str">
            <v>66019999</v>
          </cell>
          <cell r="B618" t="str">
            <v>19/01/01..19/12/31</v>
          </cell>
          <cell r="C618" t="str">
            <v>Selling exp.-Total</v>
          </cell>
          <cell r="D618" t="str">
            <v>销售费用-合计</v>
          </cell>
          <cell r="E618" t="str">
            <v>Income Statement</v>
          </cell>
          <cell r="F618" t="str">
            <v>End-Total</v>
          </cell>
          <cell r="G618" t="str">
            <v>No</v>
          </cell>
          <cell r="H618" t="str">
            <v>66010000..66019999</v>
          </cell>
          <cell r="I618">
            <v>35231807.689999998</v>
          </cell>
          <cell r="J618">
            <v>46235007.109999999</v>
          </cell>
          <cell r="K618">
            <v>11003199.42</v>
          </cell>
          <cell r="L618">
            <v>35231807.689999998</v>
          </cell>
          <cell r="M618" t="str">
            <v/>
          </cell>
        </row>
        <row r="619">
          <cell r="A619" t="str">
            <v>66020000</v>
          </cell>
          <cell r="B619" t="str">
            <v>19/01/01..19/12/31</v>
          </cell>
          <cell r="C619" t="str">
            <v>Admin and General expenses</v>
          </cell>
          <cell r="D619" t="str">
            <v>管理费用</v>
          </cell>
          <cell r="E619" t="str">
            <v>Income Statement</v>
          </cell>
          <cell r="F619" t="str">
            <v>Begin-Total</v>
          </cell>
          <cell r="G619" t="str">
            <v>No</v>
          </cell>
          <cell r="H619" t="str">
            <v/>
          </cell>
          <cell r="I619" t="str">
            <v/>
          </cell>
          <cell r="J619" t="str">
            <v/>
          </cell>
          <cell r="K619" t="str">
            <v/>
          </cell>
          <cell r="L619" t="str">
            <v/>
          </cell>
          <cell r="M619" t="str">
            <v/>
          </cell>
        </row>
        <row r="620">
          <cell r="A620" t="str">
            <v>66020100</v>
          </cell>
          <cell r="B620" t="str">
            <v>19/01/01..19/12/31</v>
          </cell>
          <cell r="C620" t="str">
            <v>A&amp;G-Salary</v>
          </cell>
          <cell r="D620" t="str">
            <v>管理费用_工资</v>
          </cell>
          <cell r="E620" t="str">
            <v>Income Statement</v>
          </cell>
          <cell r="F620" t="str">
            <v>Posting</v>
          </cell>
          <cell r="G620" t="str">
            <v>No</v>
          </cell>
          <cell r="H620" t="str">
            <v/>
          </cell>
          <cell r="I620" t="str">
            <v/>
          </cell>
          <cell r="J620" t="str">
            <v/>
          </cell>
          <cell r="K620" t="str">
            <v/>
          </cell>
          <cell r="L620" t="str">
            <v/>
          </cell>
          <cell r="M620" t="str">
            <v>620200</v>
          </cell>
        </row>
        <row r="621">
          <cell r="A621" t="str">
            <v>66020101</v>
          </cell>
          <cell r="B621" t="str">
            <v>19/01/01..19/12/31</v>
          </cell>
          <cell r="C621" t="str">
            <v>AG-Salary-Basic Salary</v>
          </cell>
          <cell r="D621" t="str">
            <v>管理费用-工资-基本工资</v>
          </cell>
          <cell r="E621" t="str">
            <v>Income Statement</v>
          </cell>
          <cell r="F621" t="str">
            <v>Posting</v>
          </cell>
          <cell r="G621" t="str">
            <v>Yes</v>
          </cell>
          <cell r="H621" t="str">
            <v/>
          </cell>
          <cell r="I621">
            <v>5171148.2300000004</v>
          </cell>
          <cell r="J621">
            <v>5858107.9800000004</v>
          </cell>
          <cell r="K621">
            <v>686959.75</v>
          </cell>
          <cell r="L621">
            <v>5171148.2300000004</v>
          </cell>
          <cell r="M621" t="str">
            <v>620200</v>
          </cell>
        </row>
        <row r="622">
          <cell r="A622" t="str">
            <v>66020102</v>
          </cell>
          <cell r="B622" t="str">
            <v>19/01/01..19/12/31</v>
          </cell>
          <cell r="C622" t="str">
            <v>AG-Salary-OT</v>
          </cell>
          <cell r="D622" t="str">
            <v>管理费用-工资-加班工资</v>
          </cell>
          <cell r="E622" t="str">
            <v>Income Statement</v>
          </cell>
          <cell r="F622" t="str">
            <v>Posting</v>
          </cell>
          <cell r="G622" t="str">
            <v>Yes</v>
          </cell>
          <cell r="H622" t="str">
            <v/>
          </cell>
          <cell r="I622">
            <v>117148.81</v>
          </cell>
          <cell r="J622">
            <v>117148.81</v>
          </cell>
          <cell r="K622" t="str">
            <v/>
          </cell>
          <cell r="L622">
            <v>117148.81</v>
          </cell>
          <cell r="M622" t="str">
            <v>620200</v>
          </cell>
        </row>
        <row r="623">
          <cell r="A623" t="str">
            <v>66020103</v>
          </cell>
          <cell r="B623" t="str">
            <v>19/01/01..19/12/31</v>
          </cell>
          <cell r="C623" t="str">
            <v>AG-Salary-13th Salary</v>
          </cell>
          <cell r="D623" t="str">
            <v>管理费用-工资-13薪</v>
          </cell>
          <cell r="E623" t="str">
            <v>Income Statement</v>
          </cell>
          <cell r="F623" t="str">
            <v>Posting</v>
          </cell>
          <cell r="G623" t="str">
            <v>Yes</v>
          </cell>
          <cell r="H623" t="str">
            <v/>
          </cell>
          <cell r="I623">
            <v>421812.2</v>
          </cell>
          <cell r="J623">
            <v>424550.2</v>
          </cell>
          <cell r="K623">
            <v>2738</v>
          </cell>
          <cell r="L623">
            <v>421812.2</v>
          </cell>
          <cell r="M623" t="str">
            <v>620200</v>
          </cell>
        </row>
        <row r="624">
          <cell r="A624" t="str">
            <v>66020104</v>
          </cell>
          <cell r="B624" t="str">
            <v>19/01/01..19/12/31</v>
          </cell>
          <cell r="C624" t="str">
            <v>AG-Salary-Bonus</v>
          </cell>
          <cell r="D624" t="str">
            <v>管理费用-工资-奖金</v>
          </cell>
          <cell r="E624" t="str">
            <v>Income Statement</v>
          </cell>
          <cell r="F624" t="str">
            <v>Posting</v>
          </cell>
          <cell r="G624" t="str">
            <v>Yes</v>
          </cell>
          <cell r="H624" t="str">
            <v/>
          </cell>
          <cell r="I624">
            <v>1528377.76</v>
          </cell>
          <cell r="J624">
            <v>1664244.62</v>
          </cell>
          <cell r="K624">
            <v>135866.85999999999</v>
          </cell>
          <cell r="L624">
            <v>1528377.76</v>
          </cell>
          <cell r="M624" t="str">
            <v>620200</v>
          </cell>
        </row>
        <row r="625">
          <cell r="A625" t="str">
            <v>66020105</v>
          </cell>
          <cell r="B625" t="str">
            <v>19/01/01..19/12/31</v>
          </cell>
          <cell r="C625" t="str">
            <v>AG-Salary-Housing Allowance</v>
          </cell>
          <cell r="D625" t="str">
            <v>管理费用-工资-房贴</v>
          </cell>
          <cell r="E625" t="str">
            <v>Income Statement</v>
          </cell>
          <cell r="F625" t="str">
            <v>Posting</v>
          </cell>
          <cell r="G625" t="str">
            <v>Yes</v>
          </cell>
          <cell r="H625" t="str">
            <v/>
          </cell>
          <cell r="I625">
            <v>366027.58</v>
          </cell>
          <cell r="J625">
            <v>369313.18</v>
          </cell>
          <cell r="K625">
            <v>3285.6</v>
          </cell>
          <cell r="L625">
            <v>366027.58</v>
          </cell>
          <cell r="M625" t="str">
            <v>620200</v>
          </cell>
        </row>
        <row r="626">
          <cell r="A626" t="str">
            <v>66020106</v>
          </cell>
          <cell r="B626" t="str">
            <v>19/01/01..19/12/31</v>
          </cell>
          <cell r="C626" t="str">
            <v>AG-Salary-Severance Pay</v>
          </cell>
          <cell r="D626" t="str">
            <v>管理费用-工资-离职补偿金</v>
          </cell>
          <cell r="E626" t="str">
            <v>Income Statement</v>
          </cell>
          <cell r="F626" t="str">
            <v>Posting</v>
          </cell>
          <cell r="G626" t="str">
            <v>Yes</v>
          </cell>
          <cell r="H626" t="str">
            <v/>
          </cell>
          <cell r="I626" t="str">
            <v/>
          </cell>
          <cell r="J626" t="str">
            <v/>
          </cell>
          <cell r="K626" t="str">
            <v/>
          </cell>
          <cell r="L626" t="str">
            <v/>
          </cell>
          <cell r="M626" t="str">
            <v>620200</v>
          </cell>
        </row>
        <row r="627">
          <cell r="A627" t="str">
            <v>66020110</v>
          </cell>
          <cell r="B627" t="str">
            <v>19/01/01..19/12/31</v>
          </cell>
          <cell r="C627" t="str">
            <v>A&amp;G-Social Welfare</v>
          </cell>
          <cell r="D627" t="str">
            <v>管理费用_四金</v>
          </cell>
          <cell r="E627" t="str">
            <v>Income Statement</v>
          </cell>
          <cell r="F627" t="str">
            <v>Posting</v>
          </cell>
          <cell r="G627" t="str">
            <v>No</v>
          </cell>
          <cell r="H627" t="str">
            <v/>
          </cell>
          <cell r="I627" t="str">
            <v/>
          </cell>
          <cell r="J627" t="str">
            <v/>
          </cell>
          <cell r="K627" t="str">
            <v/>
          </cell>
          <cell r="L627" t="str">
            <v/>
          </cell>
          <cell r="M627" t="str">
            <v>620200</v>
          </cell>
        </row>
        <row r="628">
          <cell r="A628" t="str">
            <v>66020111</v>
          </cell>
          <cell r="B628" t="str">
            <v>19/01/01..19/12/31</v>
          </cell>
          <cell r="C628" t="str">
            <v>AG-Social Welfare-Pension Benefit</v>
          </cell>
          <cell r="D628" t="str">
            <v>管理费用-社保-养老保险</v>
          </cell>
          <cell r="E628" t="str">
            <v>Income Statement</v>
          </cell>
          <cell r="F628" t="str">
            <v>Posting</v>
          </cell>
          <cell r="G628" t="str">
            <v>Yes</v>
          </cell>
          <cell r="H628" t="str">
            <v/>
          </cell>
          <cell r="I628">
            <v>556301.1</v>
          </cell>
          <cell r="J628">
            <v>556301.1</v>
          </cell>
          <cell r="K628" t="str">
            <v/>
          </cell>
          <cell r="L628">
            <v>556301.1</v>
          </cell>
          <cell r="M628" t="str">
            <v>620200</v>
          </cell>
        </row>
        <row r="629">
          <cell r="A629" t="str">
            <v>66020112</v>
          </cell>
          <cell r="B629" t="str">
            <v>19/01/01..19/12/31</v>
          </cell>
          <cell r="C629" t="str">
            <v>AG-Social Welfare-Medical Insurance</v>
          </cell>
          <cell r="D629" t="str">
            <v>管理费用-社保-医疗保险</v>
          </cell>
          <cell r="E629" t="str">
            <v>Income Statement</v>
          </cell>
          <cell r="F629" t="str">
            <v>Posting</v>
          </cell>
          <cell r="G629" t="str">
            <v>Yes</v>
          </cell>
          <cell r="H629" t="str">
            <v/>
          </cell>
          <cell r="I629">
            <v>250039.21</v>
          </cell>
          <cell r="J629">
            <v>250039.21</v>
          </cell>
          <cell r="K629" t="str">
            <v/>
          </cell>
          <cell r="L629">
            <v>250039.21</v>
          </cell>
          <cell r="M629" t="str">
            <v>620200</v>
          </cell>
        </row>
        <row r="630">
          <cell r="A630" t="str">
            <v>66020113</v>
          </cell>
          <cell r="B630" t="str">
            <v>19/01/01..19/12/31</v>
          </cell>
          <cell r="C630" t="str">
            <v>AG-Social Welfare-Maternity Insurance</v>
          </cell>
          <cell r="D630" t="str">
            <v>管理费用-社保-生育保险</v>
          </cell>
          <cell r="E630" t="str">
            <v>Income Statement</v>
          </cell>
          <cell r="F630" t="str">
            <v>Posting</v>
          </cell>
          <cell r="G630" t="str">
            <v>Yes</v>
          </cell>
          <cell r="H630" t="str">
            <v/>
          </cell>
          <cell r="I630">
            <v>28386.91</v>
          </cell>
          <cell r="J630">
            <v>28386.91</v>
          </cell>
          <cell r="K630" t="str">
            <v/>
          </cell>
          <cell r="L630">
            <v>28386.91</v>
          </cell>
          <cell r="M630" t="str">
            <v>620200</v>
          </cell>
        </row>
        <row r="631">
          <cell r="A631" t="str">
            <v>66020114</v>
          </cell>
          <cell r="B631" t="str">
            <v>19/01/01..19/12/31</v>
          </cell>
          <cell r="C631" t="str">
            <v>AG-Social Welfare-Life, Accident Insurance</v>
          </cell>
          <cell r="D631" t="str">
            <v>管理费用-社保-工伤保险</v>
          </cell>
          <cell r="E631" t="str">
            <v>Income Statement</v>
          </cell>
          <cell r="F631" t="str">
            <v>Posting</v>
          </cell>
          <cell r="G631" t="str">
            <v>Yes</v>
          </cell>
          <cell r="H631" t="str">
            <v/>
          </cell>
          <cell r="I631">
            <v>15081.47</v>
          </cell>
          <cell r="J631">
            <v>15081.47</v>
          </cell>
          <cell r="K631" t="str">
            <v/>
          </cell>
          <cell r="L631">
            <v>15081.47</v>
          </cell>
          <cell r="M631" t="str">
            <v>620200</v>
          </cell>
        </row>
        <row r="632">
          <cell r="A632" t="str">
            <v>66020115</v>
          </cell>
          <cell r="B632" t="str">
            <v>19/01/01..19/12/31</v>
          </cell>
          <cell r="C632" t="str">
            <v>AG-Social Welfare-Unemployment Insurance</v>
          </cell>
          <cell r="D632" t="str">
            <v>管理费用-社保-失业保险</v>
          </cell>
          <cell r="E632" t="str">
            <v>Income Statement</v>
          </cell>
          <cell r="F632" t="str">
            <v>Posting</v>
          </cell>
          <cell r="G632" t="str">
            <v>Yes</v>
          </cell>
          <cell r="H632" t="str">
            <v/>
          </cell>
          <cell r="I632">
            <v>17355.740000000002</v>
          </cell>
          <cell r="J632">
            <v>17355.740000000002</v>
          </cell>
          <cell r="K632" t="str">
            <v/>
          </cell>
          <cell r="L632">
            <v>17355.740000000002</v>
          </cell>
          <cell r="M632" t="str">
            <v>620200</v>
          </cell>
        </row>
        <row r="633">
          <cell r="A633" t="str">
            <v>66020116</v>
          </cell>
          <cell r="B633" t="str">
            <v>19/01/01..19/12/31</v>
          </cell>
          <cell r="C633" t="str">
            <v>AG-Social Welfare-Housing Fund</v>
          </cell>
          <cell r="D633" t="str">
            <v>管理费用-社保-公积金</v>
          </cell>
          <cell r="E633" t="str">
            <v>Income Statement</v>
          </cell>
          <cell r="F633" t="str">
            <v>Posting</v>
          </cell>
          <cell r="G633" t="str">
            <v>Yes</v>
          </cell>
          <cell r="H633" t="str">
            <v/>
          </cell>
          <cell r="I633">
            <v>285428.03999999998</v>
          </cell>
          <cell r="J633">
            <v>285428.03999999998</v>
          </cell>
          <cell r="K633" t="str">
            <v/>
          </cell>
          <cell r="L633">
            <v>285428.03999999998</v>
          </cell>
          <cell r="M633" t="str">
            <v>620200</v>
          </cell>
        </row>
        <row r="634">
          <cell r="A634" t="str">
            <v>66020150</v>
          </cell>
          <cell r="B634" t="str">
            <v>19/01/01..19/12/31</v>
          </cell>
          <cell r="C634" t="str">
            <v>A&amp;G-Welfare</v>
          </cell>
          <cell r="D634" t="str">
            <v>管理费用_福利费</v>
          </cell>
          <cell r="E634" t="str">
            <v>Income Statement</v>
          </cell>
          <cell r="F634" t="str">
            <v>Posting</v>
          </cell>
          <cell r="G634" t="str">
            <v>Yes</v>
          </cell>
          <cell r="H634" t="str">
            <v/>
          </cell>
          <cell r="I634">
            <v>158538.19</v>
          </cell>
          <cell r="J634">
            <v>158538.19</v>
          </cell>
          <cell r="K634" t="str">
            <v/>
          </cell>
          <cell r="L634">
            <v>158538.19</v>
          </cell>
          <cell r="M634" t="str">
            <v>620200</v>
          </cell>
        </row>
        <row r="635">
          <cell r="A635" t="str">
            <v>66020160</v>
          </cell>
          <cell r="B635" t="str">
            <v>19/01/01..19/12/31</v>
          </cell>
          <cell r="C635" t="str">
            <v>A&amp;G-Temp Salary</v>
          </cell>
          <cell r="D635" t="str">
            <v>管理费用_外包劳务费</v>
          </cell>
          <cell r="E635" t="str">
            <v>Income Statement</v>
          </cell>
          <cell r="F635" t="str">
            <v>Posting</v>
          </cell>
          <cell r="G635" t="str">
            <v>Yes</v>
          </cell>
          <cell r="H635" t="str">
            <v/>
          </cell>
          <cell r="I635">
            <v>205185.81</v>
          </cell>
          <cell r="J635">
            <v>220741.92</v>
          </cell>
          <cell r="K635">
            <v>15556.11</v>
          </cell>
          <cell r="L635">
            <v>205185.81</v>
          </cell>
          <cell r="M635" t="str">
            <v>620200</v>
          </cell>
        </row>
        <row r="636">
          <cell r="A636" t="str">
            <v>66020200</v>
          </cell>
          <cell r="B636" t="str">
            <v>19/01/01..19/12/31</v>
          </cell>
          <cell r="C636" t="str">
            <v>A&amp;G-Depreciation</v>
          </cell>
          <cell r="D636" t="str">
            <v>管理费用_折旧费</v>
          </cell>
          <cell r="E636" t="str">
            <v>Income Statement</v>
          </cell>
          <cell r="F636" t="str">
            <v>Posting</v>
          </cell>
          <cell r="G636" t="str">
            <v>Yes</v>
          </cell>
          <cell r="H636" t="str">
            <v/>
          </cell>
          <cell r="I636">
            <v>14011103.17</v>
          </cell>
          <cell r="J636">
            <v>14011103.17</v>
          </cell>
          <cell r="K636" t="str">
            <v/>
          </cell>
          <cell r="L636">
            <v>14011103.17</v>
          </cell>
          <cell r="M636" t="str">
            <v>682100</v>
          </cell>
        </row>
        <row r="637">
          <cell r="A637" t="str">
            <v>66020300</v>
          </cell>
          <cell r="B637" t="str">
            <v>19/01/01..19/12/31</v>
          </cell>
          <cell r="C637" t="str">
            <v>A&amp;G-Travel Expense</v>
          </cell>
          <cell r="D637" t="str">
            <v>管理费用_差旅费</v>
          </cell>
          <cell r="E637" t="str">
            <v>Income Statement</v>
          </cell>
          <cell r="F637" t="str">
            <v>Begin-Total</v>
          </cell>
          <cell r="G637" t="str">
            <v>No</v>
          </cell>
          <cell r="H637" t="str">
            <v/>
          </cell>
          <cell r="I637" t="str">
            <v/>
          </cell>
          <cell r="J637" t="str">
            <v/>
          </cell>
          <cell r="K637" t="str">
            <v/>
          </cell>
          <cell r="L637" t="str">
            <v/>
          </cell>
          <cell r="M637" t="str">
            <v/>
          </cell>
        </row>
        <row r="638">
          <cell r="A638" t="str">
            <v>66020310</v>
          </cell>
          <cell r="B638" t="str">
            <v>19/01/01..19/12/31</v>
          </cell>
          <cell r="C638" t="str">
            <v>A&amp;G-Travel-Local</v>
          </cell>
          <cell r="D638" t="str">
            <v>管理费用_差旅费_国内</v>
          </cell>
          <cell r="E638" t="str">
            <v>Income Statement</v>
          </cell>
          <cell r="F638" t="str">
            <v>Begin-Total</v>
          </cell>
          <cell r="G638" t="str">
            <v>No</v>
          </cell>
          <cell r="H638" t="str">
            <v/>
          </cell>
          <cell r="I638" t="str">
            <v/>
          </cell>
          <cell r="J638" t="str">
            <v/>
          </cell>
          <cell r="K638" t="str">
            <v/>
          </cell>
          <cell r="L638" t="str">
            <v/>
          </cell>
          <cell r="M638" t="str">
            <v/>
          </cell>
        </row>
        <row r="639">
          <cell r="A639" t="str">
            <v>66020311</v>
          </cell>
          <cell r="B639" t="str">
            <v>19/01/01..19/12/31</v>
          </cell>
          <cell r="C639" t="str">
            <v>A&amp;G-Travel-Local-traffic</v>
          </cell>
          <cell r="D639" t="str">
            <v>管理费用_差旅费_国内_交通</v>
          </cell>
          <cell r="E639" t="str">
            <v>Income Statement</v>
          </cell>
          <cell r="F639" t="str">
            <v>Posting</v>
          </cell>
          <cell r="G639" t="str">
            <v>Yes</v>
          </cell>
          <cell r="H639" t="str">
            <v/>
          </cell>
          <cell r="I639">
            <v>230148.29</v>
          </cell>
          <cell r="J639">
            <v>783938.95</v>
          </cell>
          <cell r="K639">
            <v>553790.66</v>
          </cell>
          <cell r="L639">
            <v>230148.29</v>
          </cell>
          <cell r="M639" t="str">
            <v>620200</v>
          </cell>
        </row>
        <row r="640">
          <cell r="A640" t="str">
            <v>66020312</v>
          </cell>
          <cell r="B640" t="str">
            <v>19/01/01..19/12/31</v>
          </cell>
          <cell r="C640" t="str">
            <v>A&amp;G-Travel-Local-Hotel</v>
          </cell>
          <cell r="D640" t="str">
            <v>管理费用_差旅费_国内_住宿</v>
          </cell>
          <cell r="E640" t="str">
            <v>Income Statement</v>
          </cell>
          <cell r="F640" t="str">
            <v>Posting</v>
          </cell>
          <cell r="G640" t="str">
            <v>Yes</v>
          </cell>
          <cell r="H640" t="str">
            <v/>
          </cell>
          <cell r="I640">
            <v>88697.78</v>
          </cell>
          <cell r="J640">
            <v>93888.78</v>
          </cell>
          <cell r="K640">
            <v>5191</v>
          </cell>
          <cell r="L640">
            <v>88697.78</v>
          </cell>
          <cell r="M640" t="str">
            <v>620200</v>
          </cell>
        </row>
        <row r="641">
          <cell r="A641" t="str">
            <v>66020313</v>
          </cell>
          <cell r="B641" t="str">
            <v>19/01/01..19/12/31</v>
          </cell>
          <cell r="C641" t="str">
            <v>A&amp;G-Travel-Local-Meals</v>
          </cell>
          <cell r="D641" t="str">
            <v>管理费用_差旅费_国内_餐费</v>
          </cell>
          <cell r="E641" t="str">
            <v>Income Statement</v>
          </cell>
          <cell r="F641" t="str">
            <v>Posting</v>
          </cell>
          <cell r="G641" t="str">
            <v>Yes</v>
          </cell>
          <cell r="H641" t="str">
            <v/>
          </cell>
          <cell r="I641">
            <v>11606.68</v>
          </cell>
          <cell r="J641">
            <v>15662.58</v>
          </cell>
          <cell r="K641">
            <v>4055.9</v>
          </cell>
          <cell r="L641">
            <v>11606.68</v>
          </cell>
          <cell r="M641" t="str">
            <v>620200</v>
          </cell>
        </row>
        <row r="642">
          <cell r="A642" t="str">
            <v>66020319</v>
          </cell>
          <cell r="B642" t="str">
            <v>19/01/01..19/12/31</v>
          </cell>
          <cell r="C642" t="str">
            <v>A&amp;G-Travel-Local-Total</v>
          </cell>
          <cell r="D642" t="str">
            <v>管理费用_差旅费_国内_合计</v>
          </cell>
          <cell r="E642" t="str">
            <v>Income Statement</v>
          </cell>
          <cell r="F642" t="str">
            <v>End-Total</v>
          </cell>
          <cell r="G642" t="str">
            <v>No</v>
          </cell>
          <cell r="H642" t="str">
            <v>66020310..66020319</v>
          </cell>
          <cell r="I642">
            <v>330452.75</v>
          </cell>
          <cell r="J642">
            <v>893490.31</v>
          </cell>
          <cell r="K642">
            <v>563037.56000000006</v>
          </cell>
          <cell r="L642">
            <v>330452.75</v>
          </cell>
          <cell r="M642" t="str">
            <v/>
          </cell>
        </row>
        <row r="643">
          <cell r="A643" t="str">
            <v>66020320</v>
          </cell>
          <cell r="B643" t="str">
            <v>19/01/01..19/12/31</v>
          </cell>
          <cell r="C643" t="str">
            <v>A&amp;G-Travel-Oversea</v>
          </cell>
          <cell r="D643" t="str">
            <v>管理费用_差旅费_国外</v>
          </cell>
          <cell r="E643" t="str">
            <v>Income Statement</v>
          </cell>
          <cell r="F643" t="str">
            <v>Begin-Total</v>
          </cell>
          <cell r="G643" t="str">
            <v>No</v>
          </cell>
          <cell r="H643" t="str">
            <v/>
          </cell>
          <cell r="I643" t="str">
            <v/>
          </cell>
          <cell r="J643" t="str">
            <v/>
          </cell>
          <cell r="K643" t="str">
            <v/>
          </cell>
          <cell r="L643" t="str">
            <v/>
          </cell>
          <cell r="M643" t="str">
            <v/>
          </cell>
        </row>
        <row r="644">
          <cell r="A644" t="str">
            <v>66020321</v>
          </cell>
          <cell r="B644" t="str">
            <v>19/01/01..19/12/31</v>
          </cell>
          <cell r="C644" t="str">
            <v>A&amp;G-Travel-Oversea-traffic</v>
          </cell>
          <cell r="D644" t="str">
            <v>管理费用_差旅费_国外_交通</v>
          </cell>
          <cell r="E644" t="str">
            <v>Income Statement</v>
          </cell>
          <cell r="F644" t="str">
            <v>Posting</v>
          </cell>
          <cell r="G644" t="str">
            <v>Yes</v>
          </cell>
          <cell r="H644" t="str">
            <v/>
          </cell>
          <cell r="I644">
            <v>88496.72</v>
          </cell>
          <cell r="J644">
            <v>88988.34</v>
          </cell>
          <cell r="K644">
            <v>491.62</v>
          </cell>
          <cell r="L644">
            <v>88496.72</v>
          </cell>
          <cell r="M644" t="str">
            <v>620200</v>
          </cell>
        </row>
        <row r="645">
          <cell r="A645" t="str">
            <v>66020322</v>
          </cell>
          <cell r="B645" t="str">
            <v>19/01/01..19/12/31</v>
          </cell>
          <cell r="C645" t="str">
            <v>A&amp;G-Travel-Oversea-Hotel</v>
          </cell>
          <cell r="D645" t="str">
            <v>管理费用_差旅费_国外_住宿</v>
          </cell>
          <cell r="E645" t="str">
            <v>Income Statement</v>
          </cell>
          <cell r="F645" t="str">
            <v>Posting</v>
          </cell>
          <cell r="G645" t="str">
            <v>Yes</v>
          </cell>
          <cell r="H645" t="str">
            <v/>
          </cell>
          <cell r="I645">
            <v>36917.120000000003</v>
          </cell>
          <cell r="J645">
            <v>41832.120000000003</v>
          </cell>
          <cell r="K645">
            <v>4915</v>
          </cell>
          <cell r="L645">
            <v>36917.120000000003</v>
          </cell>
          <cell r="M645" t="str">
            <v>620200</v>
          </cell>
        </row>
        <row r="646">
          <cell r="A646" t="str">
            <v>66020323</v>
          </cell>
          <cell r="B646" t="str">
            <v>19/01/01..19/12/31</v>
          </cell>
          <cell r="C646" t="str">
            <v>A&amp;G-Travel-Oversea-Meals</v>
          </cell>
          <cell r="D646" t="str">
            <v>管理费用_差旅费_国外_餐费</v>
          </cell>
          <cell r="E646" t="str">
            <v>Income Statement</v>
          </cell>
          <cell r="F646" t="str">
            <v>Posting</v>
          </cell>
          <cell r="G646" t="str">
            <v>Yes</v>
          </cell>
          <cell r="H646" t="str">
            <v/>
          </cell>
          <cell r="I646">
            <v>4133.96</v>
          </cell>
          <cell r="J646">
            <v>5508.66</v>
          </cell>
          <cell r="K646">
            <v>1374.7</v>
          </cell>
          <cell r="L646">
            <v>4133.96</v>
          </cell>
          <cell r="M646" t="str">
            <v>620200</v>
          </cell>
        </row>
        <row r="647">
          <cell r="A647" t="str">
            <v>66020329</v>
          </cell>
          <cell r="B647" t="str">
            <v>19/01/01..19/12/31</v>
          </cell>
          <cell r="C647" t="str">
            <v>A&amp;G-Travel-Oversea-Total</v>
          </cell>
          <cell r="D647" t="str">
            <v>管理费用_差旅费_国外_合计</v>
          </cell>
          <cell r="E647" t="str">
            <v>Income Statement</v>
          </cell>
          <cell r="F647" t="str">
            <v>End-Total</v>
          </cell>
          <cell r="G647" t="str">
            <v>No</v>
          </cell>
          <cell r="H647" t="str">
            <v>66020320..66020329</v>
          </cell>
          <cell r="I647">
            <v>129547.8</v>
          </cell>
          <cell r="J647">
            <v>136329.12</v>
          </cell>
          <cell r="K647">
            <v>6781.32</v>
          </cell>
          <cell r="L647">
            <v>129547.8</v>
          </cell>
          <cell r="M647" t="str">
            <v/>
          </cell>
        </row>
        <row r="648">
          <cell r="A648" t="str">
            <v>66020399</v>
          </cell>
          <cell r="B648" t="str">
            <v>19/01/01..19/12/31</v>
          </cell>
          <cell r="C648" t="str">
            <v>A&amp;G-Travel Exp.-Total</v>
          </cell>
          <cell r="D648" t="str">
            <v>管理费用_差旅费-合计</v>
          </cell>
          <cell r="E648" t="str">
            <v>Income Statement</v>
          </cell>
          <cell r="F648" t="str">
            <v>End-Total</v>
          </cell>
          <cell r="G648" t="str">
            <v>No</v>
          </cell>
          <cell r="H648" t="str">
            <v>66020300..66020399</v>
          </cell>
          <cell r="I648">
            <v>460000.55</v>
          </cell>
          <cell r="J648">
            <v>1029819.43</v>
          </cell>
          <cell r="K648">
            <v>569818.88</v>
          </cell>
          <cell r="L648">
            <v>460000.55</v>
          </cell>
          <cell r="M648" t="str">
            <v/>
          </cell>
        </row>
        <row r="649">
          <cell r="A649" t="str">
            <v>66020400</v>
          </cell>
          <cell r="B649" t="str">
            <v>19/01/01..19/12/31</v>
          </cell>
          <cell r="C649" t="str">
            <v>A&amp;G-Local Transportation</v>
          </cell>
          <cell r="D649" t="str">
            <v>管理费用_市内交通费</v>
          </cell>
          <cell r="E649" t="str">
            <v>Income Statement</v>
          </cell>
          <cell r="F649" t="str">
            <v>Posting</v>
          </cell>
          <cell r="G649" t="str">
            <v>Yes</v>
          </cell>
          <cell r="H649" t="str">
            <v/>
          </cell>
          <cell r="I649">
            <v>128080.84</v>
          </cell>
          <cell r="J649">
            <v>133365.62</v>
          </cell>
          <cell r="K649">
            <v>5284.78</v>
          </cell>
          <cell r="L649">
            <v>128080.84</v>
          </cell>
          <cell r="M649" t="str">
            <v>620200</v>
          </cell>
        </row>
        <row r="650">
          <cell r="A650" t="str">
            <v>66020500</v>
          </cell>
          <cell r="B650" t="str">
            <v>19/01/01..19/12/31</v>
          </cell>
          <cell r="C650" t="str">
            <v>A&amp;G-Maintenance Fee</v>
          </cell>
          <cell r="D650" t="str">
            <v>管理费用_修理费</v>
          </cell>
          <cell r="E650" t="str">
            <v>Income Statement</v>
          </cell>
          <cell r="F650" t="str">
            <v>Begin-Total</v>
          </cell>
          <cell r="G650" t="str">
            <v>No</v>
          </cell>
          <cell r="H650" t="str">
            <v/>
          </cell>
          <cell r="I650" t="str">
            <v/>
          </cell>
          <cell r="J650" t="str">
            <v/>
          </cell>
          <cell r="K650" t="str">
            <v/>
          </cell>
          <cell r="L650" t="str">
            <v/>
          </cell>
          <cell r="M650" t="str">
            <v/>
          </cell>
        </row>
        <row r="651">
          <cell r="A651" t="str">
            <v>66020501</v>
          </cell>
          <cell r="B651" t="str">
            <v>19/01/01..19/12/31</v>
          </cell>
          <cell r="C651" t="str">
            <v>A&amp;G-Maintenance-Building</v>
          </cell>
          <cell r="D651" t="str">
            <v>管理费用_修理费_建筑物</v>
          </cell>
          <cell r="E651" t="str">
            <v>Income Statement</v>
          </cell>
          <cell r="F651" t="str">
            <v>Posting</v>
          </cell>
          <cell r="G651" t="str">
            <v>Yes</v>
          </cell>
          <cell r="H651" t="str">
            <v/>
          </cell>
          <cell r="I651">
            <v>326043.24</v>
          </cell>
          <cell r="J651">
            <v>326043.24</v>
          </cell>
          <cell r="K651" t="str">
            <v/>
          </cell>
          <cell r="L651">
            <v>326043.24</v>
          </cell>
          <cell r="M651" t="str">
            <v>620200</v>
          </cell>
        </row>
        <row r="652">
          <cell r="A652" t="str">
            <v>66020502</v>
          </cell>
          <cell r="B652" t="str">
            <v>19/01/01..19/12/31</v>
          </cell>
          <cell r="C652" t="str">
            <v>A&amp;G-Maintenance-Vehicle</v>
          </cell>
          <cell r="D652" t="str">
            <v>管理费用_修理费_车辆</v>
          </cell>
          <cell r="E652" t="str">
            <v>Income Statement</v>
          </cell>
          <cell r="F652" t="str">
            <v>Posting</v>
          </cell>
          <cell r="G652" t="str">
            <v>Yes</v>
          </cell>
          <cell r="H652" t="str">
            <v/>
          </cell>
          <cell r="I652" t="str">
            <v/>
          </cell>
          <cell r="J652" t="str">
            <v/>
          </cell>
          <cell r="K652" t="str">
            <v/>
          </cell>
          <cell r="L652" t="str">
            <v/>
          </cell>
          <cell r="M652" t="str">
            <v>620200</v>
          </cell>
        </row>
        <row r="653">
          <cell r="A653" t="str">
            <v>66020503</v>
          </cell>
          <cell r="B653" t="str">
            <v>19/01/01..19/12/31</v>
          </cell>
          <cell r="C653" t="str">
            <v>A&amp;G-Mainte.-Office Equipment</v>
          </cell>
          <cell r="D653" t="str">
            <v>管理费用_修理费_办公设备</v>
          </cell>
          <cell r="E653" t="str">
            <v>Income Statement</v>
          </cell>
          <cell r="F653" t="str">
            <v>Posting</v>
          </cell>
          <cell r="G653" t="str">
            <v>Yes</v>
          </cell>
          <cell r="H653" t="str">
            <v/>
          </cell>
          <cell r="I653">
            <v>232736.22</v>
          </cell>
          <cell r="J653">
            <v>232736.22</v>
          </cell>
          <cell r="K653" t="str">
            <v/>
          </cell>
          <cell r="L653">
            <v>232736.22</v>
          </cell>
          <cell r="M653" t="str">
            <v>620200</v>
          </cell>
        </row>
        <row r="654">
          <cell r="A654" t="str">
            <v>66020504</v>
          </cell>
          <cell r="B654" t="str">
            <v>19/01/01..19/12/31</v>
          </cell>
          <cell r="C654" t="str">
            <v>A&amp;G-Maintenance-Other</v>
          </cell>
          <cell r="D654" t="str">
            <v>管理费用_修理费_其他</v>
          </cell>
          <cell r="E654" t="str">
            <v>Income Statement</v>
          </cell>
          <cell r="F654" t="str">
            <v>Posting</v>
          </cell>
          <cell r="G654" t="str">
            <v>Yes</v>
          </cell>
          <cell r="H654" t="str">
            <v/>
          </cell>
          <cell r="I654">
            <v>159564.07999999999</v>
          </cell>
          <cell r="J654">
            <v>159564.07999999999</v>
          </cell>
          <cell r="K654" t="str">
            <v/>
          </cell>
          <cell r="L654">
            <v>159564.07999999999</v>
          </cell>
          <cell r="M654" t="str">
            <v>620200</v>
          </cell>
        </row>
        <row r="655">
          <cell r="A655" t="str">
            <v>66020599</v>
          </cell>
          <cell r="B655" t="str">
            <v>19/01/01..19/12/31</v>
          </cell>
          <cell r="C655" t="str">
            <v>A&amp;G-Maintenance-Total</v>
          </cell>
          <cell r="D655" t="str">
            <v>管理费用_修理费-合计</v>
          </cell>
          <cell r="E655" t="str">
            <v>Income Statement</v>
          </cell>
          <cell r="F655" t="str">
            <v>End-Total</v>
          </cell>
          <cell r="G655" t="str">
            <v>No</v>
          </cell>
          <cell r="H655" t="str">
            <v>66020500..66020599</v>
          </cell>
          <cell r="I655">
            <v>718343.54</v>
          </cell>
          <cell r="J655">
            <v>718343.54</v>
          </cell>
          <cell r="K655" t="str">
            <v/>
          </cell>
          <cell r="L655">
            <v>718343.54</v>
          </cell>
          <cell r="M655" t="str">
            <v/>
          </cell>
        </row>
        <row r="656">
          <cell r="A656" t="str">
            <v>66020600</v>
          </cell>
          <cell r="B656" t="str">
            <v>19/01/01..19/12/31</v>
          </cell>
          <cell r="C656" t="str">
            <v>A&amp;G-Office Expense</v>
          </cell>
          <cell r="D656" t="str">
            <v>管理费用_办公费</v>
          </cell>
          <cell r="E656" t="str">
            <v>Income Statement</v>
          </cell>
          <cell r="F656" t="str">
            <v>Begin-Total</v>
          </cell>
          <cell r="G656" t="str">
            <v>No</v>
          </cell>
          <cell r="H656" t="str">
            <v/>
          </cell>
          <cell r="I656" t="str">
            <v/>
          </cell>
          <cell r="J656" t="str">
            <v/>
          </cell>
          <cell r="K656" t="str">
            <v/>
          </cell>
          <cell r="L656" t="str">
            <v/>
          </cell>
          <cell r="M656" t="str">
            <v/>
          </cell>
        </row>
        <row r="657">
          <cell r="A657" t="str">
            <v>66020601</v>
          </cell>
          <cell r="B657" t="str">
            <v>19/01/01..19/12/31</v>
          </cell>
          <cell r="C657" t="str">
            <v>A&amp;G-Office Expense-Electric</v>
          </cell>
          <cell r="D657" t="str">
            <v>管理费用_办公费_电费</v>
          </cell>
          <cell r="E657" t="str">
            <v>Income Statement</v>
          </cell>
          <cell r="F657" t="str">
            <v>Posting</v>
          </cell>
          <cell r="G657" t="str">
            <v>Yes</v>
          </cell>
          <cell r="H657" t="str">
            <v/>
          </cell>
          <cell r="I657">
            <v>923126.72</v>
          </cell>
          <cell r="J657">
            <v>923126.72</v>
          </cell>
          <cell r="K657" t="str">
            <v/>
          </cell>
          <cell r="L657">
            <v>923126.72</v>
          </cell>
          <cell r="M657" t="str">
            <v>620200</v>
          </cell>
        </row>
        <row r="658">
          <cell r="A658" t="str">
            <v>66020602</v>
          </cell>
          <cell r="B658" t="str">
            <v>19/01/01..19/12/31</v>
          </cell>
          <cell r="C658" t="str">
            <v xml:space="preserve">A&amp;G-Office Expense-Water </v>
          </cell>
          <cell r="D658" t="str">
            <v>管理费用_办公费_水费</v>
          </cell>
          <cell r="E658" t="str">
            <v>Income Statement</v>
          </cell>
          <cell r="F658" t="str">
            <v>Posting</v>
          </cell>
          <cell r="G658" t="str">
            <v>Yes</v>
          </cell>
          <cell r="H658" t="str">
            <v/>
          </cell>
          <cell r="I658" t="str">
            <v/>
          </cell>
          <cell r="J658" t="str">
            <v/>
          </cell>
          <cell r="K658" t="str">
            <v/>
          </cell>
          <cell r="L658" t="str">
            <v/>
          </cell>
          <cell r="M658" t="str">
            <v>620200</v>
          </cell>
        </row>
        <row r="659">
          <cell r="A659" t="str">
            <v>66020603</v>
          </cell>
          <cell r="B659" t="str">
            <v>19/01/01..19/12/31</v>
          </cell>
          <cell r="C659" t="str">
            <v>A&amp;G-Office Expense-Meals</v>
          </cell>
          <cell r="D659" t="str">
            <v>管理费用_办公费_餐饮费</v>
          </cell>
          <cell r="E659" t="str">
            <v>Income Statement</v>
          </cell>
          <cell r="F659" t="str">
            <v>Posting</v>
          </cell>
          <cell r="G659" t="str">
            <v>Yes</v>
          </cell>
          <cell r="H659" t="str">
            <v/>
          </cell>
          <cell r="I659">
            <v>1137491.17</v>
          </cell>
          <cell r="J659">
            <v>1862776.3</v>
          </cell>
          <cell r="K659">
            <v>725285.13</v>
          </cell>
          <cell r="L659">
            <v>1137491.17</v>
          </cell>
          <cell r="M659" t="str">
            <v>620200</v>
          </cell>
        </row>
        <row r="660">
          <cell r="A660" t="str">
            <v>66020604</v>
          </cell>
          <cell r="B660" t="str">
            <v>19/01/01..19/12/31</v>
          </cell>
          <cell r="C660" t="str">
            <v>A&amp;G-Office Exp.-Communication</v>
          </cell>
          <cell r="D660" t="str">
            <v>管理费用_办公费_通讯费</v>
          </cell>
          <cell r="E660" t="str">
            <v>Income Statement</v>
          </cell>
          <cell r="F660" t="str">
            <v>Posting</v>
          </cell>
          <cell r="G660" t="str">
            <v>Yes</v>
          </cell>
          <cell r="H660" t="str">
            <v/>
          </cell>
          <cell r="I660">
            <v>2347810.48</v>
          </cell>
          <cell r="J660">
            <v>3128814.03</v>
          </cell>
          <cell r="K660">
            <v>781003.55</v>
          </cell>
          <cell r="L660">
            <v>2347810.48</v>
          </cell>
          <cell r="M660" t="str">
            <v>620200</v>
          </cell>
        </row>
        <row r="661">
          <cell r="A661" t="str">
            <v>66020605</v>
          </cell>
          <cell r="B661" t="str">
            <v>19/01/01..19/12/31</v>
          </cell>
          <cell r="C661" t="str">
            <v>A&amp;G-Office Expense-MP</v>
          </cell>
          <cell r="D661" t="str">
            <v>管理费用_办公费_手机通讯费</v>
          </cell>
          <cell r="E661" t="str">
            <v>Income Statement</v>
          </cell>
          <cell r="F661" t="str">
            <v>Posting</v>
          </cell>
          <cell r="G661" t="str">
            <v>Yes</v>
          </cell>
          <cell r="H661" t="str">
            <v/>
          </cell>
          <cell r="I661">
            <v>36648.6</v>
          </cell>
          <cell r="J661">
            <v>36648.6</v>
          </cell>
          <cell r="K661" t="str">
            <v/>
          </cell>
          <cell r="L661">
            <v>36648.6</v>
          </cell>
          <cell r="M661" t="str">
            <v>620200</v>
          </cell>
        </row>
        <row r="662">
          <cell r="A662" t="str">
            <v>66020606</v>
          </cell>
          <cell r="B662" t="str">
            <v>19/01/01..19/12/31</v>
          </cell>
          <cell r="C662" t="str">
            <v>A&amp;G-Office Expense-Express fee</v>
          </cell>
          <cell r="D662" t="str">
            <v>管理费用_办公费_快递费</v>
          </cell>
          <cell r="E662" t="str">
            <v>Income Statement</v>
          </cell>
          <cell r="F662" t="str">
            <v>Posting</v>
          </cell>
          <cell r="G662" t="str">
            <v>Yes</v>
          </cell>
          <cell r="H662" t="str">
            <v/>
          </cell>
          <cell r="I662">
            <v>17759.29</v>
          </cell>
          <cell r="J662">
            <v>17904.990000000002</v>
          </cell>
          <cell r="K662">
            <v>145.69999999999999</v>
          </cell>
          <cell r="L662">
            <v>17759.29</v>
          </cell>
          <cell r="M662" t="str">
            <v>620200</v>
          </cell>
        </row>
        <row r="663">
          <cell r="A663" t="str">
            <v>66020607</v>
          </cell>
          <cell r="B663" t="str">
            <v>19/01/01..19/12/31</v>
          </cell>
          <cell r="C663" t="str">
            <v>A&amp;G-Office Expense-Shuttle Bus</v>
          </cell>
          <cell r="D663" t="str">
            <v>管理费用_办公费_班车费</v>
          </cell>
          <cell r="E663" t="str">
            <v>Income Statement</v>
          </cell>
          <cell r="F663" t="str">
            <v>Posting</v>
          </cell>
          <cell r="G663" t="str">
            <v>Yes</v>
          </cell>
          <cell r="H663" t="str">
            <v/>
          </cell>
          <cell r="I663">
            <v>1228682</v>
          </cell>
          <cell r="J663">
            <v>2550422</v>
          </cell>
          <cell r="K663">
            <v>1321740</v>
          </cell>
          <cell r="L663">
            <v>1228682</v>
          </cell>
          <cell r="M663" t="str">
            <v>620200</v>
          </cell>
        </row>
        <row r="664">
          <cell r="A664" t="str">
            <v>66020608</v>
          </cell>
          <cell r="B664" t="str">
            <v>19/01/01..19/12/31</v>
          </cell>
          <cell r="C664" t="str">
            <v>A&amp;G-Office Expense-Stationery</v>
          </cell>
          <cell r="D664" t="str">
            <v>管理费用_办公费_办公用品费</v>
          </cell>
          <cell r="E664" t="str">
            <v>Income Statement</v>
          </cell>
          <cell r="F664" t="str">
            <v>Posting</v>
          </cell>
          <cell r="G664" t="str">
            <v>Yes</v>
          </cell>
          <cell r="H664" t="str">
            <v/>
          </cell>
          <cell r="I664">
            <v>830226.39</v>
          </cell>
          <cell r="J664">
            <v>832661.04</v>
          </cell>
          <cell r="K664">
            <v>2434.65</v>
          </cell>
          <cell r="L664">
            <v>830226.39</v>
          </cell>
          <cell r="M664" t="str">
            <v>620200</v>
          </cell>
        </row>
        <row r="665">
          <cell r="A665" t="str">
            <v>66020609</v>
          </cell>
          <cell r="B665" t="str">
            <v>19/01/01..19/12/31</v>
          </cell>
          <cell r="C665" t="str">
            <v>A&amp;G-Office Exp.-Labor Protect</v>
          </cell>
          <cell r="D665" t="str">
            <v>管理费用_办公费_劳动保护费</v>
          </cell>
          <cell r="E665" t="str">
            <v>Income Statement</v>
          </cell>
          <cell r="F665" t="str">
            <v>Posting</v>
          </cell>
          <cell r="G665" t="str">
            <v>Yes</v>
          </cell>
          <cell r="H665" t="str">
            <v/>
          </cell>
          <cell r="I665" t="str">
            <v/>
          </cell>
          <cell r="J665" t="str">
            <v/>
          </cell>
          <cell r="K665" t="str">
            <v/>
          </cell>
          <cell r="L665" t="str">
            <v/>
          </cell>
          <cell r="M665" t="str">
            <v>620200</v>
          </cell>
        </row>
        <row r="666">
          <cell r="A666" t="str">
            <v>66020610</v>
          </cell>
          <cell r="B666" t="str">
            <v>19/01/01..19/12/31</v>
          </cell>
          <cell r="C666" t="str">
            <v>A&amp;G-Office Expense-Security</v>
          </cell>
          <cell r="D666" t="str">
            <v>管理费用_办公费_保安</v>
          </cell>
          <cell r="E666" t="str">
            <v>Income Statement</v>
          </cell>
          <cell r="F666" t="str">
            <v>Posting</v>
          </cell>
          <cell r="G666" t="str">
            <v>Yes</v>
          </cell>
          <cell r="H666" t="str">
            <v/>
          </cell>
          <cell r="I666">
            <v>1065444.33</v>
          </cell>
          <cell r="J666">
            <v>1765444.33</v>
          </cell>
          <cell r="K666">
            <v>700000</v>
          </cell>
          <cell r="L666">
            <v>1065444.33</v>
          </cell>
          <cell r="M666" t="str">
            <v>620200</v>
          </cell>
        </row>
        <row r="667">
          <cell r="A667" t="str">
            <v>66020611</v>
          </cell>
          <cell r="B667" t="str">
            <v>19/01/01..19/12/31</v>
          </cell>
          <cell r="C667" t="str">
            <v>A&amp;G-Office Expense-Cleaning</v>
          </cell>
          <cell r="D667" t="str">
            <v>管理费用_办公费_保洁</v>
          </cell>
          <cell r="E667" t="str">
            <v>Income Statement</v>
          </cell>
          <cell r="F667" t="str">
            <v>Posting</v>
          </cell>
          <cell r="G667" t="str">
            <v>Yes</v>
          </cell>
          <cell r="H667" t="str">
            <v/>
          </cell>
          <cell r="I667">
            <v>325185.48</v>
          </cell>
          <cell r="J667">
            <v>578265.48</v>
          </cell>
          <cell r="K667">
            <v>253080</v>
          </cell>
          <cell r="L667">
            <v>325185.48</v>
          </cell>
          <cell r="M667" t="str">
            <v>620200</v>
          </cell>
        </row>
        <row r="668">
          <cell r="A668" t="str">
            <v>66020612</v>
          </cell>
          <cell r="B668" t="str">
            <v>19/01/01..19/12/31</v>
          </cell>
          <cell r="C668" t="str">
            <v>A&amp;G-Office Expense-Rental</v>
          </cell>
          <cell r="D668" t="str">
            <v>管理费用_办公费_租赁</v>
          </cell>
          <cell r="E668" t="str">
            <v>Income Statement</v>
          </cell>
          <cell r="F668" t="str">
            <v>Posting</v>
          </cell>
          <cell r="G668" t="str">
            <v>Yes</v>
          </cell>
          <cell r="H668" t="str">
            <v/>
          </cell>
          <cell r="I668">
            <v>329544.07</v>
          </cell>
          <cell r="J668">
            <v>369819.29</v>
          </cell>
          <cell r="K668">
            <v>40275.22</v>
          </cell>
          <cell r="L668">
            <v>329544.07</v>
          </cell>
          <cell r="M668" t="str">
            <v>620200</v>
          </cell>
        </row>
        <row r="669">
          <cell r="A669" t="str">
            <v>66020690</v>
          </cell>
          <cell r="B669" t="str">
            <v>19/01/01..19/12/31</v>
          </cell>
          <cell r="C669" t="str">
            <v>A&amp;G-Office Expense-Other</v>
          </cell>
          <cell r="D669" t="str">
            <v>管理费用_办公费_其他</v>
          </cell>
          <cell r="E669" t="str">
            <v>Income Statement</v>
          </cell>
          <cell r="F669" t="str">
            <v>Posting</v>
          </cell>
          <cell r="G669" t="str">
            <v>Yes</v>
          </cell>
          <cell r="H669" t="str">
            <v/>
          </cell>
          <cell r="I669">
            <v>729900.35</v>
          </cell>
          <cell r="J669">
            <v>1590899.35</v>
          </cell>
          <cell r="K669">
            <v>860999</v>
          </cell>
          <cell r="L669">
            <v>729900.35</v>
          </cell>
          <cell r="M669" t="str">
            <v>620200</v>
          </cell>
        </row>
        <row r="670">
          <cell r="A670" t="str">
            <v>66020699</v>
          </cell>
          <cell r="B670" t="str">
            <v>19/01/01..19/12/31</v>
          </cell>
          <cell r="C670" t="str">
            <v>A&amp;G-Office Expense-Total</v>
          </cell>
          <cell r="D670" t="str">
            <v>管理费用_办公费-合计</v>
          </cell>
          <cell r="E670" t="str">
            <v>Income Statement</v>
          </cell>
          <cell r="F670" t="str">
            <v>End-Total</v>
          </cell>
          <cell r="G670" t="str">
            <v>No</v>
          </cell>
          <cell r="H670" t="str">
            <v>66020600..66020699</v>
          </cell>
          <cell r="I670">
            <v>8971818.8800000008</v>
          </cell>
          <cell r="J670">
            <v>13656782.130000001</v>
          </cell>
          <cell r="K670">
            <v>4684963.25</v>
          </cell>
          <cell r="L670">
            <v>8971818.8800000008</v>
          </cell>
          <cell r="M670" t="str">
            <v/>
          </cell>
        </row>
        <row r="671">
          <cell r="A671" t="str">
            <v>66020700</v>
          </cell>
          <cell r="B671" t="str">
            <v>19/01/01..19/12/31</v>
          </cell>
          <cell r="C671" t="str">
            <v>A&amp;G-Insurance</v>
          </cell>
          <cell r="D671" t="str">
            <v>管理费用_保险费</v>
          </cell>
          <cell r="E671" t="str">
            <v>Income Statement</v>
          </cell>
          <cell r="F671" t="str">
            <v>Begin-Total</v>
          </cell>
          <cell r="G671" t="str">
            <v>No</v>
          </cell>
          <cell r="H671" t="str">
            <v/>
          </cell>
          <cell r="I671" t="str">
            <v/>
          </cell>
          <cell r="J671" t="str">
            <v/>
          </cell>
          <cell r="K671" t="str">
            <v/>
          </cell>
          <cell r="L671" t="str">
            <v/>
          </cell>
          <cell r="M671" t="str">
            <v/>
          </cell>
        </row>
        <row r="672">
          <cell r="A672" t="str">
            <v>66020701</v>
          </cell>
          <cell r="B672" t="str">
            <v>19/01/01..19/12/31</v>
          </cell>
          <cell r="C672" t="str">
            <v>A&amp;G-Insurance-Property Insur.</v>
          </cell>
          <cell r="D672" t="str">
            <v>管理费用_保险费-财产保险</v>
          </cell>
          <cell r="E672" t="str">
            <v>Income Statement</v>
          </cell>
          <cell r="F672" t="str">
            <v>Posting</v>
          </cell>
          <cell r="G672" t="str">
            <v>Yes</v>
          </cell>
          <cell r="H672" t="str">
            <v/>
          </cell>
          <cell r="I672">
            <v>215078.3</v>
          </cell>
          <cell r="J672">
            <v>215078.3</v>
          </cell>
          <cell r="K672" t="str">
            <v/>
          </cell>
          <cell r="L672">
            <v>215078.3</v>
          </cell>
          <cell r="M672" t="str">
            <v>610400</v>
          </cell>
        </row>
        <row r="673">
          <cell r="A673" t="str">
            <v>66020702</v>
          </cell>
          <cell r="B673" t="str">
            <v>19/01/01..19/12/31</v>
          </cell>
          <cell r="C673" t="str">
            <v>A&amp;G-Insurance-Liability Insur.</v>
          </cell>
          <cell r="D673" t="str">
            <v>管理费用_保险费-责任保险</v>
          </cell>
          <cell r="E673" t="str">
            <v>Income Statement</v>
          </cell>
          <cell r="F673" t="str">
            <v>Posting</v>
          </cell>
          <cell r="G673" t="str">
            <v>Yes</v>
          </cell>
          <cell r="H673" t="str">
            <v/>
          </cell>
          <cell r="I673">
            <v>121933.91</v>
          </cell>
          <cell r="J673">
            <v>121933.91</v>
          </cell>
          <cell r="K673" t="str">
            <v/>
          </cell>
          <cell r="L673">
            <v>121933.91</v>
          </cell>
          <cell r="M673" t="str">
            <v>610400</v>
          </cell>
        </row>
        <row r="674">
          <cell r="A674" t="str">
            <v>66020703</v>
          </cell>
          <cell r="B674" t="str">
            <v>19/01/01..19/12/31</v>
          </cell>
          <cell r="C674" t="str">
            <v>A&amp;G-Insurance-Other</v>
          </cell>
          <cell r="D674" t="str">
            <v>管理费用_保险费-其它</v>
          </cell>
          <cell r="E674" t="str">
            <v>Income Statement</v>
          </cell>
          <cell r="F674" t="str">
            <v>Posting</v>
          </cell>
          <cell r="G674" t="str">
            <v>Yes</v>
          </cell>
          <cell r="H674" t="str">
            <v/>
          </cell>
          <cell r="I674" t="str">
            <v/>
          </cell>
          <cell r="J674">
            <v>2376.08</v>
          </cell>
          <cell r="K674">
            <v>2376.08</v>
          </cell>
          <cell r="L674" t="str">
            <v/>
          </cell>
          <cell r="M674" t="str">
            <v>610400</v>
          </cell>
        </row>
        <row r="675">
          <cell r="A675" t="str">
            <v>66020704</v>
          </cell>
          <cell r="B675" t="str">
            <v>19/01/01..19/12/31</v>
          </cell>
          <cell r="C675" t="str">
            <v>A&amp;G-Insurance-Health insur.</v>
          </cell>
          <cell r="D675" t="str">
            <v>管理费用_保险费-医疗保险</v>
          </cell>
          <cell r="E675" t="str">
            <v>Income Statement</v>
          </cell>
          <cell r="F675" t="str">
            <v>Posting</v>
          </cell>
          <cell r="G675" t="str">
            <v>Yes</v>
          </cell>
          <cell r="H675" t="str">
            <v/>
          </cell>
          <cell r="I675">
            <v>389567.05</v>
          </cell>
          <cell r="J675">
            <v>750405.13</v>
          </cell>
          <cell r="K675">
            <v>360838.08</v>
          </cell>
          <cell r="L675">
            <v>389567.05</v>
          </cell>
          <cell r="M675" t="str">
            <v>620200</v>
          </cell>
        </row>
        <row r="676">
          <cell r="A676" t="str">
            <v>66020799</v>
          </cell>
          <cell r="B676" t="str">
            <v>19/01/01..19/12/31</v>
          </cell>
          <cell r="C676" t="str">
            <v>A&amp;G-Insurance-Total</v>
          </cell>
          <cell r="D676" t="str">
            <v>管理费用_保险费-合计</v>
          </cell>
          <cell r="E676" t="str">
            <v>Income Statement</v>
          </cell>
          <cell r="F676" t="str">
            <v>End-Total</v>
          </cell>
          <cell r="G676" t="str">
            <v>No</v>
          </cell>
          <cell r="H676" t="str">
            <v>66020700..66020799</v>
          </cell>
          <cell r="I676">
            <v>726579.26</v>
          </cell>
          <cell r="J676">
            <v>1089793.42</v>
          </cell>
          <cell r="K676">
            <v>363214.16</v>
          </cell>
          <cell r="L676">
            <v>726579.26</v>
          </cell>
          <cell r="M676" t="str">
            <v/>
          </cell>
        </row>
        <row r="677">
          <cell r="A677" t="str">
            <v>66020800</v>
          </cell>
          <cell r="B677" t="str">
            <v>19/01/01..19/12/31</v>
          </cell>
          <cell r="C677" t="str">
            <v>A&amp;G-Amort. of Intangible asset</v>
          </cell>
          <cell r="D677" t="str">
            <v>管理费用_无形资产摊销</v>
          </cell>
          <cell r="E677" t="str">
            <v>Income Statement</v>
          </cell>
          <cell r="F677" t="str">
            <v>Begin-Total</v>
          </cell>
          <cell r="G677" t="str">
            <v>No</v>
          </cell>
          <cell r="H677" t="str">
            <v/>
          </cell>
          <cell r="I677" t="str">
            <v/>
          </cell>
          <cell r="J677" t="str">
            <v/>
          </cell>
          <cell r="K677" t="str">
            <v/>
          </cell>
          <cell r="L677" t="str">
            <v/>
          </cell>
          <cell r="M677" t="str">
            <v/>
          </cell>
        </row>
        <row r="678">
          <cell r="A678" t="str">
            <v>66020801</v>
          </cell>
          <cell r="B678" t="str">
            <v>19/01/01..19/12/31</v>
          </cell>
          <cell r="C678" t="str">
            <v>A&amp;G-Amort. of land use right</v>
          </cell>
          <cell r="D678" t="str">
            <v>管理费用_土地使用权摊销</v>
          </cell>
          <cell r="E678" t="str">
            <v>Income Statement</v>
          </cell>
          <cell r="F678" t="str">
            <v>Posting</v>
          </cell>
          <cell r="G678" t="str">
            <v>Yes</v>
          </cell>
          <cell r="H678" t="str">
            <v/>
          </cell>
          <cell r="I678">
            <v>1108921.32</v>
          </cell>
          <cell r="J678">
            <v>1108921.32</v>
          </cell>
          <cell r="K678" t="str">
            <v/>
          </cell>
          <cell r="L678">
            <v>1108921.32</v>
          </cell>
          <cell r="M678" t="str">
            <v>682300</v>
          </cell>
        </row>
        <row r="679">
          <cell r="A679" t="str">
            <v>66020802</v>
          </cell>
          <cell r="B679" t="str">
            <v>19/01/01..19/12/31</v>
          </cell>
          <cell r="C679" t="str">
            <v>A&amp;G-Amort. of Patent</v>
          </cell>
          <cell r="D679" t="str">
            <v>管理费用_专有技术摊销</v>
          </cell>
          <cell r="E679" t="str">
            <v>Income Statement</v>
          </cell>
          <cell r="F679" t="str">
            <v>Posting</v>
          </cell>
          <cell r="G679" t="str">
            <v>Yes</v>
          </cell>
          <cell r="H679" t="str">
            <v/>
          </cell>
          <cell r="I679" t="str">
            <v/>
          </cell>
          <cell r="J679" t="str">
            <v/>
          </cell>
          <cell r="K679" t="str">
            <v/>
          </cell>
          <cell r="L679" t="str">
            <v/>
          </cell>
          <cell r="M679" t="str">
            <v>682300</v>
          </cell>
        </row>
        <row r="680">
          <cell r="A680" t="str">
            <v>66020803</v>
          </cell>
          <cell r="B680" t="str">
            <v>19/01/01..19/12/31</v>
          </cell>
          <cell r="C680" t="str">
            <v>A&amp;G-Amort. of Softwares (acq.)</v>
          </cell>
          <cell r="D680" t="str">
            <v>管理费用_软件（外购）摊销</v>
          </cell>
          <cell r="E680" t="str">
            <v>Income Statement</v>
          </cell>
          <cell r="F680" t="str">
            <v>Posting</v>
          </cell>
          <cell r="G680" t="str">
            <v>Yes</v>
          </cell>
          <cell r="H680" t="str">
            <v/>
          </cell>
          <cell r="I680">
            <v>64478.04</v>
          </cell>
          <cell r="J680">
            <v>64478.04</v>
          </cell>
          <cell r="K680" t="str">
            <v/>
          </cell>
          <cell r="L680">
            <v>64478.04</v>
          </cell>
          <cell r="M680" t="str">
            <v>682300</v>
          </cell>
        </row>
        <row r="681">
          <cell r="A681" t="str">
            <v>66020899</v>
          </cell>
          <cell r="B681" t="str">
            <v>19/01/01..19/12/31</v>
          </cell>
          <cell r="C681" t="str">
            <v>A&amp;G-Amort. Intan. asset -Total</v>
          </cell>
          <cell r="D681" t="str">
            <v>管理费用_无形资产摊销-合计</v>
          </cell>
          <cell r="E681" t="str">
            <v>Income Statement</v>
          </cell>
          <cell r="F681" t="str">
            <v>End-Total</v>
          </cell>
          <cell r="G681" t="str">
            <v>No</v>
          </cell>
          <cell r="H681" t="str">
            <v>66020800..66020899</v>
          </cell>
          <cell r="I681">
            <v>1173399.3600000001</v>
          </cell>
          <cell r="J681">
            <v>1173399.3600000001</v>
          </cell>
          <cell r="K681" t="str">
            <v/>
          </cell>
          <cell r="L681">
            <v>1173399.3600000001</v>
          </cell>
          <cell r="M681" t="str">
            <v/>
          </cell>
        </row>
        <row r="682">
          <cell r="A682" t="str">
            <v>66020900</v>
          </cell>
          <cell r="B682" t="str">
            <v>19/01/01..19/12/31</v>
          </cell>
          <cell r="C682" t="str">
            <v>A&amp;G-Consultant Fee</v>
          </cell>
          <cell r="D682" t="str">
            <v>管理费用_顾问费</v>
          </cell>
          <cell r="E682" t="str">
            <v>Income Statement</v>
          </cell>
          <cell r="F682" t="str">
            <v>Posting</v>
          </cell>
          <cell r="G682" t="str">
            <v>Yes</v>
          </cell>
          <cell r="H682" t="str">
            <v/>
          </cell>
          <cell r="I682">
            <v>1315170.78</v>
          </cell>
          <cell r="J682">
            <v>1529451.57</v>
          </cell>
          <cell r="K682">
            <v>214280.79</v>
          </cell>
          <cell r="L682">
            <v>1315170.78</v>
          </cell>
          <cell r="M682" t="str">
            <v>620200</v>
          </cell>
        </row>
        <row r="683">
          <cell r="A683" t="str">
            <v>66021000</v>
          </cell>
          <cell r="B683" t="str">
            <v>19/01/01..19/12/31</v>
          </cell>
          <cell r="C683" t="str">
            <v>A&amp;G-Recruitment Fee</v>
          </cell>
          <cell r="D683" t="str">
            <v>管理费用_招聘费</v>
          </cell>
          <cell r="E683" t="str">
            <v>Income Statement</v>
          </cell>
          <cell r="F683" t="str">
            <v>Posting</v>
          </cell>
          <cell r="G683" t="str">
            <v>Yes</v>
          </cell>
          <cell r="H683" t="str">
            <v/>
          </cell>
          <cell r="I683">
            <v>139690.96</v>
          </cell>
          <cell r="J683">
            <v>141162.6</v>
          </cell>
          <cell r="K683">
            <v>1471.64</v>
          </cell>
          <cell r="L683">
            <v>139690.96</v>
          </cell>
          <cell r="M683" t="str">
            <v>620200</v>
          </cell>
        </row>
        <row r="684">
          <cell r="A684" t="str">
            <v>66021100</v>
          </cell>
          <cell r="B684" t="str">
            <v>19/01/01..19/12/31</v>
          </cell>
          <cell r="C684" t="str">
            <v>A&amp;G-Audit Fee</v>
          </cell>
          <cell r="D684" t="str">
            <v>管理费用_审计费</v>
          </cell>
          <cell r="E684" t="str">
            <v>Income Statement</v>
          </cell>
          <cell r="F684" t="str">
            <v>Posting</v>
          </cell>
          <cell r="G684" t="str">
            <v>Yes</v>
          </cell>
          <cell r="H684" t="str">
            <v/>
          </cell>
          <cell r="I684">
            <v>641600</v>
          </cell>
          <cell r="J684">
            <v>1983431.14</v>
          </cell>
          <cell r="K684">
            <v>1341831.1399999999</v>
          </cell>
          <cell r="L684">
            <v>641600</v>
          </cell>
          <cell r="M684" t="str">
            <v>620200</v>
          </cell>
        </row>
        <row r="685">
          <cell r="A685" t="str">
            <v>66021200</v>
          </cell>
          <cell r="B685" t="str">
            <v>19/01/01..19/12/31</v>
          </cell>
          <cell r="C685" t="str">
            <v>A&amp;G-Entertainment Fee</v>
          </cell>
          <cell r="D685" t="str">
            <v>管理费用_交际应酬费</v>
          </cell>
          <cell r="E685" t="str">
            <v>Income Statement</v>
          </cell>
          <cell r="F685" t="str">
            <v>Posting</v>
          </cell>
          <cell r="G685" t="str">
            <v>Yes</v>
          </cell>
          <cell r="H685" t="str">
            <v/>
          </cell>
          <cell r="I685">
            <v>20169.3</v>
          </cell>
          <cell r="J685">
            <v>22257.3</v>
          </cell>
          <cell r="K685">
            <v>2088</v>
          </cell>
          <cell r="L685">
            <v>20169.3</v>
          </cell>
          <cell r="M685" t="str">
            <v>620200</v>
          </cell>
        </row>
        <row r="686">
          <cell r="A686" t="str">
            <v>66021300</v>
          </cell>
          <cell r="B686" t="str">
            <v>19/01/01..19/12/31</v>
          </cell>
          <cell r="C686" t="str">
            <v>A&amp;G-Tax</v>
          </cell>
          <cell r="D686" t="str">
            <v>管理费用_税金</v>
          </cell>
          <cell r="E686" t="str">
            <v>Income Statement</v>
          </cell>
          <cell r="F686" t="str">
            <v>Posting</v>
          </cell>
          <cell r="G686" t="str">
            <v>No</v>
          </cell>
          <cell r="H686" t="str">
            <v/>
          </cell>
          <cell r="I686" t="str">
            <v/>
          </cell>
          <cell r="J686" t="str">
            <v/>
          </cell>
          <cell r="K686" t="str">
            <v/>
          </cell>
          <cell r="L686" t="str">
            <v/>
          </cell>
          <cell r="M686" t="str">
            <v>620200</v>
          </cell>
        </row>
        <row r="687">
          <cell r="A687" t="str">
            <v>66021400</v>
          </cell>
          <cell r="B687" t="str">
            <v>19/01/01..19/12/31</v>
          </cell>
          <cell r="C687" t="str">
            <v>A&amp;G-Training fee</v>
          </cell>
          <cell r="D687" t="str">
            <v>管理费用_培训费</v>
          </cell>
          <cell r="E687" t="str">
            <v>Income Statement</v>
          </cell>
          <cell r="F687" t="str">
            <v>Posting</v>
          </cell>
          <cell r="G687" t="str">
            <v>Yes</v>
          </cell>
          <cell r="H687" t="str">
            <v/>
          </cell>
          <cell r="I687">
            <v>147575.93</v>
          </cell>
          <cell r="J687">
            <v>149396.68</v>
          </cell>
          <cell r="K687">
            <v>1820.75</v>
          </cell>
          <cell r="L687">
            <v>147575.93</v>
          </cell>
          <cell r="M687" t="str">
            <v>620200</v>
          </cell>
        </row>
        <row r="688">
          <cell r="A688" t="str">
            <v>66021500</v>
          </cell>
          <cell r="B688" t="str">
            <v>19/01/01..19/12/31</v>
          </cell>
          <cell r="C688" t="str">
            <v>A&amp;G-Royalties</v>
          </cell>
          <cell r="D688" t="str">
            <v>管理费用_技术提成费</v>
          </cell>
          <cell r="E688" t="str">
            <v>Income Statement</v>
          </cell>
          <cell r="F688" t="str">
            <v>Posting</v>
          </cell>
          <cell r="G688" t="str">
            <v>Yes</v>
          </cell>
          <cell r="H688" t="str">
            <v/>
          </cell>
          <cell r="I688">
            <v>24620227.82</v>
          </cell>
          <cell r="J688">
            <v>24620227.82</v>
          </cell>
          <cell r="K688" t="str">
            <v/>
          </cell>
          <cell r="L688">
            <v>24620227.82</v>
          </cell>
          <cell r="M688" t="str">
            <v>620300</v>
          </cell>
        </row>
        <row r="689">
          <cell r="A689" t="str">
            <v>66021600</v>
          </cell>
          <cell r="B689" t="str">
            <v>19/01/01..19/12/31</v>
          </cell>
          <cell r="C689" t="str">
            <v>A&amp;G-R&amp;D-Expenses</v>
          </cell>
          <cell r="D689" t="str">
            <v>管理费用_研究开发费</v>
          </cell>
          <cell r="E689" t="str">
            <v>Income Statement</v>
          </cell>
          <cell r="F689" t="str">
            <v>Begin-Total</v>
          </cell>
          <cell r="G689" t="str">
            <v>No</v>
          </cell>
          <cell r="H689" t="str">
            <v/>
          </cell>
          <cell r="I689" t="str">
            <v/>
          </cell>
          <cell r="J689" t="str">
            <v/>
          </cell>
          <cell r="K689" t="str">
            <v/>
          </cell>
          <cell r="L689" t="str">
            <v/>
          </cell>
          <cell r="M689" t="str">
            <v/>
          </cell>
        </row>
        <row r="690">
          <cell r="A690" t="str">
            <v>66021601</v>
          </cell>
          <cell r="B690" t="str">
            <v>19/01/01..19/12/31</v>
          </cell>
          <cell r="C690" t="str">
            <v>A&amp;G-R&amp;D-Expenses-Salary</v>
          </cell>
          <cell r="D690" t="str">
            <v>管理费用_研究开发费_工资</v>
          </cell>
          <cell r="E690" t="str">
            <v>Income Statement</v>
          </cell>
          <cell r="F690" t="str">
            <v>Posting</v>
          </cell>
          <cell r="G690" t="str">
            <v>No</v>
          </cell>
          <cell r="H690" t="str">
            <v/>
          </cell>
          <cell r="I690" t="str">
            <v/>
          </cell>
          <cell r="J690" t="str">
            <v/>
          </cell>
          <cell r="K690" t="str">
            <v/>
          </cell>
          <cell r="L690" t="str">
            <v/>
          </cell>
          <cell r="M690" t="str">
            <v>651500</v>
          </cell>
        </row>
        <row r="691">
          <cell r="A691" t="str">
            <v>66021602</v>
          </cell>
          <cell r="B691" t="str">
            <v>19/01/01..19/12/31</v>
          </cell>
          <cell r="C691" t="str">
            <v>A&amp;G-R&amp;D exp-Social Welfare</v>
          </cell>
          <cell r="D691" t="str">
            <v>管理费用_研究开发费_四金</v>
          </cell>
          <cell r="E691" t="str">
            <v>Income Statement</v>
          </cell>
          <cell r="F691" t="str">
            <v>Posting</v>
          </cell>
          <cell r="G691" t="str">
            <v>No</v>
          </cell>
          <cell r="H691" t="str">
            <v/>
          </cell>
          <cell r="I691" t="str">
            <v/>
          </cell>
          <cell r="J691" t="str">
            <v/>
          </cell>
          <cell r="K691" t="str">
            <v/>
          </cell>
          <cell r="L691" t="str">
            <v/>
          </cell>
          <cell r="M691" t="str">
            <v>651500</v>
          </cell>
        </row>
        <row r="692">
          <cell r="A692" t="str">
            <v>66021603</v>
          </cell>
          <cell r="B692" t="str">
            <v>19/01/01..19/12/31</v>
          </cell>
          <cell r="C692" t="str">
            <v>A&amp;G-R&amp;D exp-Depreciation</v>
          </cell>
          <cell r="D692" t="str">
            <v>管理费用_研究开发费_折旧费</v>
          </cell>
          <cell r="E692" t="str">
            <v>Income Statement</v>
          </cell>
          <cell r="F692" t="str">
            <v>Posting</v>
          </cell>
          <cell r="G692" t="str">
            <v>Yes</v>
          </cell>
          <cell r="H692" t="str">
            <v/>
          </cell>
          <cell r="I692">
            <v>200128.06</v>
          </cell>
          <cell r="J692">
            <v>200128.06</v>
          </cell>
          <cell r="K692" t="str">
            <v/>
          </cell>
          <cell r="L692">
            <v>200128.06</v>
          </cell>
          <cell r="M692" t="str">
            <v>682100</v>
          </cell>
        </row>
        <row r="693">
          <cell r="A693" t="str">
            <v>66021604</v>
          </cell>
          <cell r="B693" t="str">
            <v>19/01/01..19/12/31</v>
          </cell>
          <cell r="C693" t="str">
            <v>A&amp;G-R&amp;D exp-Maintenance</v>
          </cell>
          <cell r="D693" t="str">
            <v>管理费用_研究开发费_修理费</v>
          </cell>
          <cell r="E693" t="str">
            <v>Income Statement</v>
          </cell>
          <cell r="F693" t="str">
            <v>Posting</v>
          </cell>
          <cell r="G693" t="str">
            <v>Yes</v>
          </cell>
          <cell r="H693" t="str">
            <v/>
          </cell>
          <cell r="I693">
            <v>7121.48</v>
          </cell>
          <cell r="J693">
            <v>7121.48</v>
          </cell>
          <cell r="K693" t="str">
            <v/>
          </cell>
          <cell r="L693">
            <v>7121.48</v>
          </cell>
          <cell r="M693" t="str">
            <v>651500</v>
          </cell>
        </row>
        <row r="694">
          <cell r="A694" t="str">
            <v>66021605</v>
          </cell>
          <cell r="B694" t="str">
            <v>19/01/01..19/12/31</v>
          </cell>
          <cell r="C694" t="str">
            <v>A&amp;G-R&amp;D exp-Materials</v>
          </cell>
          <cell r="D694" t="str">
            <v>管理费用_研究开发费_物料消耗</v>
          </cell>
          <cell r="E694" t="str">
            <v>Income Statement</v>
          </cell>
          <cell r="F694" t="str">
            <v>Posting</v>
          </cell>
          <cell r="G694" t="str">
            <v>Yes</v>
          </cell>
          <cell r="H694" t="str">
            <v/>
          </cell>
          <cell r="I694">
            <v>1672989.73</v>
          </cell>
          <cell r="J694">
            <v>1381319.92</v>
          </cell>
          <cell r="K694">
            <v>-291669.81</v>
          </cell>
          <cell r="L694">
            <v>1672989.73</v>
          </cell>
          <cell r="M694" t="str">
            <v>651500</v>
          </cell>
        </row>
        <row r="695">
          <cell r="A695" t="str">
            <v>66021606</v>
          </cell>
          <cell r="B695" t="str">
            <v>19/01/01..19/12/31</v>
          </cell>
          <cell r="C695" t="str">
            <v>A&amp;G-R&amp;D exp-Amor.of consum.</v>
          </cell>
          <cell r="D695" t="str">
            <v>管理费用_研究开发费_低值易耗品摊销</v>
          </cell>
          <cell r="E695" t="str">
            <v>Income Statement</v>
          </cell>
          <cell r="F695" t="str">
            <v>Posting</v>
          </cell>
          <cell r="G695" t="str">
            <v>Yes</v>
          </cell>
          <cell r="H695" t="str">
            <v/>
          </cell>
          <cell r="I695">
            <v>546.12</v>
          </cell>
          <cell r="J695">
            <v>546.12</v>
          </cell>
          <cell r="K695" t="str">
            <v/>
          </cell>
          <cell r="L695">
            <v>546.12</v>
          </cell>
          <cell r="M695" t="str">
            <v>651500</v>
          </cell>
        </row>
        <row r="696">
          <cell r="A696" t="str">
            <v>66021607</v>
          </cell>
          <cell r="B696" t="str">
            <v>19/01/01..19/12/31</v>
          </cell>
          <cell r="C696" t="str">
            <v>A&amp;G-R&amp;D exp-Labor Protect</v>
          </cell>
          <cell r="D696" t="str">
            <v>管理费用_研究开发费_劳动保护费</v>
          </cell>
          <cell r="E696" t="str">
            <v>Income Statement</v>
          </cell>
          <cell r="F696" t="str">
            <v>Posting</v>
          </cell>
          <cell r="G696" t="str">
            <v>Yes</v>
          </cell>
          <cell r="H696" t="str">
            <v/>
          </cell>
          <cell r="I696" t="str">
            <v/>
          </cell>
          <cell r="J696" t="str">
            <v/>
          </cell>
          <cell r="K696" t="str">
            <v/>
          </cell>
          <cell r="L696" t="str">
            <v/>
          </cell>
          <cell r="M696" t="str">
            <v>651500</v>
          </cell>
        </row>
        <row r="697">
          <cell r="A697" t="str">
            <v>66021608</v>
          </cell>
          <cell r="B697" t="str">
            <v>19/01/01..19/12/31</v>
          </cell>
          <cell r="C697" t="str">
            <v>A&amp;G-R&amp;D exp-Office Expense</v>
          </cell>
          <cell r="D697" t="str">
            <v>管理费用_研究开发费_办公费</v>
          </cell>
          <cell r="E697" t="str">
            <v>Income Statement</v>
          </cell>
          <cell r="F697" t="str">
            <v>Posting</v>
          </cell>
          <cell r="G697" t="str">
            <v>Yes</v>
          </cell>
          <cell r="H697" t="str">
            <v/>
          </cell>
          <cell r="I697">
            <v>53949.83</v>
          </cell>
          <cell r="J697">
            <v>62214.33</v>
          </cell>
          <cell r="K697">
            <v>8264.5</v>
          </cell>
          <cell r="L697">
            <v>53949.83</v>
          </cell>
          <cell r="M697" t="str">
            <v>651500</v>
          </cell>
        </row>
        <row r="698">
          <cell r="A698" t="str">
            <v>66021609</v>
          </cell>
          <cell r="B698" t="str">
            <v>19/01/01..19/12/31</v>
          </cell>
          <cell r="C698" t="str">
            <v>A&amp;G-R&amp;D exp-Travel Expense</v>
          </cell>
          <cell r="D698" t="str">
            <v>管理费用_研究开发费_差旅费</v>
          </cell>
          <cell r="E698" t="str">
            <v>Income Statement</v>
          </cell>
          <cell r="F698" t="str">
            <v>Posting</v>
          </cell>
          <cell r="G698" t="str">
            <v>Yes</v>
          </cell>
          <cell r="H698" t="str">
            <v/>
          </cell>
          <cell r="I698">
            <v>43602.27</v>
          </cell>
          <cell r="J698">
            <v>43602.27</v>
          </cell>
          <cell r="K698" t="str">
            <v/>
          </cell>
          <cell r="L698">
            <v>43602.27</v>
          </cell>
          <cell r="M698" t="str">
            <v>651500</v>
          </cell>
        </row>
        <row r="699">
          <cell r="A699" t="str">
            <v>66021610</v>
          </cell>
          <cell r="B699" t="str">
            <v>19/01/01..19/12/31</v>
          </cell>
          <cell r="C699" t="str">
            <v>A&amp;G-R&amp;D exp-Communication Fee</v>
          </cell>
          <cell r="D699" t="str">
            <v>管理费用_研究开发费_通讯费</v>
          </cell>
          <cell r="E699" t="str">
            <v>Income Statement</v>
          </cell>
          <cell r="F699" t="str">
            <v>Posting</v>
          </cell>
          <cell r="G699" t="str">
            <v>Yes</v>
          </cell>
          <cell r="H699" t="str">
            <v/>
          </cell>
          <cell r="I699" t="str">
            <v/>
          </cell>
          <cell r="J699" t="str">
            <v/>
          </cell>
          <cell r="K699" t="str">
            <v/>
          </cell>
          <cell r="L699" t="str">
            <v/>
          </cell>
          <cell r="M699" t="str">
            <v>651500</v>
          </cell>
        </row>
        <row r="700">
          <cell r="A700" t="str">
            <v>66021611</v>
          </cell>
          <cell r="B700" t="str">
            <v>19/01/01..19/12/31</v>
          </cell>
          <cell r="C700" t="str">
            <v>A&amp;G-R&amp;D exp-Consultant Fee</v>
          </cell>
          <cell r="D700" t="str">
            <v>管理费用_研究开发费_咨询费</v>
          </cell>
          <cell r="E700" t="str">
            <v>Income Statement</v>
          </cell>
          <cell r="F700" t="str">
            <v>Posting</v>
          </cell>
          <cell r="G700" t="str">
            <v>Yes</v>
          </cell>
          <cell r="H700" t="str">
            <v/>
          </cell>
          <cell r="I700" t="str">
            <v/>
          </cell>
          <cell r="J700" t="str">
            <v/>
          </cell>
          <cell r="K700" t="str">
            <v/>
          </cell>
          <cell r="L700" t="str">
            <v/>
          </cell>
          <cell r="M700" t="str">
            <v>651500</v>
          </cell>
        </row>
        <row r="701">
          <cell r="A701" t="str">
            <v>66021612</v>
          </cell>
          <cell r="B701" t="str">
            <v>19/01/01..19/12/31</v>
          </cell>
          <cell r="C701" t="str">
            <v>A&amp;G-R&amp;D exp-Local Trans.Fee</v>
          </cell>
          <cell r="D701" t="str">
            <v>管理费用_研究开发费_市内交通费</v>
          </cell>
          <cell r="E701" t="str">
            <v>Income Statement</v>
          </cell>
          <cell r="F701" t="str">
            <v>Posting</v>
          </cell>
          <cell r="G701" t="str">
            <v>Yes</v>
          </cell>
          <cell r="H701" t="str">
            <v/>
          </cell>
          <cell r="I701">
            <v>13220.22</v>
          </cell>
          <cell r="J701">
            <v>13220.22</v>
          </cell>
          <cell r="K701" t="str">
            <v/>
          </cell>
          <cell r="L701">
            <v>13220.22</v>
          </cell>
          <cell r="M701" t="str">
            <v>651500</v>
          </cell>
        </row>
        <row r="702">
          <cell r="A702" t="str">
            <v>66021613</v>
          </cell>
          <cell r="B702" t="str">
            <v>19/01/01..19/12/31</v>
          </cell>
          <cell r="C702" t="str">
            <v>A&amp;G-R&amp;D exp-MP</v>
          </cell>
          <cell r="D702" t="str">
            <v>管理费用_研究开发费_手机通讯费</v>
          </cell>
          <cell r="E702" t="str">
            <v>Income Statement</v>
          </cell>
          <cell r="F702" t="str">
            <v>Posting</v>
          </cell>
          <cell r="G702" t="str">
            <v>Yes</v>
          </cell>
          <cell r="H702" t="str">
            <v/>
          </cell>
          <cell r="I702">
            <v>27230.31</v>
          </cell>
          <cell r="J702">
            <v>27230.31</v>
          </cell>
          <cell r="K702" t="str">
            <v/>
          </cell>
          <cell r="L702">
            <v>27230.31</v>
          </cell>
          <cell r="M702" t="str">
            <v>651500</v>
          </cell>
        </row>
        <row r="703">
          <cell r="A703" t="str">
            <v>66021614</v>
          </cell>
          <cell r="B703" t="str">
            <v>19/01/01..19/12/31</v>
          </cell>
          <cell r="C703" t="str">
            <v>A&amp;G-R&amp;D exp-Entertainment fee</v>
          </cell>
          <cell r="D703" t="str">
            <v>管理费用_研究开发费_业务招待费</v>
          </cell>
          <cell r="E703" t="str">
            <v>Income Statement</v>
          </cell>
          <cell r="F703" t="str">
            <v>Posting</v>
          </cell>
          <cell r="G703" t="str">
            <v>Yes</v>
          </cell>
          <cell r="H703" t="str">
            <v/>
          </cell>
          <cell r="I703">
            <v>2587</v>
          </cell>
          <cell r="J703">
            <v>2587</v>
          </cell>
          <cell r="K703" t="str">
            <v/>
          </cell>
          <cell r="L703">
            <v>2587</v>
          </cell>
          <cell r="M703" t="str">
            <v>651500</v>
          </cell>
        </row>
        <row r="704">
          <cell r="A704" t="str">
            <v>66021615</v>
          </cell>
          <cell r="B704" t="str">
            <v>19/01/01..19/12/31</v>
          </cell>
          <cell r="C704" t="str">
            <v>A&amp;G-R&amp;D exp-Express fee</v>
          </cell>
          <cell r="D704" t="str">
            <v>管理费用_研究开发费_快递费</v>
          </cell>
          <cell r="E704" t="str">
            <v>Income Statement</v>
          </cell>
          <cell r="F704" t="str">
            <v>Posting</v>
          </cell>
          <cell r="G704" t="str">
            <v>Yes</v>
          </cell>
          <cell r="H704" t="str">
            <v/>
          </cell>
          <cell r="I704">
            <v>38394.94</v>
          </cell>
          <cell r="J704">
            <v>38394.94</v>
          </cell>
          <cell r="K704" t="str">
            <v/>
          </cell>
          <cell r="L704">
            <v>38394.94</v>
          </cell>
          <cell r="M704" t="str">
            <v>651500</v>
          </cell>
        </row>
        <row r="705">
          <cell r="A705" t="str">
            <v>66021616</v>
          </cell>
          <cell r="B705" t="str">
            <v>19/01/01..19/12/31</v>
          </cell>
          <cell r="C705" t="str">
            <v>A&amp;G-R&amp;D exp-Certification fee</v>
          </cell>
          <cell r="D705" t="str">
            <v>管理费用_研究开发费_认证费</v>
          </cell>
          <cell r="E705" t="str">
            <v>Income Statement</v>
          </cell>
          <cell r="F705" t="str">
            <v>Posting</v>
          </cell>
          <cell r="G705" t="str">
            <v>Yes</v>
          </cell>
          <cell r="H705" t="str">
            <v/>
          </cell>
          <cell r="I705">
            <v>10982.09</v>
          </cell>
          <cell r="J705">
            <v>10982.09</v>
          </cell>
          <cell r="K705" t="str">
            <v/>
          </cell>
          <cell r="L705">
            <v>10982.09</v>
          </cell>
          <cell r="M705" t="str">
            <v>651500</v>
          </cell>
        </row>
        <row r="706">
          <cell r="A706" t="str">
            <v>66021617</v>
          </cell>
          <cell r="B706" t="str">
            <v>19/01/01..19/12/31</v>
          </cell>
          <cell r="C706" t="str">
            <v>A&amp;G-R&amp;D exp-Welfare</v>
          </cell>
          <cell r="D706" t="str">
            <v>管理费用_研究开发费_福利费</v>
          </cell>
          <cell r="E706" t="str">
            <v>Income Statement</v>
          </cell>
          <cell r="F706" t="str">
            <v>Posting</v>
          </cell>
          <cell r="G706" t="str">
            <v>Yes</v>
          </cell>
          <cell r="H706" t="str">
            <v/>
          </cell>
          <cell r="I706" t="str">
            <v/>
          </cell>
          <cell r="J706" t="str">
            <v/>
          </cell>
          <cell r="K706" t="str">
            <v/>
          </cell>
          <cell r="L706" t="str">
            <v/>
          </cell>
          <cell r="M706" t="str">
            <v>651500</v>
          </cell>
        </row>
        <row r="707">
          <cell r="A707" t="str">
            <v>66021618</v>
          </cell>
          <cell r="B707" t="str">
            <v>19/01/01..19/12/31</v>
          </cell>
          <cell r="C707" t="str">
            <v>A&amp;G-R&amp;D exp-Salary-Basic Salary</v>
          </cell>
          <cell r="D707" t="str">
            <v>管理费用-研究开发费-工资-基本工资</v>
          </cell>
          <cell r="E707" t="str">
            <v>Income Statement</v>
          </cell>
          <cell r="F707" t="str">
            <v>Posting</v>
          </cell>
          <cell r="G707" t="str">
            <v>Yes</v>
          </cell>
          <cell r="H707" t="str">
            <v/>
          </cell>
          <cell r="I707">
            <v>2554446.27</v>
          </cell>
          <cell r="J707">
            <v>2650529.16</v>
          </cell>
          <cell r="K707">
            <v>96082.89</v>
          </cell>
          <cell r="L707">
            <v>2554446.27</v>
          </cell>
          <cell r="M707" t="str">
            <v>651500</v>
          </cell>
        </row>
        <row r="708">
          <cell r="A708" t="str">
            <v>66021619</v>
          </cell>
          <cell r="B708" t="str">
            <v>19/01/01..19/12/31</v>
          </cell>
          <cell r="C708" t="str">
            <v>A&amp;G-R&amp;D exp-Salary-OT</v>
          </cell>
          <cell r="D708" t="str">
            <v>管理费用-研究开发费-工资-加班工资</v>
          </cell>
          <cell r="E708" t="str">
            <v>Income Statement</v>
          </cell>
          <cell r="F708" t="str">
            <v>Posting</v>
          </cell>
          <cell r="G708" t="str">
            <v>Yes</v>
          </cell>
          <cell r="H708" t="str">
            <v/>
          </cell>
          <cell r="I708">
            <v>2056.6799999999998</v>
          </cell>
          <cell r="J708">
            <v>2056.6799999999998</v>
          </cell>
          <cell r="K708" t="str">
            <v/>
          </cell>
          <cell r="L708">
            <v>2056.6799999999998</v>
          </cell>
          <cell r="M708" t="str">
            <v>651500</v>
          </cell>
        </row>
        <row r="709">
          <cell r="A709" t="str">
            <v>66021620</v>
          </cell>
          <cell r="B709" t="str">
            <v>19/01/01..19/12/31</v>
          </cell>
          <cell r="C709" t="str">
            <v>A&amp;G-R&amp;D exp-Salary-13th Salary</v>
          </cell>
          <cell r="D709" t="str">
            <v>管理费用-研究开发费-工资-13薪</v>
          </cell>
          <cell r="E709" t="str">
            <v>Income Statement</v>
          </cell>
          <cell r="F709" t="str">
            <v>Posting</v>
          </cell>
          <cell r="G709" t="str">
            <v>Yes</v>
          </cell>
          <cell r="H709" t="str">
            <v/>
          </cell>
          <cell r="I709">
            <v>196762.3</v>
          </cell>
          <cell r="J709">
            <v>201560.47</v>
          </cell>
          <cell r="K709">
            <v>4798.17</v>
          </cell>
          <cell r="L709">
            <v>196762.3</v>
          </cell>
          <cell r="M709" t="str">
            <v>651500</v>
          </cell>
        </row>
        <row r="710">
          <cell r="A710" t="str">
            <v>66021621</v>
          </cell>
          <cell r="B710" t="str">
            <v>19/01/01..19/12/31</v>
          </cell>
          <cell r="C710" t="str">
            <v>A&amp;G-R&amp;D exp-Salary-Bonus</v>
          </cell>
          <cell r="D710" t="str">
            <v>管理费用-研究开发费-工资-奖金</v>
          </cell>
          <cell r="E710" t="str">
            <v>Income Statement</v>
          </cell>
          <cell r="F710" t="str">
            <v>Posting</v>
          </cell>
          <cell r="G710" t="str">
            <v>Yes</v>
          </cell>
          <cell r="H710" t="str">
            <v/>
          </cell>
          <cell r="I710">
            <v>546098.77</v>
          </cell>
          <cell r="J710">
            <v>815928.59</v>
          </cell>
          <cell r="K710">
            <v>269829.82</v>
          </cell>
          <cell r="L710">
            <v>546098.77</v>
          </cell>
          <cell r="M710" t="str">
            <v>651500</v>
          </cell>
        </row>
        <row r="711">
          <cell r="A711" t="str">
            <v>66021622</v>
          </cell>
          <cell r="B711" t="str">
            <v>19/01/01..19/12/31</v>
          </cell>
          <cell r="C711" t="str">
            <v>A&amp;G-R&amp;D exp-Salary-Housing Allowance</v>
          </cell>
          <cell r="D711" t="str">
            <v>管理费用-研究开发费-工资-房贴</v>
          </cell>
          <cell r="E711" t="str">
            <v>Income Statement</v>
          </cell>
          <cell r="F711" t="str">
            <v>Posting</v>
          </cell>
          <cell r="G711" t="str">
            <v>Yes</v>
          </cell>
          <cell r="H711" t="str">
            <v/>
          </cell>
          <cell r="I711">
            <v>122523</v>
          </cell>
          <cell r="J711">
            <v>126766.7</v>
          </cell>
          <cell r="K711">
            <v>4243.7</v>
          </cell>
          <cell r="L711">
            <v>122523</v>
          </cell>
          <cell r="M711" t="str">
            <v>651500</v>
          </cell>
        </row>
        <row r="712">
          <cell r="A712" t="str">
            <v>66021623</v>
          </cell>
          <cell r="B712" t="str">
            <v>19/01/01..19/12/31</v>
          </cell>
          <cell r="C712" t="str">
            <v>A&amp;G-R&amp;D exp-Salary-Severance Pay</v>
          </cell>
          <cell r="D712" t="str">
            <v>管理费用-研究开发费-工资-离职补偿金</v>
          </cell>
          <cell r="E712" t="str">
            <v>Income Statement</v>
          </cell>
          <cell r="F712" t="str">
            <v>Posting</v>
          </cell>
          <cell r="G712" t="str">
            <v>Yes</v>
          </cell>
          <cell r="H712" t="str">
            <v/>
          </cell>
          <cell r="I712" t="str">
            <v/>
          </cell>
          <cell r="J712" t="str">
            <v/>
          </cell>
          <cell r="K712" t="str">
            <v/>
          </cell>
          <cell r="L712" t="str">
            <v/>
          </cell>
          <cell r="M712" t="str">
            <v>651500</v>
          </cell>
        </row>
        <row r="713">
          <cell r="A713" t="str">
            <v>66021624</v>
          </cell>
          <cell r="B713" t="str">
            <v>19/01/01..19/12/31</v>
          </cell>
          <cell r="C713" t="str">
            <v>A&amp;G-R&amp;D exp-Social Welfare-Pension Benefit</v>
          </cell>
          <cell r="D713" t="str">
            <v>管理费用-研究开发费-社保-养老保险</v>
          </cell>
          <cell r="E713" t="str">
            <v>Income Statement</v>
          </cell>
          <cell r="F713" t="str">
            <v>Posting</v>
          </cell>
          <cell r="G713" t="str">
            <v>Yes</v>
          </cell>
          <cell r="H713" t="str">
            <v/>
          </cell>
          <cell r="I713">
            <v>343048.32</v>
          </cell>
          <cell r="J713">
            <v>343048.32</v>
          </cell>
          <cell r="K713" t="str">
            <v/>
          </cell>
          <cell r="L713">
            <v>343048.32</v>
          </cell>
          <cell r="M713" t="str">
            <v>651500</v>
          </cell>
        </row>
        <row r="714">
          <cell r="A714" t="str">
            <v>66021625</v>
          </cell>
          <cell r="B714" t="str">
            <v>19/01/01..19/12/31</v>
          </cell>
          <cell r="C714" t="str">
            <v>A&amp;G-R&amp;D exp-Social Welfare-Medical Insurance</v>
          </cell>
          <cell r="D714" t="str">
            <v>管理费用-研究开发费-社保-医疗保险</v>
          </cell>
          <cell r="E714" t="str">
            <v>Income Statement</v>
          </cell>
          <cell r="F714" t="str">
            <v>Posting</v>
          </cell>
          <cell r="G714" t="str">
            <v>Yes</v>
          </cell>
          <cell r="H714" t="str">
            <v/>
          </cell>
          <cell r="I714">
            <v>176823.38</v>
          </cell>
          <cell r="J714">
            <v>176823.38</v>
          </cell>
          <cell r="K714" t="str">
            <v/>
          </cell>
          <cell r="L714">
            <v>176823.38</v>
          </cell>
          <cell r="M714" t="str">
            <v>651500</v>
          </cell>
        </row>
        <row r="715">
          <cell r="A715" t="str">
            <v>66021626</v>
          </cell>
          <cell r="B715" t="str">
            <v>19/01/01..19/12/31</v>
          </cell>
          <cell r="C715" t="str">
            <v>A&amp;G-R&amp;D exp-Social Welfare-Maternity Insurance</v>
          </cell>
          <cell r="D715" t="str">
            <v>管理费用-研究开发费-社保-生育保险</v>
          </cell>
          <cell r="E715" t="str">
            <v>Income Statement</v>
          </cell>
          <cell r="F715" t="str">
            <v>Posting</v>
          </cell>
          <cell r="G715" t="str">
            <v>Yes</v>
          </cell>
          <cell r="H715" t="str">
            <v/>
          </cell>
          <cell r="I715">
            <v>17387.150000000001</v>
          </cell>
          <cell r="J715">
            <v>17387.150000000001</v>
          </cell>
          <cell r="K715" t="str">
            <v/>
          </cell>
          <cell r="L715">
            <v>17387.150000000001</v>
          </cell>
          <cell r="M715" t="str">
            <v>651500</v>
          </cell>
        </row>
        <row r="716">
          <cell r="A716" t="str">
            <v>66021627</v>
          </cell>
          <cell r="B716" t="str">
            <v>19/01/01..19/12/31</v>
          </cell>
          <cell r="C716" t="str">
            <v>A&amp;G-R&amp;D exp-Social Welfare-Life, Accident</v>
          </cell>
          <cell r="D716" t="str">
            <v>管理费用-研究开发费-社保-工伤保险</v>
          </cell>
          <cell r="E716" t="str">
            <v>Income Statement</v>
          </cell>
          <cell r="F716" t="str">
            <v>Posting</v>
          </cell>
          <cell r="G716" t="str">
            <v>Yes</v>
          </cell>
          <cell r="H716" t="str">
            <v/>
          </cell>
          <cell r="I716">
            <v>6011.99</v>
          </cell>
          <cell r="J716">
            <v>6011.99</v>
          </cell>
          <cell r="K716" t="str">
            <v/>
          </cell>
          <cell r="L716">
            <v>6011.99</v>
          </cell>
          <cell r="M716" t="str">
            <v>651500</v>
          </cell>
        </row>
        <row r="717">
          <cell r="A717" t="str">
            <v>66021628</v>
          </cell>
          <cell r="B717" t="str">
            <v>19/01/01..19/12/31</v>
          </cell>
          <cell r="C717" t="str">
            <v>A&amp;G-R&amp;D exp-Social Welfare-Unemployment</v>
          </cell>
          <cell r="D717" t="str">
            <v>管理费用-研究开发费-社保-失业保险</v>
          </cell>
          <cell r="E717" t="str">
            <v>Income Statement</v>
          </cell>
          <cell r="F717" t="str">
            <v>Posting</v>
          </cell>
          <cell r="G717" t="str">
            <v>Yes</v>
          </cell>
          <cell r="H717" t="str">
            <v/>
          </cell>
          <cell r="I717">
            <v>10016.299999999999</v>
          </cell>
          <cell r="J717">
            <v>10016.299999999999</v>
          </cell>
          <cell r="K717" t="str">
            <v/>
          </cell>
          <cell r="L717">
            <v>10016.299999999999</v>
          </cell>
          <cell r="M717" t="str">
            <v>651500</v>
          </cell>
        </row>
        <row r="718">
          <cell r="A718" t="str">
            <v>66021629</v>
          </cell>
          <cell r="B718" t="str">
            <v>19/01/01..19/12/31</v>
          </cell>
          <cell r="C718" t="str">
            <v>A&amp;G-R&amp;D exp-Social Welfare-Housing Fund</v>
          </cell>
          <cell r="D718" t="str">
            <v>管理费用-研究开发费-社保-公积金</v>
          </cell>
          <cell r="E718" t="str">
            <v>Income Statement</v>
          </cell>
          <cell r="F718" t="str">
            <v>Posting</v>
          </cell>
          <cell r="G718" t="str">
            <v>Yes</v>
          </cell>
          <cell r="H718" t="str">
            <v/>
          </cell>
          <cell r="I718">
            <v>160189</v>
          </cell>
          <cell r="J718">
            <v>160189</v>
          </cell>
          <cell r="K718" t="str">
            <v/>
          </cell>
          <cell r="L718">
            <v>160189</v>
          </cell>
          <cell r="M718" t="str">
            <v>651500</v>
          </cell>
        </row>
        <row r="719">
          <cell r="A719" t="str">
            <v>66021680</v>
          </cell>
          <cell r="B719" t="str">
            <v>19/01/01..19/12/31</v>
          </cell>
          <cell r="C719" t="str">
            <v>A&amp;G-R&amp;D exp-Group refund</v>
          </cell>
          <cell r="D719" t="str">
            <v>管理费用_研究开发费_集团返还</v>
          </cell>
          <cell r="E719" t="str">
            <v>Income Statement</v>
          </cell>
          <cell r="F719" t="str">
            <v>Posting</v>
          </cell>
          <cell r="G719" t="str">
            <v>Yes</v>
          </cell>
          <cell r="H719" t="str">
            <v/>
          </cell>
          <cell r="I719">
            <v>222571.94</v>
          </cell>
          <cell r="J719">
            <v>449905.46</v>
          </cell>
          <cell r="K719">
            <v>227333.52</v>
          </cell>
          <cell r="L719">
            <v>222571.94</v>
          </cell>
          <cell r="M719" t="str">
            <v>651400</v>
          </cell>
        </row>
        <row r="720">
          <cell r="A720" t="str">
            <v>66021690</v>
          </cell>
          <cell r="B720" t="str">
            <v>19/01/01..19/12/31</v>
          </cell>
          <cell r="C720" t="str">
            <v>A&amp;G-R&amp;D exp-Others</v>
          </cell>
          <cell r="D720" t="str">
            <v>管理费用_研究开发费_其他</v>
          </cell>
          <cell r="E720" t="str">
            <v>Income Statement</v>
          </cell>
          <cell r="F720" t="str">
            <v>Posting</v>
          </cell>
          <cell r="G720" t="str">
            <v>Yes</v>
          </cell>
          <cell r="H720" t="str">
            <v/>
          </cell>
          <cell r="I720">
            <v>265.44</v>
          </cell>
          <cell r="J720">
            <v>265.44</v>
          </cell>
          <cell r="K720" t="str">
            <v/>
          </cell>
          <cell r="L720">
            <v>265.44</v>
          </cell>
          <cell r="M720" t="str">
            <v>651500</v>
          </cell>
        </row>
        <row r="721">
          <cell r="A721" t="str">
            <v>66021699</v>
          </cell>
          <cell r="B721" t="str">
            <v>19/01/01..19/12/31</v>
          </cell>
          <cell r="C721" t="str">
            <v>A&amp;G-R&amp;D exp-Total</v>
          </cell>
          <cell r="D721" t="str">
            <v>管理费用-研究开发费-合计</v>
          </cell>
          <cell r="E721" t="str">
            <v>Income Statement</v>
          </cell>
          <cell r="F721" t="str">
            <v>End-Total</v>
          </cell>
          <cell r="G721" t="str">
            <v>No</v>
          </cell>
          <cell r="H721" t="str">
            <v>66021600..66021699</v>
          </cell>
          <cell r="I721">
            <v>6428952.5899999999</v>
          </cell>
          <cell r="J721">
            <v>6747835.3799999999</v>
          </cell>
          <cell r="K721">
            <v>318882.78999999998</v>
          </cell>
          <cell r="L721">
            <v>6428952.5899999999</v>
          </cell>
          <cell r="M721" t="str">
            <v/>
          </cell>
        </row>
        <row r="722">
          <cell r="A722" t="str">
            <v>66021700</v>
          </cell>
          <cell r="B722" t="str">
            <v>19/01/01..19/12/31</v>
          </cell>
          <cell r="C722" t="str">
            <v>A&amp;G-Expatriates</v>
          </cell>
          <cell r="D722" t="str">
            <v>管理费用_高级管理费用</v>
          </cell>
          <cell r="E722" t="str">
            <v>Income Statement</v>
          </cell>
          <cell r="F722" t="str">
            <v>Begin-Total</v>
          </cell>
          <cell r="G722" t="str">
            <v>No</v>
          </cell>
          <cell r="H722" t="str">
            <v/>
          </cell>
          <cell r="I722" t="str">
            <v/>
          </cell>
          <cell r="J722" t="str">
            <v/>
          </cell>
          <cell r="K722" t="str">
            <v/>
          </cell>
          <cell r="L722" t="str">
            <v/>
          </cell>
          <cell r="M722" t="str">
            <v/>
          </cell>
        </row>
        <row r="723">
          <cell r="A723" t="str">
            <v>66021701</v>
          </cell>
          <cell r="B723" t="str">
            <v>19/01/01..19/12/31</v>
          </cell>
          <cell r="C723" t="str">
            <v>A&amp;G-Expatriates-house rental</v>
          </cell>
          <cell r="D723" t="str">
            <v>管理费用_高级管理费用_房屋租赁</v>
          </cell>
          <cell r="E723" t="str">
            <v>Income Statement</v>
          </cell>
          <cell r="F723" t="str">
            <v>Posting</v>
          </cell>
          <cell r="G723" t="str">
            <v>Yes</v>
          </cell>
          <cell r="H723" t="str">
            <v/>
          </cell>
          <cell r="I723" t="str">
            <v/>
          </cell>
          <cell r="J723" t="str">
            <v/>
          </cell>
          <cell r="K723" t="str">
            <v/>
          </cell>
          <cell r="L723" t="str">
            <v/>
          </cell>
          <cell r="M723" t="str">
            <v>620200</v>
          </cell>
        </row>
        <row r="724">
          <cell r="A724" t="str">
            <v>66021702</v>
          </cell>
          <cell r="B724" t="str">
            <v>19/01/01..19/12/31</v>
          </cell>
          <cell r="C724" t="str">
            <v>A&amp;G-Expatriates-Car rental</v>
          </cell>
          <cell r="D724" t="str">
            <v>管理费用_高级管理费用_车辆租赁</v>
          </cell>
          <cell r="E724" t="str">
            <v>Income Statement</v>
          </cell>
          <cell r="F724" t="str">
            <v>Posting</v>
          </cell>
          <cell r="G724" t="str">
            <v>Yes</v>
          </cell>
          <cell r="H724" t="str">
            <v/>
          </cell>
          <cell r="I724" t="str">
            <v/>
          </cell>
          <cell r="J724" t="str">
            <v/>
          </cell>
          <cell r="K724" t="str">
            <v/>
          </cell>
          <cell r="L724" t="str">
            <v/>
          </cell>
          <cell r="M724" t="str">
            <v>620200</v>
          </cell>
        </row>
        <row r="725">
          <cell r="A725" t="str">
            <v>66021703</v>
          </cell>
          <cell r="B725" t="str">
            <v>19/01/01..19/12/31</v>
          </cell>
          <cell r="C725" t="str">
            <v>A&amp;G-Expatriates-Child Edu. fee</v>
          </cell>
          <cell r="D725" t="str">
            <v>管理费用_高级管理费用_子女教育费</v>
          </cell>
          <cell r="E725" t="str">
            <v>Income Statement</v>
          </cell>
          <cell r="F725" t="str">
            <v>Posting</v>
          </cell>
          <cell r="G725" t="str">
            <v>Yes</v>
          </cell>
          <cell r="H725" t="str">
            <v/>
          </cell>
          <cell r="I725" t="str">
            <v/>
          </cell>
          <cell r="J725" t="str">
            <v/>
          </cell>
          <cell r="K725" t="str">
            <v/>
          </cell>
          <cell r="L725" t="str">
            <v/>
          </cell>
          <cell r="M725" t="str">
            <v>620200</v>
          </cell>
        </row>
        <row r="726">
          <cell r="A726" t="str">
            <v>66021704</v>
          </cell>
          <cell r="B726" t="str">
            <v>19/01/01..19/12/31</v>
          </cell>
          <cell r="C726" t="str">
            <v>A&amp;G-Expatriates-Others</v>
          </cell>
          <cell r="D726" t="str">
            <v>管理费用_高级管理费用_其他</v>
          </cell>
          <cell r="E726" t="str">
            <v>Income Statement</v>
          </cell>
          <cell r="F726" t="str">
            <v>Posting</v>
          </cell>
          <cell r="G726" t="str">
            <v>Yes</v>
          </cell>
          <cell r="H726" t="str">
            <v/>
          </cell>
          <cell r="I726" t="str">
            <v/>
          </cell>
          <cell r="J726" t="str">
            <v/>
          </cell>
          <cell r="K726" t="str">
            <v/>
          </cell>
          <cell r="L726" t="str">
            <v/>
          </cell>
          <cell r="M726" t="str">
            <v>620200</v>
          </cell>
        </row>
        <row r="727">
          <cell r="A727" t="str">
            <v>66021799</v>
          </cell>
          <cell r="B727" t="str">
            <v>19/01/01..19/12/31</v>
          </cell>
          <cell r="C727" t="str">
            <v>A&amp;G-Management-Total</v>
          </cell>
          <cell r="D727" t="str">
            <v>管理费用_高级管理费用-合计</v>
          </cell>
          <cell r="E727" t="str">
            <v>Income Statement</v>
          </cell>
          <cell r="F727" t="str">
            <v>End-Total</v>
          </cell>
          <cell r="G727" t="str">
            <v>No</v>
          </cell>
          <cell r="H727" t="str">
            <v>66021700..66021799</v>
          </cell>
          <cell r="I727" t="str">
            <v/>
          </cell>
          <cell r="J727" t="str">
            <v/>
          </cell>
          <cell r="K727" t="str">
            <v/>
          </cell>
          <cell r="L727" t="str">
            <v/>
          </cell>
          <cell r="M727" t="str">
            <v/>
          </cell>
        </row>
        <row r="728">
          <cell r="A728" t="str">
            <v>66021800</v>
          </cell>
          <cell r="B728" t="str">
            <v>19/01/01..19/12/31</v>
          </cell>
          <cell r="C728" t="str">
            <v>A&amp;G-Union Fee</v>
          </cell>
          <cell r="D728" t="str">
            <v>管理费用_工会会费</v>
          </cell>
          <cell r="E728" t="str">
            <v>Income Statement</v>
          </cell>
          <cell r="F728" t="str">
            <v>Posting</v>
          </cell>
          <cell r="G728" t="str">
            <v>Yes</v>
          </cell>
          <cell r="H728" t="str">
            <v/>
          </cell>
          <cell r="I728">
            <v>839873.46</v>
          </cell>
          <cell r="J728">
            <v>884727.67</v>
          </cell>
          <cell r="K728">
            <v>44854.21</v>
          </cell>
          <cell r="L728">
            <v>839873.46</v>
          </cell>
          <cell r="M728" t="str">
            <v>620200</v>
          </cell>
        </row>
        <row r="729">
          <cell r="A729" t="str">
            <v>66021900</v>
          </cell>
          <cell r="B729" t="str">
            <v>19/01/01..19/12/31</v>
          </cell>
          <cell r="C729" t="str">
            <v>A&amp;G-Management Fee</v>
          </cell>
          <cell r="D729" t="str">
            <v>管理费用_中方管理费</v>
          </cell>
          <cell r="E729" t="str">
            <v>Income Statement</v>
          </cell>
          <cell r="F729" t="str">
            <v>Posting</v>
          </cell>
          <cell r="G729" t="str">
            <v>Yes</v>
          </cell>
          <cell r="H729" t="str">
            <v/>
          </cell>
          <cell r="I729" t="str">
            <v/>
          </cell>
          <cell r="J729" t="str">
            <v/>
          </cell>
          <cell r="K729" t="str">
            <v/>
          </cell>
          <cell r="L729" t="str">
            <v/>
          </cell>
          <cell r="M729" t="str">
            <v>620200</v>
          </cell>
        </row>
        <row r="730">
          <cell r="A730" t="str">
            <v>66022000</v>
          </cell>
          <cell r="B730" t="str">
            <v>19/01/01..19/12/31</v>
          </cell>
          <cell r="C730" t="str">
            <v>A&amp;G-Inventory Reserve</v>
          </cell>
          <cell r="D730" t="str">
            <v>管理费用_存货跌价准备</v>
          </cell>
          <cell r="E730" t="str">
            <v>Income Statement</v>
          </cell>
          <cell r="F730" t="str">
            <v>Posting</v>
          </cell>
          <cell r="G730" t="str">
            <v>Yes</v>
          </cell>
          <cell r="H730" t="str">
            <v/>
          </cell>
          <cell r="I730">
            <v>13624565.439999999</v>
          </cell>
          <cell r="J730">
            <v>13624565.439999999</v>
          </cell>
          <cell r="K730" t="str">
            <v/>
          </cell>
          <cell r="L730">
            <v>13624565.439999999</v>
          </cell>
          <cell r="M730" t="str">
            <v>683000</v>
          </cell>
        </row>
        <row r="731">
          <cell r="A731" t="str">
            <v>66022100</v>
          </cell>
          <cell r="B731" t="str">
            <v>19/01/01..19/12/31</v>
          </cell>
          <cell r="C731" t="str">
            <v>A&amp;G-Bad Debts</v>
          </cell>
          <cell r="D731" t="str">
            <v>管理费用_坏账准备</v>
          </cell>
          <cell r="E731" t="str">
            <v>Income Statement</v>
          </cell>
          <cell r="F731" t="str">
            <v>Posting</v>
          </cell>
          <cell r="G731" t="str">
            <v>Yes</v>
          </cell>
          <cell r="H731" t="str">
            <v/>
          </cell>
          <cell r="I731">
            <v>559906.79</v>
          </cell>
          <cell r="J731">
            <v>1075395.43</v>
          </cell>
          <cell r="K731">
            <v>515488.64</v>
          </cell>
          <cell r="L731">
            <v>559906.79</v>
          </cell>
          <cell r="M731" t="str">
            <v>684100</v>
          </cell>
        </row>
        <row r="732">
          <cell r="A732" t="str">
            <v>66022200</v>
          </cell>
          <cell r="B732" t="str">
            <v>19/01/01..19/12/31</v>
          </cell>
          <cell r="C732" t="str">
            <v>A&amp;G-Start-up cost</v>
          </cell>
          <cell r="D732" t="str">
            <v>管理费用_开办费</v>
          </cell>
          <cell r="E732" t="str">
            <v>Income Statement</v>
          </cell>
          <cell r="F732" t="str">
            <v>Begin-Total</v>
          </cell>
          <cell r="G732" t="str">
            <v>No</v>
          </cell>
          <cell r="H732" t="str">
            <v/>
          </cell>
          <cell r="I732" t="str">
            <v/>
          </cell>
          <cell r="J732" t="str">
            <v/>
          </cell>
          <cell r="K732" t="str">
            <v/>
          </cell>
          <cell r="L732" t="str">
            <v/>
          </cell>
          <cell r="M732" t="str">
            <v/>
          </cell>
        </row>
        <row r="733">
          <cell r="A733" t="str">
            <v>66022201</v>
          </cell>
          <cell r="B733" t="str">
            <v>19/01/01..19/12/31</v>
          </cell>
          <cell r="C733" t="str">
            <v>A&amp;G-Start-up cost-Salary</v>
          </cell>
          <cell r="D733" t="str">
            <v>管理费用_开办费_工资</v>
          </cell>
          <cell r="E733" t="str">
            <v>Income Statement</v>
          </cell>
          <cell r="F733" t="str">
            <v>Posting</v>
          </cell>
          <cell r="G733" t="str">
            <v>Yes</v>
          </cell>
          <cell r="H733" t="str">
            <v/>
          </cell>
          <cell r="I733" t="str">
            <v/>
          </cell>
          <cell r="J733" t="str">
            <v/>
          </cell>
          <cell r="K733" t="str">
            <v/>
          </cell>
          <cell r="L733" t="str">
            <v/>
          </cell>
          <cell r="M733" t="str">
            <v>610400</v>
          </cell>
        </row>
        <row r="734">
          <cell r="A734" t="str">
            <v>66022202</v>
          </cell>
          <cell r="B734" t="str">
            <v>19/01/01..19/12/31</v>
          </cell>
          <cell r="C734" t="str">
            <v>A&amp;G-Start-up cost-Social Welf.</v>
          </cell>
          <cell r="D734" t="str">
            <v>管理费用_开办费_四金</v>
          </cell>
          <cell r="E734" t="str">
            <v>Income Statement</v>
          </cell>
          <cell r="F734" t="str">
            <v>Posting</v>
          </cell>
          <cell r="G734" t="str">
            <v>Yes</v>
          </cell>
          <cell r="H734" t="str">
            <v/>
          </cell>
          <cell r="I734" t="str">
            <v/>
          </cell>
          <cell r="J734" t="str">
            <v/>
          </cell>
          <cell r="K734" t="str">
            <v/>
          </cell>
          <cell r="L734" t="str">
            <v/>
          </cell>
          <cell r="M734" t="str">
            <v>610400</v>
          </cell>
        </row>
        <row r="735">
          <cell r="A735" t="str">
            <v>66022203</v>
          </cell>
          <cell r="B735" t="str">
            <v>19/01/01..19/12/31</v>
          </cell>
          <cell r="C735" t="str">
            <v>A&amp;G-Start-up cost-Welfare</v>
          </cell>
          <cell r="D735" t="str">
            <v>管理费用_开办费_福利费</v>
          </cell>
          <cell r="E735" t="str">
            <v>Income Statement</v>
          </cell>
          <cell r="F735" t="str">
            <v>Posting</v>
          </cell>
          <cell r="G735" t="str">
            <v>Yes</v>
          </cell>
          <cell r="H735" t="str">
            <v/>
          </cell>
          <cell r="I735" t="str">
            <v/>
          </cell>
          <cell r="J735" t="str">
            <v/>
          </cell>
          <cell r="K735" t="str">
            <v/>
          </cell>
          <cell r="L735" t="str">
            <v/>
          </cell>
          <cell r="M735" t="str">
            <v>610400</v>
          </cell>
        </row>
        <row r="736">
          <cell r="A736" t="str">
            <v>66022204</v>
          </cell>
          <cell r="B736" t="str">
            <v>19/01/01..19/12/31</v>
          </cell>
          <cell r="C736" t="str">
            <v>A&amp;G-Start-up cost-Maintenance</v>
          </cell>
          <cell r="D736" t="str">
            <v>管理费用_开办费_修理费</v>
          </cell>
          <cell r="E736" t="str">
            <v>Income Statement</v>
          </cell>
          <cell r="F736" t="str">
            <v>Posting</v>
          </cell>
          <cell r="G736" t="str">
            <v>Yes</v>
          </cell>
          <cell r="H736" t="str">
            <v/>
          </cell>
          <cell r="I736" t="str">
            <v/>
          </cell>
          <cell r="J736" t="str">
            <v/>
          </cell>
          <cell r="K736" t="str">
            <v/>
          </cell>
          <cell r="L736" t="str">
            <v/>
          </cell>
          <cell r="M736" t="str">
            <v>610400</v>
          </cell>
        </row>
        <row r="737">
          <cell r="A737" t="str">
            <v>66022205</v>
          </cell>
          <cell r="B737" t="str">
            <v>19/01/01..19/12/31</v>
          </cell>
          <cell r="C737" t="str">
            <v>A&amp;G-Start-up cost-Material</v>
          </cell>
          <cell r="D737" t="str">
            <v>管理费用_开办费_物料消耗</v>
          </cell>
          <cell r="E737" t="str">
            <v>Income Statement</v>
          </cell>
          <cell r="F737" t="str">
            <v>Posting</v>
          </cell>
          <cell r="G737" t="str">
            <v>Yes</v>
          </cell>
          <cell r="H737" t="str">
            <v/>
          </cell>
          <cell r="I737" t="str">
            <v/>
          </cell>
          <cell r="J737" t="str">
            <v/>
          </cell>
          <cell r="K737" t="str">
            <v/>
          </cell>
          <cell r="L737" t="str">
            <v/>
          </cell>
          <cell r="M737" t="str">
            <v>610400</v>
          </cell>
        </row>
        <row r="738">
          <cell r="A738" t="str">
            <v>66022206</v>
          </cell>
          <cell r="B738" t="str">
            <v>19/01/01..19/12/31</v>
          </cell>
          <cell r="C738" t="str">
            <v>A&amp;G-Start-up cost-Amor.consum.</v>
          </cell>
          <cell r="D738" t="str">
            <v>管理费用_开办费_低值易耗品摊销</v>
          </cell>
          <cell r="E738" t="str">
            <v>Income Statement</v>
          </cell>
          <cell r="F738" t="str">
            <v>Posting</v>
          </cell>
          <cell r="G738" t="str">
            <v>Yes</v>
          </cell>
          <cell r="H738" t="str">
            <v/>
          </cell>
          <cell r="I738" t="str">
            <v/>
          </cell>
          <cell r="J738" t="str">
            <v/>
          </cell>
          <cell r="K738" t="str">
            <v/>
          </cell>
          <cell r="L738" t="str">
            <v/>
          </cell>
          <cell r="M738" t="str">
            <v>610400</v>
          </cell>
        </row>
        <row r="739">
          <cell r="A739" t="str">
            <v>66022207</v>
          </cell>
          <cell r="B739" t="str">
            <v>19/01/01..19/12/31</v>
          </cell>
          <cell r="C739" t="str">
            <v>A&amp;G-Start-up cost-Labor Protec</v>
          </cell>
          <cell r="D739" t="str">
            <v>管理费用_开办费_劳动保护费</v>
          </cell>
          <cell r="E739" t="str">
            <v>Income Statement</v>
          </cell>
          <cell r="F739" t="str">
            <v>Posting</v>
          </cell>
          <cell r="G739" t="str">
            <v>Yes</v>
          </cell>
          <cell r="H739" t="str">
            <v/>
          </cell>
          <cell r="I739" t="str">
            <v/>
          </cell>
          <cell r="J739" t="str">
            <v/>
          </cell>
          <cell r="K739" t="str">
            <v/>
          </cell>
          <cell r="L739" t="str">
            <v/>
          </cell>
          <cell r="M739" t="str">
            <v>610400</v>
          </cell>
        </row>
        <row r="740">
          <cell r="A740" t="str">
            <v>66022208</v>
          </cell>
          <cell r="B740" t="str">
            <v>19/01/01..19/12/31</v>
          </cell>
          <cell r="C740" t="str">
            <v>A&amp;G-Start-up cost-Office Exp.</v>
          </cell>
          <cell r="D740" t="str">
            <v>管理费用_开办费_办公费</v>
          </cell>
          <cell r="E740" t="str">
            <v>Income Statement</v>
          </cell>
          <cell r="F740" t="str">
            <v>Posting</v>
          </cell>
          <cell r="G740" t="str">
            <v>Yes</v>
          </cell>
          <cell r="H740" t="str">
            <v/>
          </cell>
          <cell r="I740" t="str">
            <v/>
          </cell>
          <cell r="J740" t="str">
            <v/>
          </cell>
          <cell r="K740" t="str">
            <v/>
          </cell>
          <cell r="L740" t="str">
            <v/>
          </cell>
          <cell r="M740" t="str">
            <v>610400</v>
          </cell>
        </row>
        <row r="741">
          <cell r="A741" t="str">
            <v>66022209</v>
          </cell>
          <cell r="B741" t="str">
            <v>19/01/01..19/12/31</v>
          </cell>
          <cell r="C741" t="str">
            <v>A&amp;G-Start-up cost-Travel Exp.</v>
          </cell>
          <cell r="D741" t="str">
            <v>管理费用_开办费_差旅费</v>
          </cell>
          <cell r="E741" t="str">
            <v>Income Statement</v>
          </cell>
          <cell r="F741" t="str">
            <v>Posting</v>
          </cell>
          <cell r="G741" t="str">
            <v>Yes</v>
          </cell>
          <cell r="H741" t="str">
            <v/>
          </cell>
          <cell r="I741" t="str">
            <v/>
          </cell>
          <cell r="J741" t="str">
            <v/>
          </cell>
          <cell r="K741" t="str">
            <v/>
          </cell>
          <cell r="L741" t="str">
            <v/>
          </cell>
          <cell r="M741" t="str">
            <v>610400</v>
          </cell>
        </row>
        <row r="742">
          <cell r="A742" t="str">
            <v>66022210</v>
          </cell>
          <cell r="B742" t="str">
            <v>19/01/01..19/12/31</v>
          </cell>
          <cell r="C742" t="str">
            <v>A&amp;G-Start-up cost-Communicate</v>
          </cell>
          <cell r="D742" t="str">
            <v>管理费用_开办费_通讯费</v>
          </cell>
          <cell r="E742" t="str">
            <v>Income Statement</v>
          </cell>
          <cell r="F742" t="str">
            <v>Posting</v>
          </cell>
          <cell r="G742" t="str">
            <v>Yes</v>
          </cell>
          <cell r="H742" t="str">
            <v/>
          </cell>
          <cell r="I742" t="str">
            <v/>
          </cell>
          <cell r="J742" t="str">
            <v/>
          </cell>
          <cell r="K742" t="str">
            <v/>
          </cell>
          <cell r="L742" t="str">
            <v/>
          </cell>
          <cell r="M742" t="str">
            <v>610400</v>
          </cell>
        </row>
        <row r="743">
          <cell r="A743" t="str">
            <v>66022211</v>
          </cell>
          <cell r="B743" t="str">
            <v>19/01/01..19/12/31</v>
          </cell>
          <cell r="C743" t="str">
            <v>A&amp;G-Start-up cost-Consultant</v>
          </cell>
          <cell r="D743" t="str">
            <v>管理费用_开办费_咨询费</v>
          </cell>
          <cell r="E743" t="str">
            <v>Income Statement</v>
          </cell>
          <cell r="F743" t="str">
            <v>Posting</v>
          </cell>
          <cell r="G743" t="str">
            <v>Yes</v>
          </cell>
          <cell r="H743" t="str">
            <v/>
          </cell>
          <cell r="I743" t="str">
            <v/>
          </cell>
          <cell r="J743" t="str">
            <v/>
          </cell>
          <cell r="K743" t="str">
            <v/>
          </cell>
          <cell r="L743" t="str">
            <v/>
          </cell>
          <cell r="M743" t="str">
            <v>610400</v>
          </cell>
        </row>
        <row r="744">
          <cell r="A744" t="str">
            <v>66022212</v>
          </cell>
          <cell r="B744" t="str">
            <v>19/01/01..19/12/31</v>
          </cell>
          <cell r="C744" t="str">
            <v>A&amp;G-Start-up cost-Local Transp</v>
          </cell>
          <cell r="D744" t="str">
            <v>管理费用_开办费_市内交通费</v>
          </cell>
          <cell r="E744" t="str">
            <v>Income Statement</v>
          </cell>
          <cell r="F744" t="str">
            <v>Posting</v>
          </cell>
          <cell r="G744" t="str">
            <v>Yes</v>
          </cell>
          <cell r="H744" t="str">
            <v/>
          </cell>
          <cell r="I744" t="str">
            <v/>
          </cell>
          <cell r="J744" t="str">
            <v/>
          </cell>
          <cell r="K744" t="str">
            <v/>
          </cell>
          <cell r="L744" t="str">
            <v/>
          </cell>
          <cell r="M744" t="str">
            <v>610400</v>
          </cell>
        </row>
        <row r="745">
          <cell r="A745" t="str">
            <v>66022213</v>
          </cell>
          <cell r="B745" t="str">
            <v>19/01/01..19/12/31</v>
          </cell>
          <cell r="C745" t="str">
            <v>A&amp;G-Start-up cost-MP</v>
          </cell>
          <cell r="D745" t="str">
            <v>管理费用_开办费_手机通讯费</v>
          </cell>
          <cell r="E745" t="str">
            <v>Income Statement</v>
          </cell>
          <cell r="F745" t="str">
            <v>Posting</v>
          </cell>
          <cell r="G745" t="str">
            <v>Yes</v>
          </cell>
          <cell r="H745" t="str">
            <v/>
          </cell>
          <cell r="I745" t="str">
            <v/>
          </cell>
          <cell r="J745" t="str">
            <v/>
          </cell>
          <cell r="K745" t="str">
            <v/>
          </cell>
          <cell r="L745" t="str">
            <v/>
          </cell>
          <cell r="M745" t="str">
            <v>610400</v>
          </cell>
        </row>
        <row r="746">
          <cell r="A746" t="str">
            <v>66022214</v>
          </cell>
          <cell r="B746" t="str">
            <v>19/01/01..19/12/31</v>
          </cell>
          <cell r="C746" t="str">
            <v>A&amp;G-Start-up cost-Entertainmen</v>
          </cell>
          <cell r="D746" t="str">
            <v>管理费用_开办费_业务招待费</v>
          </cell>
          <cell r="E746" t="str">
            <v>Income Statement</v>
          </cell>
          <cell r="F746" t="str">
            <v>Posting</v>
          </cell>
          <cell r="G746" t="str">
            <v>Yes</v>
          </cell>
          <cell r="H746" t="str">
            <v/>
          </cell>
          <cell r="I746" t="str">
            <v/>
          </cell>
          <cell r="J746" t="str">
            <v/>
          </cell>
          <cell r="K746" t="str">
            <v/>
          </cell>
          <cell r="L746" t="str">
            <v/>
          </cell>
          <cell r="M746" t="str">
            <v>610400</v>
          </cell>
        </row>
        <row r="747">
          <cell r="A747" t="str">
            <v>66022215</v>
          </cell>
          <cell r="B747" t="str">
            <v>19/01/01..19/12/31</v>
          </cell>
          <cell r="C747" t="str">
            <v>A&amp;G-Start-up cost-Express fee</v>
          </cell>
          <cell r="D747" t="str">
            <v>管理费用_开办费_快递费</v>
          </cell>
          <cell r="E747" t="str">
            <v>Income Statement</v>
          </cell>
          <cell r="F747" t="str">
            <v>Posting</v>
          </cell>
          <cell r="G747" t="str">
            <v>Yes</v>
          </cell>
          <cell r="H747" t="str">
            <v/>
          </cell>
          <cell r="I747" t="str">
            <v/>
          </cell>
          <cell r="J747" t="str">
            <v/>
          </cell>
          <cell r="K747" t="str">
            <v/>
          </cell>
          <cell r="L747" t="str">
            <v/>
          </cell>
          <cell r="M747" t="str">
            <v>610400</v>
          </cell>
        </row>
        <row r="748">
          <cell r="A748" t="str">
            <v>66022290</v>
          </cell>
          <cell r="B748" t="str">
            <v>19/01/01..19/12/31</v>
          </cell>
          <cell r="C748" t="str">
            <v>A&amp;G-Start-up cost-Others</v>
          </cell>
          <cell r="D748" t="str">
            <v>管理费用_开办费_其他</v>
          </cell>
          <cell r="E748" t="str">
            <v>Income Statement</v>
          </cell>
          <cell r="F748" t="str">
            <v>Posting</v>
          </cell>
          <cell r="G748" t="str">
            <v>No</v>
          </cell>
          <cell r="H748" t="str">
            <v/>
          </cell>
          <cell r="I748" t="str">
            <v/>
          </cell>
          <cell r="J748" t="str">
            <v/>
          </cell>
          <cell r="K748" t="str">
            <v/>
          </cell>
          <cell r="L748" t="str">
            <v/>
          </cell>
          <cell r="M748" t="str">
            <v>610400</v>
          </cell>
        </row>
        <row r="749">
          <cell r="A749" t="str">
            <v>66022299</v>
          </cell>
          <cell r="B749" t="str">
            <v>19/01/01..19/12/31</v>
          </cell>
          <cell r="C749" t="str">
            <v>A&amp;G-Start-up cost-Total</v>
          </cell>
          <cell r="D749" t="str">
            <v>管理费用-开办费-合计</v>
          </cell>
          <cell r="E749" t="str">
            <v>Income Statement</v>
          </cell>
          <cell r="F749" t="str">
            <v>End-Total</v>
          </cell>
          <cell r="G749" t="str">
            <v>No</v>
          </cell>
          <cell r="H749" t="str">
            <v>66022200..66022299</v>
          </cell>
          <cell r="I749" t="str">
            <v/>
          </cell>
          <cell r="J749" t="str">
            <v/>
          </cell>
          <cell r="K749" t="str">
            <v/>
          </cell>
          <cell r="L749" t="str">
            <v/>
          </cell>
          <cell r="M749" t="str">
            <v/>
          </cell>
        </row>
        <row r="750">
          <cell r="A750" t="str">
            <v>66028900</v>
          </cell>
          <cell r="B750" t="str">
            <v>19/01/01..19/12/31</v>
          </cell>
          <cell r="C750" t="str">
            <v>A&amp;G-Others</v>
          </cell>
          <cell r="D750" t="str">
            <v>管理费用_其他</v>
          </cell>
          <cell r="E750" t="str">
            <v>Income Statement</v>
          </cell>
          <cell r="F750" t="str">
            <v>Posting</v>
          </cell>
          <cell r="G750" t="str">
            <v>Yes</v>
          </cell>
          <cell r="H750" t="str">
            <v/>
          </cell>
          <cell r="I750" t="str">
            <v/>
          </cell>
          <cell r="J750" t="str">
            <v/>
          </cell>
          <cell r="K750" t="str">
            <v/>
          </cell>
          <cell r="L750" t="str">
            <v/>
          </cell>
          <cell r="M750" t="str">
            <v>620200</v>
          </cell>
        </row>
        <row r="751">
          <cell r="A751" t="str">
            <v>66029900</v>
          </cell>
          <cell r="B751" t="str">
            <v>19/01/01..19/12/31</v>
          </cell>
          <cell r="C751" t="str">
            <v>A&amp;G-Transfer Out</v>
          </cell>
          <cell r="D751" t="str">
            <v>管理费用_结转</v>
          </cell>
          <cell r="E751" t="str">
            <v>Income Statement</v>
          </cell>
          <cell r="F751" t="str">
            <v>Posting</v>
          </cell>
          <cell r="G751" t="str">
            <v>Yes</v>
          </cell>
          <cell r="H751" t="str">
            <v/>
          </cell>
          <cell r="I751" t="str">
            <v/>
          </cell>
          <cell r="J751" t="str">
            <v/>
          </cell>
          <cell r="K751" t="str">
            <v/>
          </cell>
          <cell r="L751" t="str">
            <v/>
          </cell>
          <cell r="M751" t="str">
            <v>620200</v>
          </cell>
        </row>
        <row r="752">
          <cell r="A752" t="str">
            <v>66029999</v>
          </cell>
          <cell r="B752" t="str">
            <v>19/01/01..19/12/31</v>
          </cell>
          <cell r="C752" t="str">
            <v>A&amp;G Exp.-Total</v>
          </cell>
          <cell r="D752" t="str">
            <v>管理费用-合计</v>
          </cell>
          <cell r="E752" t="str">
            <v>Income Statement</v>
          </cell>
          <cell r="F752" t="str">
            <v>End-Total</v>
          </cell>
          <cell r="G752" t="str">
            <v>No</v>
          </cell>
          <cell r="H752" t="str">
            <v>66020000..66029999</v>
          </cell>
          <cell r="I752">
            <v>83647889.719999999</v>
          </cell>
          <cell r="J752">
            <v>92556295.069999993</v>
          </cell>
          <cell r="K752">
            <v>8908405.3499999996</v>
          </cell>
          <cell r="L752">
            <v>83647889.719999999</v>
          </cell>
          <cell r="M752" t="str">
            <v/>
          </cell>
        </row>
        <row r="753">
          <cell r="A753" t="str">
            <v>66030000</v>
          </cell>
          <cell r="B753" t="str">
            <v>19/01/01..19/12/31</v>
          </cell>
          <cell r="C753" t="str">
            <v>Financial expenses</v>
          </cell>
          <cell r="D753" t="str">
            <v>财务费用</v>
          </cell>
          <cell r="E753" t="str">
            <v>Income Statement</v>
          </cell>
          <cell r="F753" t="str">
            <v>Begin-Total</v>
          </cell>
          <cell r="G753" t="str">
            <v>No</v>
          </cell>
          <cell r="H753" t="str">
            <v/>
          </cell>
          <cell r="I753" t="str">
            <v/>
          </cell>
          <cell r="J753" t="str">
            <v/>
          </cell>
          <cell r="K753" t="str">
            <v/>
          </cell>
          <cell r="L753" t="str">
            <v/>
          </cell>
          <cell r="M753" t="str">
            <v/>
          </cell>
        </row>
        <row r="754">
          <cell r="A754" t="str">
            <v>66030100</v>
          </cell>
          <cell r="B754" t="str">
            <v>19/01/01..19/12/31</v>
          </cell>
          <cell r="C754" t="str">
            <v>Fin. Exp.-Interest Expense</v>
          </cell>
          <cell r="D754" t="str">
            <v>财务费用_利息支出</v>
          </cell>
          <cell r="E754" t="str">
            <v>Income Statement</v>
          </cell>
          <cell r="F754" t="str">
            <v>Posting</v>
          </cell>
          <cell r="G754" t="str">
            <v>Yes</v>
          </cell>
          <cell r="H754" t="str">
            <v/>
          </cell>
          <cell r="I754">
            <v>9512577.7699999996</v>
          </cell>
          <cell r="J754">
            <v>10481438.33</v>
          </cell>
          <cell r="K754">
            <v>968860.56</v>
          </cell>
          <cell r="L754">
            <v>9512577.7699999996</v>
          </cell>
          <cell r="M754" t="str">
            <v>661000</v>
          </cell>
        </row>
        <row r="755">
          <cell r="A755" t="str">
            <v>66030101</v>
          </cell>
          <cell r="B755" t="str">
            <v>19/01/01..19/12/31</v>
          </cell>
          <cell r="C755" t="str">
            <v>Fin. Exp.-Interest income_third party</v>
          </cell>
          <cell r="D755" t="str">
            <v>财务费用_利息收入_第三方</v>
          </cell>
          <cell r="E755" t="str">
            <v>Income Statement</v>
          </cell>
          <cell r="F755" t="str">
            <v>Posting</v>
          </cell>
          <cell r="G755" t="str">
            <v>Yes</v>
          </cell>
          <cell r="H755" t="str">
            <v/>
          </cell>
          <cell r="I755">
            <v>-30067.13</v>
          </cell>
          <cell r="J755" t="str">
            <v/>
          </cell>
          <cell r="K755">
            <v>30067.13</v>
          </cell>
          <cell r="L755">
            <v>-30067.13</v>
          </cell>
          <cell r="M755" t="str">
            <v>663000</v>
          </cell>
        </row>
        <row r="756">
          <cell r="A756" t="str">
            <v>66030102</v>
          </cell>
          <cell r="B756" t="str">
            <v>19/01/01..19/12/31</v>
          </cell>
          <cell r="C756" t="str">
            <v>Fin. Exp.-Interest income_intercompany</v>
          </cell>
          <cell r="D756" t="str">
            <v>财务费用_利息收入_关联方</v>
          </cell>
          <cell r="E756" t="str">
            <v>Income Statement</v>
          </cell>
          <cell r="F756" t="str">
            <v>Posting</v>
          </cell>
          <cell r="G756" t="str">
            <v>Yes</v>
          </cell>
          <cell r="H756" t="str">
            <v/>
          </cell>
          <cell r="I756" t="str">
            <v/>
          </cell>
          <cell r="J756" t="str">
            <v/>
          </cell>
          <cell r="K756" t="str">
            <v/>
          </cell>
          <cell r="L756" t="str">
            <v/>
          </cell>
          <cell r="M756" t="str">
            <v>760000</v>
          </cell>
        </row>
        <row r="757">
          <cell r="A757" t="str">
            <v>66030103</v>
          </cell>
          <cell r="B757" t="str">
            <v>19/01/01..19/12/31</v>
          </cell>
          <cell r="C757" t="str">
            <v>Fin. Exp.-Interest income_cash pool</v>
          </cell>
          <cell r="D757" t="str">
            <v>财务费用_利息收入_现金池</v>
          </cell>
          <cell r="E757" t="str">
            <v>Income Statement</v>
          </cell>
          <cell r="F757" t="str">
            <v>Posting</v>
          </cell>
          <cell r="G757" t="str">
            <v>Yes</v>
          </cell>
          <cell r="H757" t="str">
            <v/>
          </cell>
          <cell r="I757" t="str">
            <v/>
          </cell>
          <cell r="J757" t="str">
            <v/>
          </cell>
          <cell r="K757" t="str">
            <v/>
          </cell>
          <cell r="L757" t="str">
            <v/>
          </cell>
          <cell r="M757" t="str">
            <v>760000</v>
          </cell>
        </row>
        <row r="758">
          <cell r="A758" t="str">
            <v>66030200</v>
          </cell>
          <cell r="B758" t="str">
            <v>19/01/01..19/12/31</v>
          </cell>
          <cell r="C758" t="str">
            <v>Fin. Exp.-FX.Gain &amp; Loss</v>
          </cell>
          <cell r="D758" t="str">
            <v>财务费用_汇兑损益</v>
          </cell>
          <cell r="E758" t="str">
            <v>Income Statement</v>
          </cell>
          <cell r="F758" t="str">
            <v>Begin-Total</v>
          </cell>
          <cell r="G758" t="str">
            <v>No</v>
          </cell>
          <cell r="H758" t="str">
            <v/>
          </cell>
          <cell r="I758" t="str">
            <v/>
          </cell>
          <cell r="J758" t="str">
            <v/>
          </cell>
          <cell r="K758" t="str">
            <v/>
          </cell>
          <cell r="L758" t="str">
            <v/>
          </cell>
          <cell r="M758" t="str">
            <v/>
          </cell>
        </row>
        <row r="759">
          <cell r="A759" t="str">
            <v>66030201</v>
          </cell>
          <cell r="B759" t="str">
            <v>19/01/01..19/12/31</v>
          </cell>
          <cell r="C759" t="str">
            <v>Fin. Exp.-Realized Exch. Loss</v>
          </cell>
          <cell r="D759" t="str">
            <v>财务费用_已实现汇兑损失</v>
          </cell>
          <cell r="E759" t="str">
            <v>Income Statement</v>
          </cell>
          <cell r="F759" t="str">
            <v>Posting</v>
          </cell>
          <cell r="G759" t="str">
            <v>Yes</v>
          </cell>
          <cell r="H759" t="str">
            <v/>
          </cell>
          <cell r="I759">
            <v>11524759.359999999</v>
          </cell>
          <cell r="J759">
            <v>11844467.66</v>
          </cell>
          <cell r="K759">
            <v>319708.3</v>
          </cell>
          <cell r="L759">
            <v>11524759.359999999</v>
          </cell>
          <cell r="M759" t="str">
            <v>676000</v>
          </cell>
        </row>
        <row r="760">
          <cell r="A760" t="str">
            <v>66030202</v>
          </cell>
          <cell r="B760" t="str">
            <v>19/01/01..19/12/31</v>
          </cell>
          <cell r="C760" t="str">
            <v>Fin. Exp.-Realized Exch. Gain</v>
          </cell>
          <cell r="D760" t="str">
            <v>财务费用_已实现汇兑收益</v>
          </cell>
          <cell r="E760" t="str">
            <v>Income Statement</v>
          </cell>
          <cell r="F760" t="str">
            <v>Posting</v>
          </cell>
          <cell r="G760" t="str">
            <v>Yes</v>
          </cell>
          <cell r="H760" t="str">
            <v/>
          </cell>
          <cell r="I760">
            <v>-2711965.19</v>
          </cell>
          <cell r="J760" t="str">
            <v/>
          </cell>
          <cell r="K760">
            <v>2711965.19</v>
          </cell>
          <cell r="L760">
            <v>-2711965.19</v>
          </cell>
          <cell r="M760" t="str">
            <v>676000</v>
          </cell>
        </row>
        <row r="761">
          <cell r="A761" t="str">
            <v>66030203</v>
          </cell>
          <cell r="B761" t="str">
            <v>19/01/01..19/12/31</v>
          </cell>
          <cell r="C761" t="str">
            <v>Fin. Exp.-Unrealized Exch.Loss</v>
          </cell>
          <cell r="D761" t="str">
            <v>财务费用_未实现汇兑损失</v>
          </cell>
          <cell r="E761" t="str">
            <v>Income Statement</v>
          </cell>
          <cell r="F761" t="str">
            <v>Posting</v>
          </cell>
          <cell r="G761" t="str">
            <v>Yes</v>
          </cell>
          <cell r="H761" t="str">
            <v/>
          </cell>
          <cell r="I761">
            <v>-719700.69</v>
          </cell>
          <cell r="J761">
            <v>15988936.039999999</v>
          </cell>
          <cell r="K761">
            <v>16708636.73</v>
          </cell>
          <cell r="L761">
            <v>-719700.69</v>
          </cell>
          <cell r="M761" t="str">
            <v>666000</v>
          </cell>
        </row>
        <row r="762">
          <cell r="A762" t="str">
            <v>66030204</v>
          </cell>
          <cell r="B762" t="str">
            <v>19/01/01..19/12/31</v>
          </cell>
          <cell r="C762" t="str">
            <v>Fin. Exp.-Unrealized Exch.Gain</v>
          </cell>
          <cell r="D762" t="str">
            <v>财务费用_未实现汇兑收益</v>
          </cell>
          <cell r="E762" t="str">
            <v>Income Statement</v>
          </cell>
          <cell r="F762" t="str">
            <v>Posting</v>
          </cell>
          <cell r="G762" t="str">
            <v>Yes</v>
          </cell>
          <cell r="H762" t="str">
            <v/>
          </cell>
          <cell r="I762">
            <v>-237501.33</v>
          </cell>
          <cell r="J762">
            <v>1871727.56</v>
          </cell>
          <cell r="K762">
            <v>2109228.89</v>
          </cell>
          <cell r="L762">
            <v>-237501.33</v>
          </cell>
          <cell r="M762" t="str">
            <v>666000</v>
          </cell>
        </row>
        <row r="763">
          <cell r="A763" t="str">
            <v>66030205</v>
          </cell>
          <cell r="B763" t="str">
            <v>19/01/01..19/12/31</v>
          </cell>
          <cell r="C763" t="str">
            <v>Fin. Exp.-FX.Gain&amp;Loss reclass</v>
          </cell>
          <cell r="D763" t="str">
            <v>财务费用_汇兑损益重分类</v>
          </cell>
          <cell r="E763" t="str">
            <v>Income Statement</v>
          </cell>
          <cell r="F763" t="str">
            <v>Posting</v>
          </cell>
          <cell r="G763" t="str">
            <v>Yes</v>
          </cell>
          <cell r="H763" t="str">
            <v/>
          </cell>
          <cell r="I763">
            <v>223419.75</v>
          </cell>
          <cell r="J763">
            <v>2737068.01</v>
          </cell>
          <cell r="K763">
            <v>2513648.2599999998</v>
          </cell>
          <cell r="L763">
            <v>223419.75</v>
          </cell>
          <cell r="M763" t="str">
            <v>666000</v>
          </cell>
        </row>
        <row r="764">
          <cell r="A764" t="str">
            <v>66030299</v>
          </cell>
          <cell r="B764" t="str">
            <v>19/01/01..19/12/31</v>
          </cell>
          <cell r="C764" t="str">
            <v>Fin. Exp.-FX Gain&amp;Loss-Total</v>
          </cell>
          <cell r="D764" t="str">
            <v>财务费用_汇兑损益合计</v>
          </cell>
          <cell r="E764" t="str">
            <v>Income Statement</v>
          </cell>
          <cell r="F764" t="str">
            <v>End-Total</v>
          </cell>
          <cell r="G764" t="str">
            <v>No</v>
          </cell>
          <cell r="H764" t="str">
            <v>66030200..66030299</v>
          </cell>
          <cell r="I764">
            <v>8079011.9000000004</v>
          </cell>
          <cell r="J764">
            <v>32442199.27</v>
          </cell>
          <cell r="K764">
            <v>24363187.370000001</v>
          </cell>
          <cell r="L764">
            <v>8079011.9000000004</v>
          </cell>
          <cell r="M764" t="str">
            <v/>
          </cell>
        </row>
        <row r="765">
          <cell r="A765" t="str">
            <v>66030300</v>
          </cell>
          <cell r="B765" t="str">
            <v>19/01/01..19/12/31</v>
          </cell>
          <cell r="C765" t="str">
            <v>Financial Exp.-Bank Charge</v>
          </cell>
          <cell r="D765" t="str">
            <v>财务费用_银行手续费</v>
          </cell>
          <cell r="E765" t="str">
            <v>Income Statement</v>
          </cell>
          <cell r="F765" t="str">
            <v>Posting</v>
          </cell>
          <cell r="G765" t="str">
            <v>Yes</v>
          </cell>
          <cell r="H765" t="str">
            <v/>
          </cell>
          <cell r="I765">
            <v>720353.07</v>
          </cell>
          <cell r="J765">
            <v>720758.07</v>
          </cell>
          <cell r="K765">
            <v>405</v>
          </cell>
          <cell r="L765">
            <v>720353.07</v>
          </cell>
          <cell r="M765" t="str">
            <v>663000</v>
          </cell>
        </row>
        <row r="766">
          <cell r="A766" t="str">
            <v>66030400</v>
          </cell>
          <cell r="B766" t="str">
            <v>19/01/01..19/12/31</v>
          </cell>
          <cell r="C766" t="str">
            <v>Fin. Exp.-Interest of Discount</v>
          </cell>
          <cell r="D766" t="str">
            <v>财务费用_贴现利息</v>
          </cell>
          <cell r="E766" t="str">
            <v>Income Statement</v>
          </cell>
          <cell r="F766" t="str">
            <v>Posting</v>
          </cell>
          <cell r="G766" t="str">
            <v>Yes</v>
          </cell>
          <cell r="H766" t="str">
            <v/>
          </cell>
          <cell r="I766">
            <v>2147799.41</v>
          </cell>
          <cell r="J766">
            <v>2147799.41</v>
          </cell>
          <cell r="K766" t="str">
            <v/>
          </cell>
          <cell r="L766">
            <v>2147799.41</v>
          </cell>
          <cell r="M766" t="str">
            <v>663000</v>
          </cell>
        </row>
        <row r="767">
          <cell r="A767" t="str">
            <v>66030500</v>
          </cell>
          <cell r="B767" t="str">
            <v>19/01/01..19/12/31</v>
          </cell>
          <cell r="C767" t="str">
            <v>Financial Exp.-Other</v>
          </cell>
          <cell r="D767" t="str">
            <v>财务费用_其他</v>
          </cell>
          <cell r="E767" t="str">
            <v>Income Statement</v>
          </cell>
          <cell r="F767" t="str">
            <v>Posting</v>
          </cell>
          <cell r="G767" t="str">
            <v>Yes</v>
          </cell>
          <cell r="H767" t="str">
            <v/>
          </cell>
          <cell r="I767">
            <v>-133.13</v>
          </cell>
          <cell r="J767">
            <v>3.11</v>
          </cell>
          <cell r="K767">
            <v>136.24</v>
          </cell>
          <cell r="L767">
            <v>-133.13</v>
          </cell>
          <cell r="M767" t="str">
            <v>663000</v>
          </cell>
        </row>
        <row r="768">
          <cell r="A768" t="str">
            <v>66030600</v>
          </cell>
          <cell r="B768" t="str">
            <v>19/01/01..19/12/31</v>
          </cell>
          <cell r="C768" t="str">
            <v>Fin. Exp.-Hedging Gain&amp;Loss</v>
          </cell>
          <cell r="D768" t="str">
            <v>财务费用_套期保值损益</v>
          </cell>
          <cell r="E768" t="str">
            <v>Income Statement</v>
          </cell>
          <cell r="F768" t="str">
            <v>Begin-Total</v>
          </cell>
          <cell r="G768" t="str">
            <v>No</v>
          </cell>
          <cell r="H768" t="str">
            <v/>
          </cell>
          <cell r="I768" t="str">
            <v/>
          </cell>
          <cell r="J768" t="str">
            <v/>
          </cell>
          <cell r="K768" t="str">
            <v/>
          </cell>
          <cell r="L768" t="str">
            <v/>
          </cell>
          <cell r="M768" t="str">
            <v/>
          </cell>
        </row>
        <row r="769">
          <cell r="A769" t="str">
            <v>66030601</v>
          </cell>
          <cell r="B769" t="str">
            <v>19/01/01..19/12/31</v>
          </cell>
          <cell r="C769" t="str">
            <v>Hedging effective - unrealized</v>
          </cell>
          <cell r="D769" t="str">
            <v>财务费用_套期保值损益未实现有效部分</v>
          </cell>
          <cell r="E769" t="str">
            <v>Income Statement</v>
          </cell>
          <cell r="F769" t="str">
            <v>Posting</v>
          </cell>
          <cell r="G769" t="str">
            <v>Yes</v>
          </cell>
          <cell r="H769" t="str">
            <v/>
          </cell>
          <cell r="I769">
            <v>223850</v>
          </cell>
          <cell r="J769">
            <v>16712428.029999999</v>
          </cell>
          <cell r="K769">
            <v>16488578.029999999</v>
          </cell>
          <cell r="L769">
            <v>223850</v>
          </cell>
          <cell r="M769" t="str">
            <v>666120</v>
          </cell>
        </row>
        <row r="770">
          <cell r="A770" t="str">
            <v>66030602</v>
          </cell>
          <cell r="B770" t="str">
            <v>19/01/01..19/12/31</v>
          </cell>
          <cell r="C770" t="str">
            <v>Hedging effective - realized</v>
          </cell>
          <cell r="D770" t="str">
            <v>财务费用_套期保值损益已实现有效部分</v>
          </cell>
          <cell r="E770" t="str">
            <v>Income Statement</v>
          </cell>
          <cell r="F770" t="str">
            <v>Posting</v>
          </cell>
          <cell r="G770" t="str">
            <v>Yes</v>
          </cell>
          <cell r="H770" t="str">
            <v/>
          </cell>
          <cell r="I770">
            <v>1704.2</v>
          </cell>
          <cell r="J770">
            <v>157263.53</v>
          </cell>
          <cell r="K770">
            <v>155559.32999999999</v>
          </cell>
          <cell r="L770">
            <v>1704.2</v>
          </cell>
          <cell r="M770" t="str">
            <v>676120</v>
          </cell>
        </row>
        <row r="771">
          <cell r="A771" t="str">
            <v>66030603</v>
          </cell>
          <cell r="B771" t="str">
            <v>19/01/01..19/12/31</v>
          </cell>
          <cell r="C771" t="str">
            <v>Hedge ineffective - unrealized</v>
          </cell>
          <cell r="D771" t="str">
            <v>财务费用_套期保值损益未实现未生效部分</v>
          </cell>
          <cell r="E771" t="str">
            <v>Income Statement</v>
          </cell>
          <cell r="F771" t="str">
            <v>Posting</v>
          </cell>
          <cell r="G771" t="str">
            <v>Yes</v>
          </cell>
          <cell r="H771" t="str">
            <v/>
          </cell>
          <cell r="I771">
            <v>-3667726.75</v>
          </cell>
          <cell r="J771">
            <v>72525911.689999998</v>
          </cell>
          <cell r="K771">
            <v>76193638.439999998</v>
          </cell>
          <cell r="L771">
            <v>-3667726.75</v>
          </cell>
          <cell r="M771" t="str">
            <v>666200</v>
          </cell>
        </row>
        <row r="772">
          <cell r="A772" t="str">
            <v>66030604</v>
          </cell>
          <cell r="B772" t="str">
            <v>19/01/01..19/12/31</v>
          </cell>
          <cell r="C772" t="str">
            <v>Hedge ineffective - realized</v>
          </cell>
          <cell r="D772" t="str">
            <v>财务费用_套期保值损益已实现未生效部分</v>
          </cell>
          <cell r="E772" t="str">
            <v>Income Statement</v>
          </cell>
          <cell r="F772" t="str">
            <v>Posting</v>
          </cell>
          <cell r="G772" t="str">
            <v>Yes</v>
          </cell>
          <cell r="H772" t="str">
            <v/>
          </cell>
          <cell r="I772">
            <v>-3404.2</v>
          </cell>
          <cell r="J772">
            <v>499279.06</v>
          </cell>
          <cell r="K772">
            <v>502683.26</v>
          </cell>
          <cell r="L772">
            <v>-3404.2</v>
          </cell>
          <cell r="M772" t="str">
            <v>676200</v>
          </cell>
        </row>
        <row r="773">
          <cell r="A773" t="str">
            <v>66030605</v>
          </cell>
          <cell r="B773" t="str">
            <v>19/01/01..19/12/31</v>
          </cell>
          <cell r="C773" t="str">
            <v>Hedged item revaluation</v>
          </cell>
          <cell r="D773" t="str">
            <v>财务费用_套期保值项目的汇率重估损益</v>
          </cell>
          <cell r="E773" t="str">
            <v>Income Statement</v>
          </cell>
          <cell r="F773" t="str">
            <v>Posting</v>
          </cell>
          <cell r="G773" t="str">
            <v>Yes</v>
          </cell>
          <cell r="H773" t="str">
            <v/>
          </cell>
          <cell r="I773">
            <v>-223419.75</v>
          </cell>
          <cell r="J773">
            <v>2653739.58</v>
          </cell>
          <cell r="K773">
            <v>2877159.33</v>
          </cell>
          <cell r="L773">
            <v>-223419.75</v>
          </cell>
          <cell r="M773" t="str">
            <v>666110</v>
          </cell>
        </row>
        <row r="774">
          <cell r="A774" t="str">
            <v>66030606</v>
          </cell>
          <cell r="B774" t="str">
            <v>19/01/01..19/12/31</v>
          </cell>
          <cell r="C774" t="str">
            <v>Hedged item realized FX exp.</v>
          </cell>
          <cell r="D774" t="str">
            <v>财务费用_套期保值项目的已实现汇兑损益</v>
          </cell>
          <cell r="E774" t="str">
            <v>Income Statement</v>
          </cell>
          <cell r="F774" t="str">
            <v>Posting</v>
          </cell>
          <cell r="G774" t="str">
            <v>Yes</v>
          </cell>
          <cell r="H774" t="str">
            <v/>
          </cell>
          <cell r="I774">
            <v>1700</v>
          </cell>
          <cell r="J774">
            <v>220343.45</v>
          </cell>
          <cell r="K774">
            <v>218643.45</v>
          </cell>
          <cell r="L774">
            <v>1700</v>
          </cell>
          <cell r="M774" t="str">
            <v>676110</v>
          </cell>
        </row>
        <row r="775">
          <cell r="A775" t="str">
            <v>66030699</v>
          </cell>
          <cell r="B775" t="str">
            <v>19/01/01..19/12/31</v>
          </cell>
          <cell r="C775" t="str">
            <v>Fin. Exp.-Hedging P&amp;L Total</v>
          </cell>
          <cell r="D775" t="str">
            <v>财务费用_套期保值损益-合计</v>
          </cell>
          <cell r="E775" t="str">
            <v>Income Statement</v>
          </cell>
          <cell r="F775" t="str">
            <v>End-Total</v>
          </cell>
          <cell r="G775" t="str">
            <v>No</v>
          </cell>
          <cell r="H775" t="str">
            <v>66030600..66030699</v>
          </cell>
          <cell r="I775">
            <v>-3667296.5</v>
          </cell>
          <cell r="J775">
            <v>92768965.340000004</v>
          </cell>
          <cell r="K775">
            <v>96436261.840000004</v>
          </cell>
          <cell r="L775">
            <v>-3667296.5</v>
          </cell>
          <cell r="M775" t="str">
            <v/>
          </cell>
        </row>
        <row r="776">
          <cell r="A776" t="str">
            <v>66039900</v>
          </cell>
          <cell r="B776" t="str">
            <v>19/01/01..19/12/31</v>
          </cell>
          <cell r="C776" t="str">
            <v>Financial Exp.-Transfer Out</v>
          </cell>
          <cell r="D776" t="str">
            <v>财务费用_结转</v>
          </cell>
          <cell r="E776" t="str">
            <v>Income Statement</v>
          </cell>
          <cell r="F776" t="str">
            <v>Posting</v>
          </cell>
          <cell r="G776" t="str">
            <v>Yes</v>
          </cell>
          <cell r="H776" t="str">
            <v/>
          </cell>
          <cell r="I776" t="str">
            <v/>
          </cell>
          <cell r="J776" t="str">
            <v/>
          </cell>
          <cell r="K776" t="str">
            <v/>
          </cell>
          <cell r="L776" t="str">
            <v/>
          </cell>
          <cell r="M776" t="str">
            <v>663000</v>
          </cell>
        </row>
        <row r="777">
          <cell r="A777" t="str">
            <v>66039999</v>
          </cell>
          <cell r="B777" t="str">
            <v>19/01/01..19/12/31</v>
          </cell>
          <cell r="C777" t="str">
            <v>Financial Exp.-Total</v>
          </cell>
          <cell r="D777" t="str">
            <v>财务费用-合计</v>
          </cell>
          <cell r="E777" t="str">
            <v>Income Statement</v>
          </cell>
          <cell r="F777" t="str">
            <v>End-Total</v>
          </cell>
          <cell r="G777" t="str">
            <v>No</v>
          </cell>
          <cell r="H777" t="str">
            <v>66030000..66039999</v>
          </cell>
          <cell r="I777">
            <v>16762245.390000001</v>
          </cell>
          <cell r="J777">
            <v>138561163.53</v>
          </cell>
          <cell r="K777">
            <v>121798918.14</v>
          </cell>
          <cell r="L777">
            <v>16762245.390000001</v>
          </cell>
          <cell r="M777" t="str">
            <v/>
          </cell>
        </row>
        <row r="778">
          <cell r="A778" t="str">
            <v>67010000</v>
          </cell>
          <cell r="B778" t="str">
            <v>19/01/01..19/12/31</v>
          </cell>
          <cell r="C778" t="str">
            <v>Asset Impairment Loss</v>
          </cell>
          <cell r="D778" t="str">
            <v>资产减值损失</v>
          </cell>
          <cell r="E778" t="str">
            <v>Income Statement</v>
          </cell>
          <cell r="F778" t="str">
            <v>Begin-Total</v>
          </cell>
          <cell r="G778" t="str">
            <v>No</v>
          </cell>
          <cell r="H778" t="str">
            <v/>
          </cell>
          <cell r="I778" t="str">
            <v/>
          </cell>
          <cell r="J778" t="str">
            <v/>
          </cell>
          <cell r="K778" t="str">
            <v/>
          </cell>
          <cell r="L778" t="str">
            <v/>
          </cell>
          <cell r="M778" t="str">
            <v/>
          </cell>
        </row>
        <row r="779">
          <cell r="A779" t="str">
            <v>67010100</v>
          </cell>
          <cell r="B779" t="str">
            <v>19/01/01..19/12/31</v>
          </cell>
          <cell r="C779" t="str">
            <v>Asset Impair. Loss-AR</v>
          </cell>
          <cell r="D779" t="str">
            <v>资产减值损失-应收帐款</v>
          </cell>
          <cell r="E779" t="str">
            <v>Income Statement</v>
          </cell>
          <cell r="F779" t="str">
            <v>Posting</v>
          </cell>
          <cell r="G779" t="str">
            <v>Yes</v>
          </cell>
          <cell r="H779" t="str">
            <v/>
          </cell>
          <cell r="I779" t="str">
            <v/>
          </cell>
          <cell r="J779" t="str">
            <v/>
          </cell>
          <cell r="K779" t="str">
            <v/>
          </cell>
          <cell r="L779" t="str">
            <v/>
          </cell>
          <cell r="M779" t="str">
            <v>684100</v>
          </cell>
        </row>
        <row r="780">
          <cell r="A780" t="str">
            <v>67010200</v>
          </cell>
          <cell r="B780" t="str">
            <v>19/01/01..19/12/31</v>
          </cell>
          <cell r="C780" t="str">
            <v>Asset Impair. Loss-Inventory</v>
          </cell>
          <cell r="D780" t="str">
            <v>资产减值损失-存货</v>
          </cell>
          <cell r="E780" t="str">
            <v>Income Statement</v>
          </cell>
          <cell r="F780" t="str">
            <v>Posting</v>
          </cell>
          <cell r="G780" t="str">
            <v>Yes</v>
          </cell>
          <cell r="H780" t="str">
            <v/>
          </cell>
          <cell r="I780" t="str">
            <v/>
          </cell>
          <cell r="J780" t="str">
            <v/>
          </cell>
          <cell r="K780" t="str">
            <v/>
          </cell>
          <cell r="L780" t="str">
            <v/>
          </cell>
          <cell r="M780" t="str">
            <v>683000</v>
          </cell>
        </row>
        <row r="781">
          <cell r="A781" t="str">
            <v>67010300</v>
          </cell>
          <cell r="B781" t="str">
            <v>19/01/01..19/12/31</v>
          </cell>
          <cell r="C781" t="str">
            <v>Asset Impair. Loss-FA</v>
          </cell>
          <cell r="D781" t="str">
            <v>资产减值损失-固定资产</v>
          </cell>
          <cell r="E781" t="str">
            <v>Income Statement</v>
          </cell>
          <cell r="F781" t="str">
            <v>Posting</v>
          </cell>
          <cell r="G781" t="str">
            <v>Yes</v>
          </cell>
          <cell r="H781" t="str">
            <v/>
          </cell>
          <cell r="I781">
            <v>10781699.77</v>
          </cell>
          <cell r="J781">
            <v>10781699.77</v>
          </cell>
          <cell r="K781" t="str">
            <v/>
          </cell>
          <cell r="L781">
            <v>10781699.77</v>
          </cell>
          <cell r="M781" t="str">
            <v>682400</v>
          </cell>
        </row>
        <row r="782">
          <cell r="A782" t="str">
            <v>67010400</v>
          </cell>
          <cell r="B782" t="str">
            <v>19/01/01..19/12/31</v>
          </cell>
          <cell r="C782" t="str">
            <v>Asset Impair. Loss-I.A.</v>
          </cell>
          <cell r="D782" t="str">
            <v>资产减值损失-无形资产</v>
          </cell>
          <cell r="E782" t="str">
            <v>Income Statement</v>
          </cell>
          <cell r="F782" t="str">
            <v>Posting</v>
          </cell>
          <cell r="G782" t="str">
            <v>Yes</v>
          </cell>
          <cell r="H782" t="str">
            <v/>
          </cell>
          <cell r="I782" t="str">
            <v/>
          </cell>
          <cell r="J782" t="str">
            <v/>
          </cell>
          <cell r="K782" t="str">
            <v/>
          </cell>
          <cell r="L782" t="str">
            <v/>
          </cell>
          <cell r="M782" t="str">
            <v>682500</v>
          </cell>
        </row>
        <row r="783">
          <cell r="A783" t="str">
            <v>67010500</v>
          </cell>
          <cell r="B783" t="str">
            <v>19/01/01..19/12/31</v>
          </cell>
          <cell r="C783" t="str">
            <v>Asset Impairment Loss-Other</v>
          </cell>
          <cell r="D783" t="str">
            <v>资产减值损失-其他</v>
          </cell>
          <cell r="E783" t="str">
            <v>Income Statement</v>
          </cell>
          <cell r="F783" t="str">
            <v>Posting</v>
          </cell>
          <cell r="G783" t="str">
            <v>Yes</v>
          </cell>
          <cell r="H783" t="str">
            <v/>
          </cell>
          <cell r="I783" t="str">
            <v/>
          </cell>
          <cell r="J783" t="str">
            <v/>
          </cell>
          <cell r="K783" t="str">
            <v/>
          </cell>
          <cell r="L783" t="str">
            <v/>
          </cell>
          <cell r="M783" t="str">
            <v>620300</v>
          </cell>
        </row>
        <row r="784">
          <cell r="A784" t="str">
            <v>67010600</v>
          </cell>
          <cell r="B784" t="str">
            <v>19/01/01..19/12/31</v>
          </cell>
          <cell r="C784" t="str">
            <v>Asset Impair.Loss-transfer out</v>
          </cell>
          <cell r="D784" t="str">
            <v>资产减值损失_结转</v>
          </cell>
          <cell r="E784" t="str">
            <v>Income Statement</v>
          </cell>
          <cell r="F784" t="str">
            <v>Posting</v>
          </cell>
          <cell r="G784" t="str">
            <v>Yes</v>
          </cell>
          <cell r="H784" t="str">
            <v/>
          </cell>
          <cell r="I784" t="str">
            <v/>
          </cell>
          <cell r="J784" t="str">
            <v/>
          </cell>
          <cell r="K784" t="str">
            <v/>
          </cell>
          <cell r="L784" t="str">
            <v/>
          </cell>
          <cell r="M784" t="str">
            <v>620300</v>
          </cell>
        </row>
        <row r="785">
          <cell r="A785" t="str">
            <v>67019999</v>
          </cell>
          <cell r="B785" t="str">
            <v>19/01/01..19/12/31</v>
          </cell>
          <cell r="C785" t="str">
            <v>Asset Impairment Loss-Total</v>
          </cell>
          <cell r="D785" t="str">
            <v>资产减值损失-合计</v>
          </cell>
          <cell r="E785" t="str">
            <v>Income Statement</v>
          </cell>
          <cell r="F785" t="str">
            <v>End-Total</v>
          </cell>
          <cell r="G785" t="str">
            <v>No</v>
          </cell>
          <cell r="H785" t="str">
            <v>67010100..67019999</v>
          </cell>
          <cell r="I785">
            <v>10781699.77</v>
          </cell>
          <cell r="J785">
            <v>10781699.77</v>
          </cell>
          <cell r="K785" t="str">
            <v/>
          </cell>
          <cell r="L785">
            <v>10781699.77</v>
          </cell>
          <cell r="M785" t="str">
            <v/>
          </cell>
        </row>
        <row r="786">
          <cell r="A786" t="str">
            <v>67110000</v>
          </cell>
          <cell r="B786" t="str">
            <v>19/01/01..19/12/31</v>
          </cell>
          <cell r="C786" t="str">
            <v>Non-operating Expense</v>
          </cell>
          <cell r="D786" t="str">
            <v>营业外支出</v>
          </cell>
          <cell r="E786" t="str">
            <v>Income Statement</v>
          </cell>
          <cell r="F786" t="str">
            <v>Begin-Total</v>
          </cell>
          <cell r="G786" t="str">
            <v>No</v>
          </cell>
          <cell r="H786" t="str">
            <v/>
          </cell>
          <cell r="I786" t="str">
            <v/>
          </cell>
          <cell r="J786" t="str">
            <v/>
          </cell>
          <cell r="K786" t="str">
            <v/>
          </cell>
          <cell r="L786" t="str">
            <v/>
          </cell>
          <cell r="M786" t="str">
            <v/>
          </cell>
        </row>
        <row r="787">
          <cell r="A787" t="str">
            <v>67110100</v>
          </cell>
          <cell r="B787" t="str">
            <v>19/01/01..19/12/31</v>
          </cell>
          <cell r="C787" t="str">
            <v>Non-operating Exp.-FA disposal</v>
          </cell>
          <cell r="D787" t="str">
            <v>营业外支出_固定资产处置净损失</v>
          </cell>
          <cell r="E787" t="str">
            <v>Income Statement</v>
          </cell>
          <cell r="F787" t="str">
            <v>Posting</v>
          </cell>
          <cell r="G787" t="str">
            <v>Yes</v>
          </cell>
          <cell r="H787" t="str">
            <v/>
          </cell>
          <cell r="I787">
            <v>855072.99</v>
          </cell>
          <cell r="J787">
            <v>855072.99</v>
          </cell>
          <cell r="K787" t="str">
            <v/>
          </cell>
          <cell r="L787">
            <v>855072.99</v>
          </cell>
          <cell r="M787" t="str">
            <v>775502</v>
          </cell>
        </row>
        <row r="788">
          <cell r="A788" t="str">
            <v>67110150</v>
          </cell>
          <cell r="B788" t="str">
            <v>19/01/01..19/12/31</v>
          </cell>
          <cell r="C788" t="str">
            <v>Non-operating Exp.-IA disposal</v>
          </cell>
          <cell r="D788" t="str">
            <v>营业外支出_无形资产处置净损失</v>
          </cell>
          <cell r="E788" t="str">
            <v>Income Statement</v>
          </cell>
          <cell r="F788" t="str">
            <v>Posting</v>
          </cell>
          <cell r="G788" t="str">
            <v>Yes</v>
          </cell>
          <cell r="H788" t="str">
            <v/>
          </cell>
          <cell r="I788" t="str">
            <v/>
          </cell>
          <cell r="J788" t="str">
            <v/>
          </cell>
          <cell r="K788" t="str">
            <v/>
          </cell>
          <cell r="L788" t="str">
            <v/>
          </cell>
          <cell r="M788" t="str">
            <v>775502</v>
          </cell>
        </row>
        <row r="789">
          <cell r="A789" t="str">
            <v>67110200</v>
          </cell>
          <cell r="B789" t="str">
            <v>19/01/01..19/12/31</v>
          </cell>
          <cell r="C789" t="str">
            <v>Non-operating Exp.-Restructur.</v>
          </cell>
          <cell r="D789" t="str">
            <v>营业外支出_重组</v>
          </cell>
          <cell r="E789" t="str">
            <v>Income Statement</v>
          </cell>
          <cell r="F789" t="str">
            <v>Posting</v>
          </cell>
          <cell r="G789" t="str">
            <v>Yes</v>
          </cell>
          <cell r="H789" t="str">
            <v/>
          </cell>
          <cell r="I789">
            <v>-383616.17</v>
          </cell>
          <cell r="J789">
            <v>655576.93000000005</v>
          </cell>
          <cell r="K789">
            <v>1039193.1</v>
          </cell>
          <cell r="L789">
            <v>-383616.17</v>
          </cell>
          <cell r="M789" t="str">
            <v>687600</v>
          </cell>
        </row>
        <row r="790">
          <cell r="A790" t="str">
            <v>67110250</v>
          </cell>
          <cell r="B790" t="str">
            <v>19/01/01..19/12/31</v>
          </cell>
          <cell r="C790" t="str">
            <v>Non-operating Exp.-Others</v>
          </cell>
          <cell r="D790" t="str">
            <v>营业外支出_其他</v>
          </cell>
          <cell r="E790" t="str">
            <v>Income Statement</v>
          </cell>
          <cell r="F790" t="str">
            <v>Posting</v>
          </cell>
          <cell r="G790" t="str">
            <v>Yes</v>
          </cell>
          <cell r="H790" t="str">
            <v/>
          </cell>
          <cell r="I790">
            <v>15708.08</v>
          </cell>
          <cell r="J790">
            <v>109892.68</v>
          </cell>
          <cell r="K790">
            <v>94184.6</v>
          </cell>
          <cell r="L790">
            <v>15708.08</v>
          </cell>
          <cell r="M790" t="str">
            <v>620300</v>
          </cell>
        </row>
        <row r="791">
          <cell r="A791" t="str">
            <v>67110300</v>
          </cell>
          <cell r="B791" t="str">
            <v>19/01/01..19/12/31</v>
          </cell>
          <cell r="C791" t="str">
            <v>Non-operating Exp.-Trans. out</v>
          </cell>
          <cell r="D791" t="str">
            <v>营业外支出_结转</v>
          </cell>
          <cell r="E791" t="str">
            <v>Income Statement</v>
          </cell>
          <cell r="F791" t="str">
            <v>Posting</v>
          </cell>
          <cell r="G791" t="str">
            <v>Yes</v>
          </cell>
          <cell r="H791" t="str">
            <v/>
          </cell>
          <cell r="I791" t="str">
            <v/>
          </cell>
          <cell r="J791" t="str">
            <v/>
          </cell>
          <cell r="K791" t="str">
            <v/>
          </cell>
          <cell r="L791" t="str">
            <v/>
          </cell>
          <cell r="M791" t="str">
            <v>620300</v>
          </cell>
        </row>
        <row r="792">
          <cell r="A792" t="str">
            <v>67119999</v>
          </cell>
          <cell r="B792" t="str">
            <v>19/01/01..19/12/31</v>
          </cell>
          <cell r="C792" t="str">
            <v>Non-operating Expense-Total</v>
          </cell>
          <cell r="D792" t="str">
            <v>营业外支出-合计</v>
          </cell>
          <cell r="E792" t="str">
            <v>Income Statement</v>
          </cell>
          <cell r="F792" t="str">
            <v>End-Total</v>
          </cell>
          <cell r="G792" t="str">
            <v>No</v>
          </cell>
          <cell r="H792" t="str">
            <v>67110000..67119999</v>
          </cell>
          <cell r="I792">
            <v>487164.9</v>
          </cell>
          <cell r="J792">
            <v>1620542.6</v>
          </cell>
          <cell r="K792">
            <v>1133377.7</v>
          </cell>
          <cell r="L792">
            <v>487164.9</v>
          </cell>
          <cell r="M792" t="str">
            <v/>
          </cell>
        </row>
        <row r="793">
          <cell r="A793" t="str">
            <v>68010000</v>
          </cell>
          <cell r="B793" t="str">
            <v>19/01/01..19/12/31</v>
          </cell>
          <cell r="C793" t="str">
            <v>Income Tax Expense</v>
          </cell>
          <cell r="D793" t="str">
            <v>所得税费用</v>
          </cell>
          <cell r="E793" t="str">
            <v>Income Statement</v>
          </cell>
          <cell r="F793" t="str">
            <v>Begin-Total</v>
          </cell>
          <cell r="G793" t="str">
            <v>No</v>
          </cell>
          <cell r="H793" t="str">
            <v/>
          </cell>
          <cell r="I793" t="str">
            <v/>
          </cell>
          <cell r="J793" t="str">
            <v/>
          </cell>
          <cell r="K793" t="str">
            <v/>
          </cell>
          <cell r="L793" t="str">
            <v/>
          </cell>
          <cell r="M793" t="str">
            <v/>
          </cell>
        </row>
        <row r="794">
          <cell r="A794" t="str">
            <v>68010100</v>
          </cell>
          <cell r="B794" t="str">
            <v>19/01/01..19/12/31</v>
          </cell>
          <cell r="C794" t="str">
            <v>Income Tax Exp.-current year</v>
          </cell>
          <cell r="D794" t="str">
            <v>所得税费用-当年</v>
          </cell>
          <cell r="E794" t="str">
            <v>Income Statement</v>
          </cell>
          <cell r="F794" t="str">
            <v>Posting</v>
          </cell>
          <cell r="G794" t="str">
            <v>Yes</v>
          </cell>
          <cell r="H794" t="str">
            <v/>
          </cell>
          <cell r="I794">
            <v>7214000</v>
          </cell>
          <cell r="J794">
            <v>7214000</v>
          </cell>
          <cell r="K794" t="str">
            <v/>
          </cell>
          <cell r="L794">
            <v>7214000</v>
          </cell>
          <cell r="M794" t="str">
            <v>695000</v>
          </cell>
        </row>
        <row r="795">
          <cell r="A795" t="str">
            <v>68010200</v>
          </cell>
          <cell r="B795" t="str">
            <v>19/01/01..19/12/31</v>
          </cell>
          <cell r="C795" t="str">
            <v>Income Tax Expense-Deferred</v>
          </cell>
          <cell r="D795" t="str">
            <v>所得税费用-递延</v>
          </cell>
          <cell r="E795" t="str">
            <v>Income Statement</v>
          </cell>
          <cell r="F795" t="str">
            <v>Posting</v>
          </cell>
          <cell r="G795" t="str">
            <v>Yes</v>
          </cell>
          <cell r="H795" t="str">
            <v/>
          </cell>
          <cell r="I795">
            <v>2423000</v>
          </cell>
          <cell r="J795">
            <v>10091000</v>
          </cell>
          <cell r="K795">
            <v>7668000</v>
          </cell>
          <cell r="L795">
            <v>2423000</v>
          </cell>
          <cell r="M795" t="str">
            <v>696000</v>
          </cell>
        </row>
        <row r="796">
          <cell r="A796" t="str">
            <v>68019999</v>
          </cell>
          <cell r="B796" t="str">
            <v>19/01/01..19/12/31</v>
          </cell>
          <cell r="C796" t="str">
            <v>Income Tax Expense-Total</v>
          </cell>
          <cell r="D796" t="str">
            <v>所得税费用-合计</v>
          </cell>
          <cell r="E796" t="str">
            <v>Income Statement</v>
          </cell>
          <cell r="F796" t="str">
            <v>End-Total</v>
          </cell>
          <cell r="G796" t="str">
            <v>No</v>
          </cell>
          <cell r="H796" t="str">
            <v>68010000..68019999</v>
          </cell>
          <cell r="I796">
            <v>9637000</v>
          </cell>
          <cell r="J796">
            <v>17305000</v>
          </cell>
          <cell r="K796">
            <v>7668000</v>
          </cell>
          <cell r="L796">
            <v>9637000</v>
          </cell>
          <cell r="M796" t="str">
            <v/>
          </cell>
        </row>
        <row r="797">
          <cell r="A797" t="str">
            <v>69010000</v>
          </cell>
          <cell r="B797" t="str">
            <v>19/01/01..19/12/31</v>
          </cell>
          <cell r="C797" t="str">
            <v>Prior year PL adjustment</v>
          </cell>
          <cell r="D797" t="str">
            <v>以前年度损益调整</v>
          </cell>
          <cell r="E797" t="str">
            <v>Income Statement</v>
          </cell>
          <cell r="F797" t="str">
            <v>Posting</v>
          </cell>
          <cell r="G797" t="str">
            <v>Yes</v>
          </cell>
          <cell r="H797" t="str">
            <v/>
          </cell>
          <cell r="I797">
            <v>393292.49</v>
          </cell>
          <cell r="J797">
            <v>524292.49</v>
          </cell>
          <cell r="K797">
            <v>131000</v>
          </cell>
          <cell r="L797">
            <v>393292.49</v>
          </cell>
          <cell r="M797" t="str">
            <v>99010000</v>
          </cell>
        </row>
        <row r="798">
          <cell r="A798" t="str">
            <v>88888888</v>
          </cell>
          <cell r="B798" t="str">
            <v>19/01/01..19/12/31</v>
          </cell>
          <cell r="C798" t="str">
            <v>Current Year Profit_Total</v>
          </cell>
          <cell r="D798" t="str">
            <v>本年利润合计</v>
          </cell>
          <cell r="E798" t="str">
            <v>Income Statement</v>
          </cell>
          <cell r="F798" t="str">
            <v>Total</v>
          </cell>
          <cell r="G798" t="str">
            <v>No</v>
          </cell>
          <cell r="H798" t="str">
            <v>60010000..69010000</v>
          </cell>
          <cell r="I798">
            <v>-25315242.800000001</v>
          </cell>
          <cell r="J798">
            <v>1255656749770.3301</v>
          </cell>
          <cell r="K798">
            <v>1255682065013.1299</v>
          </cell>
          <cell r="L798">
            <v>-25315242.800000001</v>
          </cell>
          <cell r="M798" t="str">
            <v/>
          </cell>
        </row>
        <row r="799">
          <cell r="A799" t="str">
            <v>99999998</v>
          </cell>
          <cell r="B799" t="str">
            <v>19/01/01..19/12/31</v>
          </cell>
          <cell r="C799" t="str">
            <v>ESS Clearing Account</v>
          </cell>
          <cell r="D799" t="str">
            <v>ESS 中转科目</v>
          </cell>
          <cell r="E799" t="str">
            <v>Income Statement</v>
          </cell>
          <cell r="F799" t="str">
            <v>Posting</v>
          </cell>
          <cell r="G799" t="str">
            <v>Yes</v>
          </cell>
          <cell r="H799" t="str">
            <v/>
          </cell>
          <cell r="I799" t="str">
            <v/>
          </cell>
          <cell r="J799">
            <v>3051606.03</v>
          </cell>
          <cell r="K799">
            <v>3051606.03</v>
          </cell>
          <cell r="L799" t="str">
            <v/>
          </cell>
          <cell r="M799" t="str">
            <v>999999</v>
          </cell>
        </row>
        <row r="800">
          <cell r="A800" t="str">
            <v>99999999</v>
          </cell>
          <cell r="B800" t="str">
            <v>19/01/01..19/12/31</v>
          </cell>
          <cell r="C800" t="str">
            <v>Beginning Blance_Temp</v>
          </cell>
          <cell r="D800" t="str">
            <v>期初余额临时科目</v>
          </cell>
          <cell r="E800" t="str">
            <v>Income Statement</v>
          </cell>
          <cell r="F800" t="str">
            <v>Posting</v>
          </cell>
          <cell r="G800" t="str">
            <v>Yes</v>
          </cell>
          <cell r="H800" t="str">
            <v/>
          </cell>
          <cell r="I800" t="str">
            <v/>
          </cell>
          <cell r="J800" t="str">
            <v/>
          </cell>
          <cell r="K800" t="str">
            <v/>
          </cell>
          <cell r="L800" t="str">
            <v/>
          </cell>
          <cell r="M800" t="str">
            <v>999999</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 Balance Sheet"/>
      <sheetName val="Income statements"/>
      <sheetName val="Job Allocation"/>
      <sheetName val="AR confirmation"/>
      <sheetName val="Copper effect"/>
      <sheetName val="Sheet2"/>
      <sheetName val="1.2.1 PPE"/>
      <sheetName val="1.2.3 Inventory"/>
      <sheetName val="4.1 Provision"/>
      <sheetName val="Sheet1"/>
      <sheetName val="1.2.4 Trade receivable"/>
      <sheetName val="1.2.5 Current financial assets"/>
      <sheetName val="1.2.6 interco loan"/>
      <sheetName val="1.2.9 Equity"/>
      <sheetName val="1.2.13Other current liabilities"/>
      <sheetName val="1.2.10 Operating payable"/>
      <sheetName val="1.2.11 Current financial liabli"/>
      <sheetName val="1.1.1 Sales"/>
      <sheetName val="1.1.7 Indirect production cost"/>
      <sheetName val="Sheet4"/>
      <sheetName val="Total Admin &amp; General Expenses"/>
      <sheetName val="1.1.8 Indirect marketing"/>
      <sheetName val="Direct marketing expense"/>
      <sheetName val="1.1.13 Net Financial Result"/>
      <sheetName val="Personel"/>
      <sheetName val="1.5 other KPI"/>
      <sheetName val="Summary of Unadjusted "/>
      <sheetName val="Cash flow"/>
      <sheetName val="4.2 TAX"/>
      <sheetName val="4.3 DTA"/>
    </sheetNames>
    <sheetDataSet>
      <sheetData sheetId="0" refreshError="1"/>
      <sheetData sheetId="1">
        <row r="44">
          <cell r="D44">
            <v>26611.820000000022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C Spreadsheet-2019.12.31"/>
      <sheetName val="Cash flow"/>
      <sheetName val="CF-2018"/>
      <sheetName val="Sheet1"/>
      <sheetName val="PRC JA list"/>
      <sheetName val="Mapping BS"/>
      <sheetName val="Mapping PL"/>
      <sheetName val="PL MAPPING"/>
      <sheetName val="PRC Spreadsheet-2018.12.31"/>
      <sheetName val="SUAD"/>
      <sheetName val="PRC Spreadsheet 20171231"/>
      <sheetName val="Financial Highlight_BS"/>
      <sheetName val="Financial Highlight_PL"/>
    </sheetNames>
    <sheetDataSet>
      <sheetData sheetId="0" refreshError="1"/>
      <sheetData sheetId="1" refreshError="1"/>
      <sheetData sheetId="2" refreshError="1"/>
      <sheetData sheetId="3" refreshError="1"/>
      <sheetData sheetId="4">
        <row r="7">
          <cell r="D7">
            <v>-2672189.2200000007</v>
          </cell>
        </row>
        <row r="8">
          <cell r="D8">
            <v>2986980.08</v>
          </cell>
        </row>
        <row r="9">
          <cell r="F9">
            <v>131000</v>
          </cell>
        </row>
        <row r="10">
          <cell r="F10">
            <v>-2238871.6899999995</v>
          </cell>
        </row>
        <row r="11">
          <cell r="E11">
            <v>1793080.83</v>
          </cell>
        </row>
        <row r="14">
          <cell r="F14">
            <v>25490463.609999999</v>
          </cell>
        </row>
        <row r="15">
          <cell r="F15">
            <v>-25490463.609999999</v>
          </cell>
        </row>
        <row r="19">
          <cell r="F19">
            <v>-2130.2500000000005</v>
          </cell>
        </row>
        <row r="20">
          <cell r="E20">
            <v>2130.2500000000005</v>
          </cell>
        </row>
        <row r="23">
          <cell r="F23">
            <v>-9109764.9800000004</v>
          </cell>
        </row>
        <row r="24">
          <cell r="F24">
            <v>4984734.9700000007</v>
          </cell>
        </row>
        <row r="25">
          <cell r="F25">
            <v>4125030.01</v>
          </cell>
        </row>
        <row r="28">
          <cell r="F28">
            <v>-383616.17</v>
          </cell>
        </row>
        <row r="31">
          <cell r="F31">
            <v>383616.17</v>
          </cell>
        </row>
        <row r="34">
          <cell r="D34">
            <v>6184428.4199999999</v>
          </cell>
        </row>
        <row r="35">
          <cell r="D35">
            <v>-6184428.4199999999</v>
          </cell>
        </row>
        <row r="38">
          <cell r="D38">
            <v>-156410000</v>
          </cell>
        </row>
        <row r="39">
          <cell r="D39">
            <v>156410000</v>
          </cell>
        </row>
        <row r="42">
          <cell r="F42">
            <v>6428952.5899999999</v>
          </cell>
        </row>
        <row r="43">
          <cell r="F43">
            <v>-6428952.5899999999</v>
          </cell>
        </row>
        <row r="46">
          <cell r="D46">
            <v>1000000</v>
          </cell>
        </row>
        <row r="47">
          <cell r="D47">
            <v>-1000000</v>
          </cell>
        </row>
        <row r="50">
          <cell r="D50">
            <v>1487743.8</v>
          </cell>
        </row>
        <row r="51">
          <cell r="D51">
            <v>-1487743.8</v>
          </cell>
        </row>
        <row r="54">
          <cell r="D54">
            <v>3382797.7</v>
          </cell>
        </row>
        <row r="55">
          <cell r="F55">
            <v>-1014839.31</v>
          </cell>
        </row>
        <row r="56">
          <cell r="F56">
            <v>1014839.31</v>
          </cell>
        </row>
        <row r="57">
          <cell r="D57">
            <v>-1014839.31</v>
          </cell>
        </row>
        <row r="58">
          <cell r="D58">
            <v>-2367958.39</v>
          </cell>
        </row>
        <row r="61">
          <cell r="D61">
            <v>-4355299.21</v>
          </cell>
        </row>
        <row r="62">
          <cell r="D62">
            <v>4355299.21</v>
          </cell>
        </row>
        <row r="65">
          <cell r="F65">
            <v>2045118.72</v>
          </cell>
        </row>
        <row r="66">
          <cell r="F66">
            <v>-2045118.72</v>
          </cell>
        </row>
        <row r="69">
          <cell r="D69">
            <v>-141986.29200000167</v>
          </cell>
        </row>
        <row r="70">
          <cell r="E70">
            <v>141986.29200000167</v>
          </cell>
        </row>
      </sheetData>
      <sheetData sheetId="5">
        <row r="10">
          <cell r="C10">
            <v>-1037.92</v>
          </cell>
        </row>
      </sheetData>
      <sheetData sheetId="6" refreshError="1"/>
      <sheetData sheetId="7" refreshError="1"/>
      <sheetData sheetId="8">
        <row r="114">
          <cell r="B114">
            <v>24210170.74000001</v>
          </cell>
          <cell r="O114">
            <v>26005381.820000038</v>
          </cell>
        </row>
      </sheetData>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ésultats"/>
      <sheetName val="VERIF"/>
      <sheetName val="TRI"/>
      <sheetName val="CA"/>
      <sheetName val="Vol de prod-"/>
      <sheetName val="Conso MP"/>
      <sheetName val="Logist avale"/>
      <sheetName val="Energie entretien"/>
      <sheetName val="Charge MOD"/>
      <sheetName val="Invest"/>
      <sheetName val="Amort"/>
      <sheetName val="Process"/>
      <sheetName val="Taux MN"/>
      <sheetName val="Frais généraux"/>
      <sheetName val="Demar"/>
      <sheetName val="Frais Fin"/>
      <sheetName val="XREF"/>
      <sheetName val="Final"/>
      <sheetName val="Cover"/>
      <sheetName val="Résultats EFECDEC 2008 RMB"/>
      <sheetName val="Linkdata"/>
      <sheetName val="No"/>
      <sheetName val="F40-Goodsin transit"/>
      <sheetName val="固定资产变动情况表0301"/>
      <sheetName val="1.Pgm"/>
      <sheetName val="Safran R2010"/>
      <sheetName val="Safran B2011"/>
      <sheetName val="Safran B2013"/>
      <sheetName val="Safran R2011"/>
      <sheetName val="Safran B2012"/>
      <sheetName val="BFC FC2012"/>
      <sheetName val="BFC R2012"/>
      <sheetName val="FMEA format"/>
      <sheetName val="RF"/>
      <sheetName val="Provisions &amp; IG reg"/>
      <sheetName val="Conso"/>
      <sheetName val="CA Prod Ebitda Ebit"/>
      <sheetName val="Ebit &amp; Ebitda"/>
      <sheetName val="Chiffre cles"/>
      <sheetName val="P&amp;Ls"/>
      <sheetName val="Zoom"/>
      <sheetName val="Zoom % Prod"/>
      <sheetName val="Zoom Frais Généraux"/>
      <sheetName val="Lists"/>
      <sheetName val="D3"/>
      <sheetName val="Client inf"/>
      <sheetName val="Feuil3"/>
      <sheetName val="SYNTHESE"/>
      <sheetName val="成本中心"/>
      <sheetName val="费用科目核算范围"/>
      <sheetName val="Vol_de_prod-"/>
      <sheetName val="Conso_MP"/>
      <sheetName val="Logist_avale"/>
      <sheetName val="Energie_entretien"/>
      <sheetName val="Charge_MOD"/>
      <sheetName val="Taux_MN"/>
      <sheetName val="Frais_généraux"/>
      <sheetName val="Frais_Fin"/>
      <sheetName val="Résultats_EFECDEC_2008_RMB"/>
      <sheetName val="F40-Goodsin_transit"/>
      <sheetName val="1_Pgm"/>
      <sheetName val="Safran_R2010"/>
      <sheetName val="Safran_B2011"/>
      <sheetName val="Safran_B2013"/>
      <sheetName val="Safran_R2011"/>
      <sheetName val="Safran_B2012"/>
      <sheetName val="BFC_FC2012"/>
      <sheetName val="BFC_R2012"/>
      <sheetName val="FMEA_format"/>
      <sheetName val="Provisions_&amp;_IG_reg"/>
      <sheetName val="CA_Prod_Ebitda_Ebit"/>
      <sheetName val="Ebit_&amp;_Ebitda"/>
      <sheetName val="Chiffre_cles"/>
      <sheetName val="Zoom_%_Prod"/>
      <sheetName val="Zoom_Frais_Généraux"/>
      <sheetName val="Client_inf"/>
      <sheetName val="Inv 6000"/>
      <sheetName val="Cours Moyen Fran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CPCXCI"/>
      <sheetName val="PLT"/>
      <sheetName val="PLCP"/>
      <sheetName val="PLIP"/>
      <sheetName val="PLCX"/>
      <sheetName val="PLCI"/>
      <sheetName val="BS"/>
      <sheetName val="Rate"/>
      <sheetName val="NBCF1"/>
      <sheetName val="NBCF"/>
      <sheetName val="ARDAYS"/>
      <sheetName val="INVDAYS"/>
      <sheetName val="APDAY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CPCXCI"/>
      <sheetName val="PLT"/>
      <sheetName val="PLCP"/>
      <sheetName val="PLIP"/>
      <sheetName val="PLCX"/>
      <sheetName val="PLCI"/>
      <sheetName val="BS"/>
      <sheetName val="Rate"/>
      <sheetName val="NBCF1"/>
      <sheetName val="NBCF"/>
      <sheetName val="ARDAYS"/>
      <sheetName val="INVDAYS"/>
      <sheetName val="APDAY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永久性文件"/>
      <sheetName val="bank"/>
      <sheetName val="AR breakdown "/>
      <sheetName val="OR"/>
      <sheetName val="advance to"/>
      <sheetName val="note receviable"/>
      <sheetName val="inventory"/>
      <sheetName val="存货明细及其库龄"/>
      <sheetName val="prepaid"/>
      <sheetName val="fix assets"/>
      <sheetName val="固定资产处置清单"/>
      <sheetName val="CIP breakdown"/>
      <sheetName val="AP breakdown"/>
      <sheetName val="OP breakdown "/>
      <sheetName val="advance from"/>
      <sheetName val="预提"/>
      <sheetName val="payroll"/>
      <sheetName val="welfare"/>
      <sheetName val="short-term loan"/>
      <sheetName val="tax payable"/>
      <sheetName val="实收资本"/>
      <sheetName val="主营业务收入及成本及主营业务税金及附加"/>
      <sheetName val="成本核算表"/>
      <sheetName val="5大客户，5大供应商，主要竞争对手"/>
      <sheetName val="采购明细"/>
      <sheetName val="制造费用"/>
      <sheetName val="管理费用"/>
      <sheetName val="营业费用"/>
      <sheetName val="费用合计"/>
      <sheetName val="财物费用"/>
      <sheetName val="工资核算表"/>
      <sheetName val="营业外收入，支出"/>
      <sheetName val="租赁承诺"/>
      <sheetName val="Electronics Existing"/>
      <sheetName val="month"/>
      <sheetName val="K5-1"/>
    </sheetNames>
    <sheetDataSet>
      <sheetData sheetId="0" refreshError="1"/>
      <sheetData sheetId="1"/>
      <sheetData sheetId="2"/>
      <sheetData sheetId="3"/>
      <sheetData sheetId="4"/>
      <sheetData sheetId="5" refreshError="1"/>
      <sheetData sheetId="6"/>
      <sheetData sheetId="7" refreshError="1"/>
      <sheetData sheetId="8"/>
      <sheetData sheetId="9"/>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永久性文件"/>
      <sheetName val="bank"/>
      <sheetName val="AR breakdown "/>
      <sheetName val="OR"/>
      <sheetName val="advance to"/>
      <sheetName val="note receviable"/>
      <sheetName val="inventory"/>
      <sheetName val="存货明细及其库龄"/>
      <sheetName val="prepaid"/>
      <sheetName val="fix assets"/>
      <sheetName val="固定资产处置清单"/>
      <sheetName val="CIP breakdown"/>
      <sheetName val="AP breakdown"/>
      <sheetName val="OP breakdown "/>
      <sheetName val="advance from"/>
      <sheetName val="预提"/>
      <sheetName val="payroll"/>
      <sheetName val="welfare"/>
      <sheetName val="short-term loan"/>
      <sheetName val="tax payable"/>
      <sheetName val="实收资本"/>
      <sheetName val="主营业务收入及成本及主营业务税金及附加"/>
      <sheetName val="成本核算表"/>
      <sheetName val="5大客户，5大供应商，主要竞争对手"/>
      <sheetName val="采购明细"/>
      <sheetName val="制造费用"/>
      <sheetName val="管理费用"/>
      <sheetName val="营业费用"/>
      <sheetName val="费用合计"/>
      <sheetName val="财物费用"/>
      <sheetName val="工资核算表"/>
      <sheetName val="营业外收入，支出"/>
      <sheetName val="租赁承诺"/>
      <sheetName val="Electronics Existing"/>
      <sheetName val="month"/>
      <sheetName val="K5-1"/>
    </sheetNames>
    <sheetDataSet>
      <sheetData sheetId="0" refreshError="1"/>
      <sheetData sheetId="1"/>
      <sheetData sheetId="2"/>
      <sheetData sheetId="3"/>
      <sheetData sheetId="4"/>
      <sheetData sheetId="5" refreshError="1"/>
      <sheetData sheetId="6"/>
      <sheetData sheetId="7" refreshError="1"/>
      <sheetData sheetId="8"/>
      <sheetData sheetId="9"/>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down"/>
      <sheetName val="Contract loss"/>
      <sheetName val="commision"/>
      <sheetName val="warranty"/>
      <sheetName val="updated on late deliveries"/>
      <sheetName val="late delivery provision"/>
      <sheetName val="Compliance replacement"/>
      <sheetName val="XREF"/>
      <sheetName val="Tickmarks"/>
      <sheetName val="HFM Codes"/>
      <sheetName val="P1. Breakdown"/>
      <sheetName val="Choix"/>
      <sheetName val="B"/>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 val="CdR"/>
      <sheetName val="Feuil3"/>
      <sheetName val="BU"/>
      <sheetName val="Synthèse"/>
      <sheetName val="Hypothèses"/>
      <sheetName val="CA Series Zones "/>
      <sheetName val="Par Site màj"/>
      <sheetName val="Invest"/>
      <sheetName val="Effectif"/>
      <sheetName val="Import ND"/>
      <sheetName val="Import CM"/>
      <sheetName val="Import MM taux 2005"/>
      <sheetName val="Import MM taux 2006"/>
      <sheetName val="Ovh Rosny"/>
      <sheetName val="TEMPS"/>
      <sheetName val="Feuil1"/>
      <sheetName val="Techno"/>
      <sheetName val="str coûts 05"/>
      <sheetName val="Str."/>
      <sheetName val="Conso"/>
      <sheetName val="bank"/>
      <sheetName val="MFRLIST"/>
      <sheetName val="XREF"/>
      <sheetName val="#511BkRec"/>
      <sheetName val="Xchange rate"/>
      <sheetName val="ARP-P101"/>
      <sheetName val="LIST"/>
      <sheetName val="CMA_Calcul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 val="CdR"/>
      <sheetName val="Feuil3"/>
      <sheetName val="BU"/>
      <sheetName val="Synthèse"/>
      <sheetName val="Hypothèses"/>
      <sheetName val="CA Series Zones "/>
      <sheetName val="Par Site màj"/>
      <sheetName val="Invest"/>
      <sheetName val="Effectif"/>
      <sheetName val="Import ND"/>
      <sheetName val="Import CM"/>
      <sheetName val="Import MM taux 2005"/>
      <sheetName val="Import MM taux 2006"/>
      <sheetName val="Ovh Rosny"/>
      <sheetName val="TEMPS"/>
      <sheetName val="Feuil1"/>
      <sheetName val="Techno"/>
      <sheetName val="str coûts 05"/>
      <sheetName val="Str."/>
      <sheetName val="Conso"/>
      <sheetName val="MFRLIST"/>
      <sheetName val="bank"/>
      <sheetName val="XREF"/>
      <sheetName val="#511BkRec"/>
      <sheetName val="ARP-P101"/>
      <sheetName val="Xchange rate"/>
      <sheetName val="LIST"/>
      <sheetName val="CMA_Calcul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5"/>
  <sheetViews>
    <sheetView tabSelected="1" zoomScaleNormal="100" workbookViewId="0">
      <pane xSplit="3" ySplit="8" topLeftCell="D9" activePane="bottomRight" state="frozen"/>
      <selection activeCell="N47" sqref="N47"/>
      <selection pane="topRight" activeCell="N47" sqref="N47"/>
      <selection pane="bottomLeft" activeCell="N47" sqref="N47"/>
      <selection pane="bottomRight" activeCell="D11" sqref="D11"/>
    </sheetView>
  </sheetViews>
  <sheetFormatPr defaultColWidth="9" defaultRowHeight="13.15" outlineLevelCol="1"/>
  <cols>
    <col min="1" max="1" width="9" style="13"/>
    <col min="2" max="2" width="32.6640625" style="30" customWidth="1"/>
    <col min="3" max="3" width="18.109375" style="19" customWidth="1"/>
    <col min="4" max="5" width="14.77734375" style="19" customWidth="1" outlineLevel="1"/>
    <col min="6" max="6" width="15.109375" style="19" customWidth="1" outlineLevel="1"/>
    <col min="7" max="7" width="14.88671875" style="19" customWidth="1" outlineLevel="1"/>
    <col min="8" max="8" width="13.33203125" style="19" customWidth="1" outlineLevel="1"/>
    <col min="9" max="9" width="14.33203125" style="19" customWidth="1" outlineLevel="1"/>
    <col min="10" max="10" width="15.77734375" style="19" customWidth="1" outlineLevel="1"/>
    <col min="11" max="11" width="15.6640625" style="19" customWidth="1" outlineLevel="1"/>
    <col min="12" max="18" width="17" style="19" customWidth="1" outlineLevel="1"/>
    <col min="19" max="19" width="16.33203125" style="19" bestFit="1" customWidth="1"/>
    <col min="20" max="20" width="11.21875" style="10" bestFit="1" customWidth="1"/>
    <col min="21" max="21" width="11.77734375" style="11" customWidth="1"/>
    <col min="22" max="22" width="12.21875" style="12" bestFit="1" customWidth="1"/>
    <col min="23" max="23" width="9.6640625" style="12" bestFit="1" customWidth="1"/>
    <col min="24" max="16384" width="9" style="13"/>
  </cols>
  <sheetData>
    <row r="1" spans="1:23">
      <c r="B1" s="8" t="s">
        <v>237</v>
      </c>
      <c r="C1" s="9"/>
      <c r="D1" s="9"/>
      <c r="E1" s="9"/>
      <c r="F1" s="9"/>
      <c r="G1" s="9"/>
      <c r="H1" s="9"/>
      <c r="I1" s="9"/>
      <c r="J1" s="9"/>
      <c r="K1" s="9"/>
      <c r="L1" s="9"/>
      <c r="M1" s="9"/>
      <c r="N1" s="9"/>
      <c r="O1" s="9"/>
      <c r="P1" s="9"/>
      <c r="Q1" s="9"/>
      <c r="R1" s="9"/>
      <c r="S1" s="9"/>
    </row>
    <row r="2" spans="1:23">
      <c r="B2" s="14" t="s">
        <v>1416</v>
      </c>
      <c r="C2" s="15"/>
      <c r="D2" s="15"/>
      <c r="E2" s="15"/>
      <c r="F2" s="15"/>
      <c r="G2" s="15"/>
      <c r="H2" s="15"/>
      <c r="I2" s="15"/>
      <c r="J2" s="15"/>
      <c r="K2" s="15"/>
      <c r="L2" s="15"/>
      <c r="M2" s="15"/>
      <c r="N2" s="15"/>
      <c r="O2" s="15"/>
      <c r="P2" s="15"/>
      <c r="Q2" s="15"/>
      <c r="R2" s="15"/>
      <c r="S2" s="15"/>
    </row>
    <row r="3" spans="1:23">
      <c r="B3" s="16" t="s">
        <v>1</v>
      </c>
      <c r="C3" s="17"/>
      <c r="D3" s="17"/>
      <c r="E3" s="17"/>
      <c r="F3" s="17"/>
      <c r="G3" s="17"/>
      <c r="H3" s="17"/>
      <c r="I3" s="17"/>
      <c r="J3" s="17"/>
      <c r="K3" s="17"/>
      <c r="L3" s="17"/>
      <c r="S3" s="9"/>
      <c r="T3" s="237"/>
    </row>
    <row r="4" spans="1:23">
      <c r="B4" s="16" t="s">
        <v>2</v>
      </c>
      <c r="C4" s="37"/>
      <c r="D4" s="37"/>
      <c r="E4" s="37"/>
      <c r="F4" s="9"/>
      <c r="G4" s="9"/>
      <c r="H4" s="9"/>
      <c r="I4" s="9"/>
      <c r="J4" s="9"/>
      <c r="K4" s="9"/>
      <c r="L4" s="9"/>
      <c r="S4" s="9"/>
      <c r="T4" s="37"/>
    </row>
    <row r="5" spans="1:23">
      <c r="B5" s="16"/>
      <c r="C5" s="9"/>
      <c r="D5" s="9"/>
      <c r="E5" s="9"/>
      <c r="F5" s="9"/>
      <c r="G5" s="9"/>
      <c r="H5" s="9"/>
      <c r="I5" s="9"/>
      <c r="J5" s="9"/>
      <c r="K5" s="9"/>
      <c r="L5" s="9"/>
      <c r="T5" s="239"/>
    </row>
    <row r="6" spans="1:23">
      <c r="B6" s="18" t="s">
        <v>1419</v>
      </c>
    </row>
    <row r="7" spans="1:23">
      <c r="B7" s="20"/>
      <c r="C7" s="287" t="s">
        <v>1417</v>
      </c>
      <c r="D7" s="323" t="s">
        <v>952</v>
      </c>
      <c r="E7" s="323"/>
      <c r="F7" s="323"/>
      <c r="G7" s="323"/>
      <c r="H7" s="323"/>
      <c r="I7" s="323"/>
      <c r="J7" s="323"/>
      <c r="K7" s="323"/>
      <c r="L7" s="323"/>
      <c r="M7" s="323"/>
      <c r="N7" s="323"/>
      <c r="O7" s="323"/>
      <c r="P7" s="323"/>
      <c r="Q7" s="323"/>
      <c r="R7" s="323"/>
      <c r="S7" s="317" t="s">
        <v>1417</v>
      </c>
      <c r="T7" s="171"/>
    </row>
    <row r="8" spans="1:23" ht="26.3">
      <c r="B8" s="22"/>
      <c r="C8" s="23" t="s">
        <v>28</v>
      </c>
      <c r="D8" s="58" t="s">
        <v>29</v>
      </c>
      <c r="E8" s="58" t="s">
        <v>1311</v>
      </c>
      <c r="F8" s="58" t="s">
        <v>953</v>
      </c>
      <c r="G8" s="58" t="s">
        <v>186</v>
      </c>
      <c r="H8" s="58" t="s">
        <v>187</v>
      </c>
      <c r="I8" s="58" t="s">
        <v>188</v>
      </c>
      <c r="J8" s="58" t="s">
        <v>189</v>
      </c>
      <c r="K8" s="58" t="s">
        <v>230</v>
      </c>
      <c r="L8" s="58" t="s">
        <v>231</v>
      </c>
      <c r="M8" s="58" t="s">
        <v>236</v>
      </c>
      <c r="N8" s="58" t="s">
        <v>238</v>
      </c>
      <c r="O8" s="58" t="s">
        <v>1037</v>
      </c>
      <c r="P8" s="58" t="s">
        <v>1038</v>
      </c>
      <c r="Q8" s="58" t="s">
        <v>1336</v>
      </c>
      <c r="R8" s="58" t="s">
        <v>1337</v>
      </c>
      <c r="S8" s="23" t="s">
        <v>306</v>
      </c>
      <c r="T8" s="26" t="s">
        <v>272</v>
      </c>
      <c r="U8" s="27" t="s">
        <v>64</v>
      </c>
    </row>
    <row r="9" spans="1:23" ht="12.7" customHeight="1">
      <c r="B9" s="30" t="s">
        <v>32</v>
      </c>
      <c r="C9" s="31">
        <v>18233680.629999999</v>
      </c>
      <c r="D9" s="31"/>
      <c r="E9" s="31"/>
      <c r="F9" s="31"/>
      <c r="G9" s="31"/>
      <c r="H9" s="31"/>
      <c r="I9" s="31"/>
      <c r="J9" s="31"/>
      <c r="K9" s="31"/>
      <c r="L9" s="31"/>
      <c r="M9" s="31"/>
      <c r="N9" s="31"/>
      <c r="O9" s="31"/>
      <c r="P9" s="31"/>
      <c r="Q9" s="31"/>
      <c r="R9" s="31"/>
      <c r="S9" s="31">
        <f>SUM(C9:R9)</f>
        <v>18233680.629999999</v>
      </c>
      <c r="T9" s="26" t="s">
        <v>273</v>
      </c>
      <c r="U9" s="27" t="s">
        <v>1191</v>
      </c>
    </row>
    <row r="10" spans="1:23" ht="12.7" customHeight="1">
      <c r="B10" s="30" t="s">
        <v>67</v>
      </c>
      <c r="C10" s="32">
        <v>9758624.9000000004</v>
      </c>
      <c r="D10" s="31"/>
      <c r="E10" s="31"/>
      <c r="F10" s="31"/>
      <c r="G10" s="31"/>
      <c r="H10" s="31"/>
      <c r="I10" s="31"/>
      <c r="J10" s="31"/>
      <c r="K10" s="31"/>
      <c r="L10" s="31">
        <f>'PRC JA list'!D47</f>
        <v>0</v>
      </c>
      <c r="M10" s="31"/>
      <c r="N10" s="31"/>
      <c r="O10" s="31"/>
      <c r="P10" s="31"/>
      <c r="Q10" s="31"/>
      <c r="R10" s="31"/>
      <c r="S10" s="31">
        <f t="shared" ref="S10:S13" si="0">SUM(C10:R10)</f>
        <v>9758624.9000000004</v>
      </c>
      <c r="T10" s="26" t="s">
        <v>274</v>
      </c>
      <c r="U10" s="27" t="s">
        <v>1191</v>
      </c>
    </row>
    <row r="11" spans="1:23" ht="12.7" customHeight="1">
      <c r="A11" s="335" t="s">
        <v>1437</v>
      </c>
      <c r="B11" s="33" t="s">
        <v>3</v>
      </c>
      <c r="C11" s="32">
        <v>101786644.33</v>
      </c>
      <c r="D11" s="31">
        <f>'IFRS SUAD'!E20</f>
        <v>-1307141.9453758805</v>
      </c>
      <c r="E11" s="31"/>
      <c r="F11" s="31"/>
      <c r="G11" s="31"/>
      <c r="H11" s="31"/>
      <c r="I11" s="31">
        <f>'PRC JA list'!D34</f>
        <v>0</v>
      </c>
      <c r="J11" s="31"/>
      <c r="K11" s="31"/>
      <c r="M11" s="31"/>
      <c r="N11" s="31"/>
      <c r="O11" s="31"/>
      <c r="S11" s="31">
        <f>SUM(C11:R11)</f>
        <v>100479502.38462412</v>
      </c>
      <c r="T11" s="26" t="s">
        <v>275</v>
      </c>
      <c r="U11" s="27" t="s">
        <v>1190</v>
      </c>
      <c r="V11" s="12">
        <f>33761.304</f>
        <v>33761.303999999996</v>
      </c>
      <c r="W11" s="12">
        <f>C11/1000+V11+C10/1000</f>
        <v>145306.57322999998</v>
      </c>
    </row>
    <row r="12" spans="1:23" ht="12.7" customHeight="1">
      <c r="B12" s="30" t="s">
        <v>4</v>
      </c>
      <c r="C12" s="32">
        <v>-1492139.23</v>
      </c>
      <c r="D12" s="31"/>
      <c r="E12" s="31"/>
      <c r="F12" s="32"/>
      <c r="G12" s="32"/>
      <c r="H12" s="32"/>
      <c r="I12" s="32"/>
      <c r="J12" s="32"/>
      <c r="K12" s="32"/>
      <c r="L12" s="31">
        <f>'PRC JA list'!D46</f>
        <v>0</v>
      </c>
      <c r="M12" s="32"/>
      <c r="N12" s="32"/>
      <c r="O12" s="32"/>
      <c r="P12" s="32"/>
      <c r="Q12" s="32"/>
      <c r="R12" s="32"/>
      <c r="S12" s="31">
        <f t="shared" si="0"/>
        <v>-1492139.23</v>
      </c>
      <c r="T12" s="26" t="s">
        <v>275</v>
      </c>
      <c r="U12" s="27" t="s">
        <v>1190</v>
      </c>
    </row>
    <row r="13" spans="1:23">
      <c r="B13" s="30" t="s">
        <v>5</v>
      </c>
      <c r="C13" s="32">
        <v>28370261.780000001</v>
      </c>
      <c r="D13" s="31"/>
      <c r="E13" s="31"/>
      <c r="F13" s="31"/>
      <c r="G13" s="31"/>
      <c r="H13" s="31"/>
      <c r="I13" s="31"/>
      <c r="J13" s="31"/>
      <c r="K13" s="31"/>
      <c r="L13" s="31"/>
      <c r="M13" s="31"/>
      <c r="N13" s="31"/>
      <c r="O13" s="31">
        <f>'PRC JA list'!D62</f>
        <v>0</v>
      </c>
      <c r="P13" s="31"/>
      <c r="Q13" s="31"/>
      <c r="R13" s="31"/>
      <c r="S13" s="31">
        <f t="shared" si="0"/>
        <v>28370261.780000001</v>
      </c>
      <c r="T13" s="26" t="s">
        <v>280</v>
      </c>
      <c r="U13" s="27"/>
    </row>
    <row r="14" spans="1:23">
      <c r="B14" s="30" t="s">
        <v>34</v>
      </c>
      <c r="C14" s="32">
        <v>10976447.130000001</v>
      </c>
      <c r="D14" s="31"/>
      <c r="E14" s="31"/>
      <c r="F14" s="31"/>
      <c r="G14" s="31"/>
      <c r="H14" s="31"/>
      <c r="I14" s="31"/>
      <c r="J14" s="31"/>
      <c r="K14" s="31"/>
      <c r="L14" s="31"/>
      <c r="M14" s="31">
        <f>'PRC JA list'!D51</f>
        <v>0</v>
      </c>
      <c r="N14" s="31"/>
      <c r="O14" s="31"/>
      <c r="P14" s="31"/>
      <c r="Q14" s="31"/>
      <c r="R14" s="31"/>
      <c r="S14" s="31">
        <f t="shared" ref="S14:S18" si="1">SUM(C14:R14)</f>
        <v>10976447.130000001</v>
      </c>
      <c r="T14" s="26" t="s">
        <v>278</v>
      </c>
      <c r="U14" s="27" t="s">
        <v>1191</v>
      </c>
    </row>
    <row r="15" spans="1:23" ht="12.7" customHeight="1">
      <c r="B15" s="30" t="s">
        <v>68</v>
      </c>
      <c r="C15" s="31">
        <v>15138.28</v>
      </c>
      <c r="D15" s="31"/>
      <c r="E15" s="31"/>
      <c r="F15" s="31"/>
      <c r="G15" s="31"/>
      <c r="H15" s="31"/>
      <c r="I15" s="31"/>
      <c r="J15" s="31"/>
      <c r="K15" s="31"/>
      <c r="L15" s="31"/>
      <c r="M15" s="31"/>
      <c r="N15" s="31"/>
      <c r="O15" s="31"/>
      <c r="P15" s="31"/>
      <c r="Q15" s="31"/>
      <c r="R15" s="31"/>
      <c r="S15" s="31">
        <f t="shared" si="1"/>
        <v>15138.28</v>
      </c>
      <c r="T15" s="26"/>
      <c r="U15" s="27"/>
    </row>
    <row r="16" spans="1:23" ht="12.7" customHeight="1">
      <c r="B16" s="30" t="s">
        <v>1229</v>
      </c>
      <c r="C16" s="31">
        <v>24058623.5</v>
      </c>
      <c r="D16" s="31"/>
      <c r="E16" s="31"/>
      <c r="F16" s="31"/>
      <c r="G16" s="31"/>
      <c r="H16" s="31"/>
      <c r="I16" s="31"/>
      <c r="J16" s="31"/>
      <c r="K16" s="31"/>
      <c r="L16" s="31"/>
      <c r="M16" s="31"/>
      <c r="N16" s="31"/>
      <c r="O16" s="31">
        <f>'PRC JA list'!D61</f>
        <v>0</v>
      </c>
      <c r="P16" s="31"/>
      <c r="Q16" s="31"/>
      <c r="R16" s="31"/>
      <c r="S16" s="31">
        <f t="shared" si="1"/>
        <v>24058623.5</v>
      </c>
      <c r="T16" s="26" t="s">
        <v>285</v>
      </c>
      <c r="U16" s="27" t="s">
        <v>1191</v>
      </c>
    </row>
    <row r="17" spans="2:23" ht="12.7" customHeight="1">
      <c r="B17" s="30" t="s">
        <v>312</v>
      </c>
      <c r="C17" s="31">
        <v>175010863.44</v>
      </c>
      <c r="D17" s="31"/>
      <c r="E17" s="31"/>
      <c r="F17" s="31"/>
      <c r="G17" s="31"/>
      <c r="H17" s="31"/>
      <c r="I17" s="31"/>
      <c r="J17" s="31"/>
      <c r="K17" s="31"/>
      <c r="L17" s="31"/>
      <c r="M17" s="31"/>
      <c r="N17" s="31">
        <f>'PRC JA list'!D54</f>
        <v>0</v>
      </c>
      <c r="O17" s="31"/>
      <c r="P17" s="31"/>
      <c r="Q17" s="31"/>
      <c r="R17" s="31"/>
      <c r="S17" s="31">
        <f t="shared" si="1"/>
        <v>175010863.44</v>
      </c>
      <c r="T17" s="26" t="s">
        <v>242</v>
      </c>
      <c r="U17" s="27" t="s">
        <v>1047</v>
      </c>
    </row>
    <row r="18" spans="2:23" ht="12.7" customHeight="1">
      <c r="B18" s="30" t="s">
        <v>70</v>
      </c>
      <c r="C18" s="194">
        <v>-31308759.649999999</v>
      </c>
      <c r="D18" s="31"/>
      <c r="E18" s="31"/>
      <c r="F18" s="31"/>
      <c r="G18" s="31"/>
      <c r="H18" s="31"/>
      <c r="I18" s="31"/>
      <c r="J18" s="31"/>
      <c r="K18" s="31"/>
      <c r="L18" s="31"/>
      <c r="M18" s="31"/>
      <c r="N18" s="31"/>
      <c r="O18" s="31"/>
      <c r="P18" s="31"/>
      <c r="Q18" s="31"/>
      <c r="R18" s="31"/>
      <c r="S18" s="31">
        <f t="shared" si="1"/>
        <v>-31308759.649999999</v>
      </c>
      <c r="T18" s="26" t="s">
        <v>279</v>
      </c>
      <c r="U18" s="27" t="s">
        <v>1047</v>
      </c>
    </row>
    <row r="19" spans="2:23">
      <c r="B19" s="30" t="s">
        <v>6</v>
      </c>
      <c r="C19" s="31">
        <v>7612123.9400000004</v>
      </c>
      <c r="D19" s="31"/>
      <c r="E19" s="31"/>
      <c r="F19" s="31"/>
      <c r="G19" s="31"/>
      <c r="H19" s="31"/>
      <c r="I19" s="31"/>
      <c r="J19" s="31"/>
      <c r="K19" s="31"/>
      <c r="L19" s="31"/>
      <c r="M19" s="31"/>
      <c r="N19" s="31"/>
      <c r="P19" s="31"/>
      <c r="Q19" s="31"/>
      <c r="R19" s="31"/>
      <c r="S19" s="31">
        <f>SUM(C19:R19)</f>
        <v>7612123.9400000004</v>
      </c>
      <c r="T19" s="26" t="s">
        <v>277</v>
      </c>
      <c r="U19" s="27" t="s">
        <v>1190</v>
      </c>
    </row>
    <row r="20" spans="2:23" ht="12.7" customHeight="1">
      <c r="B20" s="16" t="s">
        <v>7</v>
      </c>
      <c r="C20" s="35">
        <f>SUBTOTAL(9,C9:C19)</f>
        <v>343021509.05000001</v>
      </c>
      <c r="D20" s="35">
        <f t="shared" ref="D20:S20" si="2">SUBTOTAL(9,D9:D19)</f>
        <v>-1307141.9453758805</v>
      </c>
      <c r="E20" s="35">
        <f t="shared" si="2"/>
        <v>0</v>
      </c>
      <c r="F20" s="35">
        <f>SUBTOTAL(9,F9:F19)</f>
        <v>0</v>
      </c>
      <c r="G20" s="35">
        <f t="shared" si="2"/>
        <v>0</v>
      </c>
      <c r="H20" s="35">
        <f t="shared" si="2"/>
        <v>0</v>
      </c>
      <c r="I20" s="35">
        <f t="shared" si="2"/>
        <v>0</v>
      </c>
      <c r="J20" s="35">
        <f t="shared" si="2"/>
        <v>0</v>
      </c>
      <c r="K20" s="35">
        <f>SUBTOTAL(9,K9:K19)</f>
        <v>0</v>
      </c>
      <c r="L20" s="35">
        <f>SUBTOTAL(9,L9:L19)</f>
        <v>0</v>
      </c>
      <c r="M20" s="35">
        <f t="shared" ref="M20:N20" si="3">SUBTOTAL(9,M9:M19)</f>
        <v>0</v>
      </c>
      <c r="N20" s="35">
        <f t="shared" si="3"/>
        <v>0</v>
      </c>
      <c r="O20" s="35">
        <f>SUBTOTAL(9,O9:O18)</f>
        <v>0</v>
      </c>
      <c r="P20" s="35">
        <f t="shared" ref="P20:Q20" si="4">SUBTOTAL(9,P9:P19)</f>
        <v>0</v>
      </c>
      <c r="Q20" s="35">
        <f t="shared" si="4"/>
        <v>0</v>
      </c>
      <c r="R20" s="35">
        <f t="shared" si="2"/>
        <v>0</v>
      </c>
      <c r="S20" s="35">
        <f t="shared" si="2"/>
        <v>341714367.10462409</v>
      </c>
      <c r="T20" s="26"/>
      <c r="U20" s="27"/>
    </row>
    <row r="21" spans="2:23" ht="12.7" customHeight="1">
      <c r="B21" s="16"/>
      <c r="C21" s="37"/>
      <c r="D21" s="37"/>
      <c r="E21" s="37"/>
      <c r="F21" s="37"/>
      <c r="G21" s="37"/>
      <c r="H21" s="37"/>
      <c r="I21" s="37"/>
      <c r="J21" s="37"/>
      <c r="K21" s="37"/>
      <c r="L21" s="37"/>
      <c r="M21" s="37"/>
      <c r="N21" s="37"/>
      <c r="O21" s="37"/>
      <c r="P21" s="37"/>
      <c r="Q21" s="37"/>
      <c r="R21" s="37"/>
      <c r="S21" s="37"/>
      <c r="T21" s="26"/>
      <c r="U21" s="27"/>
    </row>
    <row r="22" spans="2:23" ht="12.7" customHeight="1">
      <c r="B22" s="30" t="s">
        <v>71</v>
      </c>
      <c r="C22" s="31"/>
      <c r="D22" s="31"/>
      <c r="E22" s="31"/>
      <c r="F22" s="31"/>
      <c r="G22" s="31"/>
      <c r="H22" s="31"/>
      <c r="I22" s="31"/>
      <c r="J22" s="31"/>
      <c r="K22" s="31"/>
      <c r="L22" s="31"/>
      <c r="M22" s="31"/>
      <c r="N22" s="31"/>
      <c r="O22" s="31"/>
      <c r="P22" s="31"/>
      <c r="Q22" s="31"/>
      <c r="R22" s="31"/>
      <c r="S22" s="31">
        <f t="shared" ref="S22:S24" si="5">SUM(C22:R22)</f>
        <v>0</v>
      </c>
      <c r="T22" s="26"/>
      <c r="U22" s="27"/>
    </row>
    <row r="23" spans="2:23" ht="12.7" customHeight="1">
      <c r="B23" s="30" t="s">
        <v>72</v>
      </c>
      <c r="C23" s="31"/>
      <c r="D23" s="31"/>
      <c r="E23" s="31"/>
      <c r="F23" s="31"/>
      <c r="G23" s="31"/>
      <c r="H23" s="31"/>
      <c r="I23" s="31"/>
      <c r="J23" s="31"/>
      <c r="K23" s="31"/>
      <c r="L23" s="31"/>
      <c r="M23" s="31"/>
      <c r="N23" s="31"/>
      <c r="O23" s="31"/>
      <c r="P23" s="31"/>
      <c r="Q23" s="31"/>
      <c r="R23" s="31"/>
      <c r="S23" s="31">
        <f t="shared" si="5"/>
        <v>0</v>
      </c>
      <c r="T23" s="26"/>
      <c r="U23" s="27"/>
    </row>
    <row r="24" spans="2:23" ht="12.7" customHeight="1">
      <c r="B24" s="16" t="s">
        <v>73</v>
      </c>
      <c r="C24" s="38"/>
      <c r="D24" s="38"/>
      <c r="E24" s="38"/>
      <c r="F24" s="38"/>
      <c r="G24" s="38"/>
      <c r="H24" s="38"/>
      <c r="I24" s="38"/>
      <c r="J24" s="38"/>
      <c r="K24" s="38"/>
      <c r="L24" s="38"/>
      <c r="M24" s="38"/>
      <c r="N24" s="38"/>
      <c r="O24" s="38"/>
      <c r="P24" s="38"/>
      <c r="Q24" s="38"/>
      <c r="R24" s="38"/>
      <c r="S24" s="38">
        <f t="shared" si="5"/>
        <v>0</v>
      </c>
      <c r="T24" s="26"/>
      <c r="U24" s="27"/>
    </row>
    <row r="25" spans="2:23" ht="12.7" customHeight="1">
      <c r="C25" s="39"/>
      <c r="D25" s="39"/>
      <c r="E25" s="39"/>
      <c r="F25" s="39"/>
      <c r="G25" s="39"/>
      <c r="H25" s="39"/>
      <c r="I25" s="39"/>
      <c r="J25" s="39"/>
      <c r="K25" s="39"/>
      <c r="L25" s="39"/>
      <c r="M25" s="39"/>
      <c r="N25" s="39"/>
      <c r="O25" s="39"/>
      <c r="P25" s="39"/>
      <c r="Q25" s="39"/>
      <c r="R25" s="39"/>
      <c r="S25" s="39"/>
      <c r="T25" s="26"/>
      <c r="U25" s="27"/>
    </row>
    <row r="26" spans="2:23">
      <c r="B26" s="30" t="s">
        <v>8</v>
      </c>
      <c r="C26" s="31">
        <v>401541269.69999999</v>
      </c>
      <c r="D26" s="31"/>
      <c r="E26" s="31"/>
      <c r="F26" s="31"/>
      <c r="G26" s="31"/>
      <c r="H26" s="31"/>
      <c r="I26" s="31"/>
      <c r="J26" s="31"/>
      <c r="K26" s="31"/>
      <c r="L26" s="31"/>
      <c r="M26" s="31"/>
      <c r="N26" s="31"/>
      <c r="O26" s="31"/>
      <c r="P26" s="31"/>
      <c r="Q26" s="31"/>
      <c r="R26" s="31"/>
      <c r="S26" s="31">
        <f>SUM(C26:R26)</f>
        <v>401541269.69999999</v>
      </c>
      <c r="T26" s="26" t="s">
        <v>281</v>
      </c>
      <c r="U26" s="27" t="s">
        <v>1190</v>
      </c>
      <c r="W26" s="233"/>
    </row>
    <row r="27" spans="2:23">
      <c r="B27" s="30" t="s">
        <v>74</v>
      </c>
      <c r="C27" s="318">
        <v>-98340826.659999996</v>
      </c>
      <c r="D27" s="40"/>
      <c r="E27" s="40"/>
      <c r="F27" s="40"/>
      <c r="G27" s="40"/>
      <c r="H27" s="40"/>
      <c r="I27" s="40"/>
      <c r="J27" s="40"/>
      <c r="K27" s="40"/>
      <c r="L27" s="40"/>
      <c r="M27" s="40"/>
      <c r="N27" s="40"/>
      <c r="O27" s="40"/>
      <c r="P27" s="40"/>
      <c r="Q27" s="40"/>
      <c r="R27" s="40"/>
      <c r="S27" s="40">
        <f>SUM(C27:R27)</f>
        <v>-98340826.659999996</v>
      </c>
      <c r="T27" s="26" t="s">
        <v>281</v>
      </c>
      <c r="U27" s="27" t="s">
        <v>1190</v>
      </c>
    </row>
    <row r="28" spans="2:23" ht="12.7" customHeight="1">
      <c r="B28" s="42" t="s">
        <v>75</v>
      </c>
      <c r="C28" s="43">
        <f>SUBTOTAL(9,C26:C27)</f>
        <v>303200443.03999996</v>
      </c>
      <c r="D28" s="43">
        <f t="shared" ref="D28:S28" si="6">SUBTOTAL(9,D26:D27)</f>
        <v>0</v>
      </c>
      <c r="E28" s="43">
        <f t="shared" si="6"/>
        <v>0</v>
      </c>
      <c r="F28" s="43">
        <f>SUBTOTAL(9,F26:F27)</f>
        <v>0</v>
      </c>
      <c r="G28" s="43">
        <f t="shared" si="6"/>
        <v>0</v>
      </c>
      <c r="H28" s="43">
        <f t="shared" si="6"/>
        <v>0</v>
      </c>
      <c r="I28" s="43">
        <f t="shared" si="6"/>
        <v>0</v>
      </c>
      <c r="J28" s="43">
        <f t="shared" si="6"/>
        <v>0</v>
      </c>
      <c r="K28" s="43">
        <f>SUBTOTAL(9,K26:K27)</f>
        <v>0</v>
      </c>
      <c r="L28" s="43">
        <f>SUBTOTAL(9,L26:L27)</f>
        <v>0</v>
      </c>
      <c r="M28" s="43">
        <f t="shared" ref="M28:P28" si="7">SUBTOTAL(9,M26:M27)</f>
        <v>0</v>
      </c>
      <c r="N28" s="43">
        <f t="shared" si="7"/>
        <v>0</v>
      </c>
      <c r="O28" s="43">
        <f t="shared" si="7"/>
        <v>0</v>
      </c>
      <c r="P28" s="43">
        <f t="shared" si="7"/>
        <v>0</v>
      </c>
      <c r="Q28" s="43">
        <f t="shared" ref="Q28" si="8">SUBTOTAL(9,Q26:Q27)</f>
        <v>0</v>
      </c>
      <c r="R28" s="43">
        <f t="shared" si="6"/>
        <v>0</v>
      </c>
      <c r="S28" s="43">
        <f t="shared" si="6"/>
        <v>303200443.03999996</v>
      </c>
      <c r="T28" s="26"/>
      <c r="U28" s="27"/>
    </row>
    <row r="29" spans="2:23" ht="12.7" customHeight="1">
      <c r="B29" s="30" t="s">
        <v>76</v>
      </c>
      <c r="C29" s="40"/>
      <c r="D29" s="40"/>
      <c r="E29" s="40"/>
      <c r="F29" s="40"/>
      <c r="G29" s="40"/>
      <c r="H29" s="40"/>
      <c r="I29" s="40"/>
      <c r="J29" s="40"/>
      <c r="K29" s="40"/>
      <c r="L29" s="40"/>
      <c r="M29" s="40"/>
      <c r="N29" s="40"/>
      <c r="O29" s="40"/>
      <c r="P29" s="40"/>
      <c r="Q29" s="40"/>
      <c r="R29" s="40"/>
      <c r="S29" s="40">
        <f>SUM(C29:R29)</f>
        <v>0</v>
      </c>
      <c r="T29" s="26"/>
      <c r="U29" s="27"/>
    </row>
    <row r="30" spans="2:23" ht="12.7" customHeight="1">
      <c r="B30" s="30" t="s">
        <v>41</v>
      </c>
      <c r="C30" s="39">
        <f>SUBTOTAL(9,C26:C29)</f>
        <v>303200443.03999996</v>
      </c>
      <c r="D30" s="39">
        <f t="shared" ref="D30:S30" si="9">SUBTOTAL(9,D26:D29)</f>
        <v>0</v>
      </c>
      <c r="E30" s="39">
        <f t="shared" si="9"/>
        <v>0</v>
      </c>
      <c r="F30" s="39">
        <f>SUBTOTAL(9,F26:F29)</f>
        <v>0</v>
      </c>
      <c r="G30" s="39">
        <f t="shared" si="9"/>
        <v>0</v>
      </c>
      <c r="H30" s="39">
        <f t="shared" si="9"/>
        <v>0</v>
      </c>
      <c r="I30" s="39">
        <f t="shared" si="9"/>
        <v>0</v>
      </c>
      <c r="J30" s="39">
        <f t="shared" si="9"/>
        <v>0</v>
      </c>
      <c r="K30" s="39">
        <f>SUBTOTAL(9,K26:K29)</f>
        <v>0</v>
      </c>
      <c r="L30" s="39">
        <f>SUBTOTAL(9,L26:L29)</f>
        <v>0</v>
      </c>
      <c r="M30" s="39">
        <f t="shared" ref="M30:P30" si="10">SUBTOTAL(9,M26:M29)</f>
        <v>0</v>
      </c>
      <c r="N30" s="39">
        <f t="shared" si="10"/>
        <v>0</v>
      </c>
      <c r="O30" s="39">
        <f t="shared" si="10"/>
        <v>0</v>
      </c>
      <c r="P30" s="39">
        <f t="shared" si="10"/>
        <v>0</v>
      </c>
      <c r="Q30" s="39">
        <f t="shared" ref="Q30" si="11">SUBTOTAL(9,Q26:Q29)</f>
        <v>0</v>
      </c>
      <c r="R30" s="39">
        <f t="shared" si="9"/>
        <v>0</v>
      </c>
      <c r="S30" s="39">
        <f t="shared" si="9"/>
        <v>303200443.03999996</v>
      </c>
      <c r="T30" s="26"/>
      <c r="U30" s="27"/>
    </row>
    <row r="31" spans="2:23">
      <c r="B31" s="30" t="s">
        <v>10</v>
      </c>
      <c r="C31" s="31">
        <v>733827.72</v>
      </c>
      <c r="D31" s="31"/>
      <c r="E31" s="31"/>
      <c r="F31" s="31"/>
      <c r="G31" s="31"/>
      <c r="H31" s="31"/>
      <c r="I31" s="31"/>
      <c r="J31" s="31"/>
      <c r="K31" s="31"/>
      <c r="L31" s="31">
        <f>'PRC JA list'!D87</f>
        <v>0</v>
      </c>
      <c r="M31" s="31">
        <f>'PRC JA list'!D50</f>
        <v>0</v>
      </c>
      <c r="N31" s="31"/>
      <c r="O31" s="31"/>
      <c r="P31" s="31"/>
      <c r="Q31" s="31"/>
      <c r="R31" s="31"/>
      <c r="S31" s="31">
        <f>SUM(C31:R31)</f>
        <v>733827.72</v>
      </c>
      <c r="T31" s="26" t="s">
        <v>282</v>
      </c>
      <c r="U31" s="27" t="s">
        <v>1190</v>
      </c>
    </row>
    <row r="32" spans="2:23" ht="12.7" customHeight="1">
      <c r="C32" s="40"/>
      <c r="D32" s="40"/>
      <c r="E32" s="40"/>
      <c r="F32" s="40"/>
      <c r="G32" s="40"/>
      <c r="H32" s="40"/>
      <c r="I32" s="40"/>
      <c r="J32" s="40"/>
      <c r="K32" s="40"/>
      <c r="L32" s="40"/>
      <c r="M32" s="40"/>
      <c r="N32" s="40"/>
      <c r="O32" s="40"/>
      <c r="P32" s="40"/>
      <c r="Q32" s="40"/>
      <c r="R32" s="40"/>
      <c r="S32" s="40">
        <f>SUM(C32:R32)</f>
        <v>0</v>
      </c>
      <c r="T32" s="26"/>
      <c r="U32" s="27"/>
    </row>
    <row r="33" spans="2:21" ht="12.7" customHeight="1">
      <c r="B33" s="16" t="s">
        <v>77</v>
      </c>
      <c r="C33" s="35">
        <f t="shared" ref="C33:S33" si="12">SUBTOTAL(9,C25:C32)</f>
        <v>303934270.75999999</v>
      </c>
      <c r="D33" s="35">
        <f t="shared" si="12"/>
        <v>0</v>
      </c>
      <c r="E33" s="35">
        <f t="shared" si="12"/>
        <v>0</v>
      </c>
      <c r="F33" s="35">
        <f t="shared" si="12"/>
        <v>0</v>
      </c>
      <c r="G33" s="35">
        <f t="shared" si="12"/>
        <v>0</v>
      </c>
      <c r="H33" s="35">
        <f t="shared" si="12"/>
        <v>0</v>
      </c>
      <c r="I33" s="35">
        <f t="shared" si="12"/>
        <v>0</v>
      </c>
      <c r="J33" s="35">
        <f t="shared" si="12"/>
        <v>0</v>
      </c>
      <c r="K33" s="35">
        <f t="shared" si="12"/>
        <v>0</v>
      </c>
      <c r="L33" s="35">
        <f t="shared" si="12"/>
        <v>0</v>
      </c>
      <c r="M33" s="35">
        <f t="shared" si="12"/>
        <v>0</v>
      </c>
      <c r="N33" s="35">
        <f t="shared" si="12"/>
        <v>0</v>
      </c>
      <c r="O33" s="35">
        <f t="shared" si="12"/>
        <v>0</v>
      </c>
      <c r="P33" s="35">
        <f t="shared" ref="P33:Q33" si="13">SUBTOTAL(9,P25:P32)</f>
        <v>0</v>
      </c>
      <c r="Q33" s="35">
        <f t="shared" si="13"/>
        <v>0</v>
      </c>
      <c r="R33" s="35">
        <f t="shared" si="12"/>
        <v>0</v>
      </c>
      <c r="S33" s="35">
        <f t="shared" si="12"/>
        <v>303934270.75999999</v>
      </c>
      <c r="T33" s="26"/>
      <c r="U33" s="27"/>
    </row>
    <row r="34" spans="2:21" ht="12.7" customHeight="1">
      <c r="C34" s="39"/>
      <c r="D34" s="39"/>
      <c r="E34" s="39"/>
      <c r="F34" s="39"/>
      <c r="G34" s="39"/>
      <c r="H34" s="39"/>
      <c r="I34" s="39"/>
      <c r="J34" s="39"/>
      <c r="K34" s="39"/>
      <c r="L34" s="39"/>
      <c r="M34" s="39"/>
      <c r="N34" s="39"/>
      <c r="O34" s="39"/>
      <c r="P34" s="39"/>
      <c r="Q34" s="39"/>
      <c r="R34" s="39"/>
      <c r="S34" s="39">
        <f>SUM(C34:R34)</f>
        <v>0</v>
      </c>
      <c r="T34" s="26"/>
      <c r="U34" s="27"/>
    </row>
    <row r="35" spans="2:21">
      <c r="B35" s="30" t="s">
        <v>78</v>
      </c>
      <c r="C35" s="31">
        <v>47817924.460000001</v>
      </c>
      <c r="D35" s="31"/>
      <c r="E35" s="31"/>
      <c r="F35" s="31"/>
      <c r="G35" s="31"/>
      <c r="H35" s="31"/>
      <c r="I35" s="31"/>
      <c r="J35" s="31"/>
      <c r="K35" s="31"/>
      <c r="L35" s="31"/>
      <c r="M35" s="31"/>
      <c r="N35" s="31"/>
      <c r="O35" s="31"/>
      <c r="P35" s="31"/>
      <c r="Q35" s="31"/>
      <c r="R35" s="31"/>
      <c r="S35" s="31">
        <f>SUM(C35:R35)</f>
        <v>47817924.460000001</v>
      </c>
      <c r="T35" s="26" t="s">
        <v>283</v>
      </c>
      <c r="U35" s="27" t="s">
        <v>1190</v>
      </c>
    </row>
    <row r="36" spans="2:21" ht="12.7" customHeight="1">
      <c r="B36" s="30" t="s">
        <v>79</v>
      </c>
      <c r="C36" s="40"/>
      <c r="D36" s="40"/>
      <c r="E36" s="40"/>
      <c r="F36" s="40"/>
      <c r="G36" s="40"/>
      <c r="H36" s="40"/>
      <c r="I36" s="40"/>
      <c r="J36" s="40"/>
      <c r="K36" s="40"/>
      <c r="L36" s="40"/>
      <c r="M36" s="40"/>
      <c r="N36" s="40"/>
      <c r="O36" s="40"/>
      <c r="P36" s="40"/>
      <c r="Q36" s="40"/>
      <c r="R36" s="40"/>
      <c r="S36" s="40">
        <f>SUM(C36:R36)</f>
        <v>0</v>
      </c>
      <c r="T36" s="26"/>
      <c r="U36" s="27"/>
    </row>
    <row r="37" spans="2:21" ht="12.7" customHeight="1">
      <c r="B37" s="16" t="s">
        <v>44</v>
      </c>
      <c r="C37" s="38">
        <f>SUBTOTAL(9,C35:C36)</f>
        <v>47817924.460000001</v>
      </c>
      <c r="D37" s="38">
        <f t="shared" ref="D37:S37" si="14">SUBTOTAL(9,D35:D36)</f>
        <v>0</v>
      </c>
      <c r="E37" s="38">
        <f t="shared" si="14"/>
        <v>0</v>
      </c>
      <c r="F37" s="38">
        <f t="shared" si="14"/>
        <v>0</v>
      </c>
      <c r="G37" s="38">
        <f t="shared" si="14"/>
        <v>0</v>
      </c>
      <c r="H37" s="38">
        <f t="shared" si="14"/>
        <v>0</v>
      </c>
      <c r="I37" s="38">
        <f t="shared" si="14"/>
        <v>0</v>
      </c>
      <c r="J37" s="38">
        <f t="shared" si="14"/>
        <v>0</v>
      </c>
      <c r="K37" s="38">
        <f t="shared" si="14"/>
        <v>0</v>
      </c>
      <c r="L37" s="38">
        <f t="shared" si="14"/>
        <v>0</v>
      </c>
      <c r="M37" s="38">
        <f t="shared" si="14"/>
        <v>0</v>
      </c>
      <c r="N37" s="38">
        <f t="shared" si="14"/>
        <v>0</v>
      </c>
      <c r="O37" s="38">
        <f t="shared" si="14"/>
        <v>0</v>
      </c>
      <c r="P37" s="38">
        <f t="shared" ref="P37:Q37" si="15">SUBTOTAL(9,P35:P36)</f>
        <v>0</v>
      </c>
      <c r="Q37" s="38">
        <f t="shared" si="15"/>
        <v>0</v>
      </c>
      <c r="R37" s="38">
        <f t="shared" si="14"/>
        <v>0</v>
      </c>
      <c r="S37" s="38">
        <f t="shared" si="14"/>
        <v>47817924.460000001</v>
      </c>
      <c r="T37" s="26"/>
      <c r="U37" s="176"/>
    </row>
    <row r="38" spans="2:21" ht="12.7" customHeight="1">
      <c r="C38" s="31"/>
      <c r="D38" s="31"/>
      <c r="E38" s="31"/>
      <c r="F38" s="31"/>
      <c r="G38" s="31"/>
      <c r="H38" s="31"/>
      <c r="I38" s="31"/>
      <c r="J38" s="31"/>
      <c r="K38" s="31"/>
      <c r="L38" s="31"/>
      <c r="M38" s="31"/>
      <c r="N38" s="31"/>
      <c r="O38" s="31"/>
      <c r="P38" s="31"/>
      <c r="Q38" s="31"/>
      <c r="R38" s="31"/>
      <c r="S38" s="31"/>
      <c r="T38" s="26"/>
      <c r="U38" s="27"/>
    </row>
    <row r="39" spans="2:21" ht="12.7" customHeight="1">
      <c r="B39" s="30" t="s">
        <v>12</v>
      </c>
      <c r="C39" s="39"/>
      <c r="D39" s="39"/>
      <c r="E39" s="39"/>
      <c r="F39" s="39"/>
      <c r="G39" s="39"/>
      <c r="H39" s="39"/>
      <c r="I39" s="39"/>
      <c r="J39" s="39"/>
      <c r="K39" s="39"/>
      <c r="L39" s="39"/>
      <c r="M39" s="39"/>
      <c r="N39" s="39"/>
      <c r="O39" s="39"/>
      <c r="P39" s="39"/>
      <c r="Q39" s="39"/>
      <c r="R39" s="39"/>
      <c r="S39" s="39">
        <f>SUM(C39:R39)</f>
        <v>0</v>
      </c>
      <c r="T39" s="26"/>
      <c r="U39" s="27"/>
    </row>
    <row r="40" spans="2:21" ht="12.05" customHeight="1">
      <c r="B40" s="44" t="s">
        <v>80</v>
      </c>
      <c r="C40" s="32">
        <v>17470000</v>
      </c>
      <c r="D40" s="31">
        <f>'PRC JA list'!D7</f>
        <v>0</v>
      </c>
      <c r="E40" s="31"/>
      <c r="F40" s="32"/>
      <c r="G40" s="32"/>
      <c r="H40" s="32"/>
      <c r="I40" s="32"/>
      <c r="J40" s="32"/>
      <c r="K40" s="32"/>
      <c r="L40" s="32"/>
      <c r="M40" s="32"/>
      <c r="N40" s="32"/>
      <c r="O40" s="32"/>
      <c r="P40" s="32"/>
      <c r="Q40" s="32"/>
      <c r="R40" s="32"/>
      <c r="S40" s="32">
        <f>SUM(C40:R40)</f>
        <v>17470000</v>
      </c>
      <c r="T40" s="26" t="s">
        <v>284</v>
      </c>
      <c r="U40" s="27" t="s">
        <v>1047</v>
      </c>
    </row>
    <row r="41" spans="2:21" ht="12.7" customHeight="1">
      <c r="B41" s="44"/>
      <c r="C41" s="31"/>
      <c r="D41" s="31"/>
      <c r="E41" s="31"/>
      <c r="F41" s="31"/>
      <c r="G41" s="31"/>
      <c r="H41" s="31"/>
      <c r="I41" s="31"/>
      <c r="J41" s="31"/>
      <c r="K41" s="31"/>
      <c r="L41" s="31"/>
      <c r="M41" s="31"/>
      <c r="N41" s="31"/>
      <c r="O41" s="31"/>
      <c r="P41" s="31"/>
      <c r="Q41" s="31"/>
      <c r="R41" s="31"/>
      <c r="S41" s="31">
        <f>SUM(C41:R41)</f>
        <v>0</v>
      </c>
      <c r="T41" s="26"/>
      <c r="U41" s="27"/>
    </row>
    <row r="42" spans="2:21" ht="13.5" customHeight="1" thickBot="1">
      <c r="B42" s="16" t="s">
        <v>13</v>
      </c>
      <c r="C42" s="45">
        <f t="shared" ref="C42:S42" si="16">SUBTOTAL(9,C9:C41)</f>
        <v>712243704.2700001</v>
      </c>
      <c r="D42" s="45">
        <f t="shared" si="16"/>
        <v>-1307141.9453758805</v>
      </c>
      <c r="E42" s="45">
        <f t="shared" si="16"/>
        <v>0</v>
      </c>
      <c r="F42" s="45">
        <f t="shared" si="16"/>
        <v>0</v>
      </c>
      <c r="G42" s="45">
        <f t="shared" si="16"/>
        <v>0</v>
      </c>
      <c r="H42" s="45">
        <f t="shared" si="16"/>
        <v>0</v>
      </c>
      <c r="I42" s="45">
        <f t="shared" si="16"/>
        <v>0</v>
      </c>
      <c r="J42" s="45">
        <f t="shared" si="16"/>
        <v>0</v>
      </c>
      <c r="K42" s="45">
        <f t="shared" si="16"/>
        <v>0</v>
      </c>
      <c r="L42" s="45">
        <f t="shared" si="16"/>
        <v>0</v>
      </c>
      <c r="M42" s="45">
        <f t="shared" si="16"/>
        <v>0</v>
      </c>
      <c r="N42" s="45">
        <f t="shared" si="16"/>
        <v>0</v>
      </c>
      <c r="O42" s="45">
        <f t="shared" si="16"/>
        <v>0</v>
      </c>
      <c r="P42" s="45">
        <f t="shared" ref="P42:Q42" si="17">SUBTOTAL(9,P9:P41)</f>
        <v>0</v>
      </c>
      <c r="Q42" s="45">
        <f t="shared" si="17"/>
        <v>0</v>
      </c>
      <c r="R42" s="45">
        <f t="shared" si="16"/>
        <v>0</v>
      </c>
      <c r="S42" s="45">
        <f t="shared" si="16"/>
        <v>710936562.32462418</v>
      </c>
      <c r="T42" s="26"/>
      <c r="U42" s="27"/>
    </row>
    <row r="43" spans="2:21" ht="12.7" customHeight="1" thickTop="1">
      <c r="C43" s="39"/>
      <c r="D43" s="39"/>
      <c r="E43" s="39"/>
      <c r="F43" s="39"/>
      <c r="G43" s="39"/>
      <c r="H43" s="39"/>
      <c r="I43" s="39"/>
      <c r="J43" s="39"/>
      <c r="K43" s="39"/>
      <c r="L43" s="39"/>
      <c r="M43" s="39"/>
      <c r="N43" s="39"/>
      <c r="O43" s="39"/>
      <c r="P43" s="39"/>
      <c r="Q43" s="39"/>
      <c r="R43" s="39"/>
      <c r="S43" s="39"/>
      <c r="T43" s="26"/>
      <c r="U43" s="27"/>
    </row>
    <row r="44" spans="2:21" ht="12.7" customHeight="1">
      <c r="B44" s="30" t="s">
        <v>14</v>
      </c>
      <c r="C44" s="32">
        <v>0</v>
      </c>
      <c r="D44" s="31"/>
      <c r="E44" s="31"/>
      <c r="F44" s="32"/>
      <c r="G44" s="32"/>
      <c r="H44" s="32"/>
      <c r="I44" s="32"/>
      <c r="J44" s="32"/>
      <c r="K44" s="32"/>
      <c r="L44" s="32"/>
      <c r="M44" s="32"/>
      <c r="N44" s="32"/>
      <c r="O44" s="32"/>
      <c r="P44" s="32"/>
      <c r="Q44" s="32"/>
      <c r="R44" s="32"/>
      <c r="S44" s="32">
        <f>SUM(C44:R44)</f>
        <v>0</v>
      </c>
      <c r="T44" s="26" t="s">
        <v>285</v>
      </c>
      <c r="U44" s="27" t="s">
        <v>1191</v>
      </c>
    </row>
    <row r="45" spans="2:21" ht="12.7" customHeight="1">
      <c r="B45" s="30" t="s">
        <v>47</v>
      </c>
      <c r="C45" s="32">
        <v>-132779994.89</v>
      </c>
      <c r="D45" s="31"/>
      <c r="E45" s="31"/>
      <c r="F45" s="32"/>
      <c r="G45" s="32"/>
      <c r="H45" s="32"/>
      <c r="I45" s="32"/>
      <c r="J45" s="32"/>
      <c r="K45" s="32"/>
      <c r="L45" s="32"/>
      <c r="M45" s="32"/>
      <c r="O45" s="32"/>
      <c r="P45" s="32"/>
      <c r="Q45" s="32"/>
      <c r="R45" s="32"/>
      <c r="S45" s="32">
        <f t="shared" ref="S45:S48" si="18">SUM(C45:R45)</f>
        <v>-132779994.89</v>
      </c>
      <c r="T45" s="26" t="s">
        <v>287</v>
      </c>
      <c r="U45" s="27" t="s">
        <v>1425</v>
      </c>
    </row>
    <row r="46" spans="2:21" ht="12.7" customHeight="1">
      <c r="B46" s="30" t="s">
        <v>15</v>
      </c>
      <c r="C46" s="32">
        <v>-4828747.88</v>
      </c>
      <c r="D46" s="31"/>
      <c r="E46" s="31"/>
      <c r="F46" s="32"/>
      <c r="G46" s="32"/>
      <c r="H46" s="32"/>
      <c r="I46" s="32"/>
      <c r="J46" s="32"/>
      <c r="K46" s="32"/>
      <c r="L46" s="32"/>
      <c r="M46" s="32"/>
      <c r="N46" s="32"/>
      <c r="O46" s="32"/>
      <c r="P46" s="32"/>
      <c r="Q46" s="32"/>
      <c r="R46" s="32"/>
      <c r="S46" s="32">
        <f t="shared" si="18"/>
        <v>-4828747.88</v>
      </c>
      <c r="T46" s="26" t="s">
        <v>288</v>
      </c>
      <c r="U46" s="27" t="s">
        <v>1190</v>
      </c>
    </row>
    <row r="47" spans="2:21" ht="12.7" customHeight="1">
      <c r="B47" s="30" t="s">
        <v>82</v>
      </c>
      <c r="C47" s="32">
        <v>-5765045.46</v>
      </c>
      <c r="D47" s="31"/>
      <c r="E47" s="31"/>
      <c r="F47" s="32"/>
      <c r="G47" s="32"/>
      <c r="H47" s="32"/>
      <c r="I47" s="32">
        <f>'PRC JA list'!D35</f>
        <v>0</v>
      </c>
      <c r="J47" s="32"/>
      <c r="K47" s="32"/>
      <c r="L47" s="32"/>
      <c r="M47" s="32"/>
      <c r="N47" s="32">
        <f>'PRC JA list'!D57</f>
        <v>0</v>
      </c>
      <c r="O47" s="32"/>
      <c r="S47" s="32">
        <f t="shared" si="18"/>
        <v>-5765045.46</v>
      </c>
      <c r="T47" s="26" t="s">
        <v>276</v>
      </c>
      <c r="U47" s="27" t="s">
        <v>1190</v>
      </c>
    </row>
    <row r="48" spans="2:21">
      <c r="B48" s="30" t="s">
        <v>54</v>
      </c>
      <c r="C48" s="32">
        <v>-18972397.410000201</v>
      </c>
      <c r="D48" s="31">
        <f>'PRC JA list'!D8</f>
        <v>0</v>
      </c>
      <c r="E48" s="31"/>
      <c r="F48" s="32"/>
      <c r="G48" s="32"/>
      <c r="H48" s="32"/>
      <c r="I48" s="32"/>
      <c r="J48" s="32"/>
      <c r="K48" s="32"/>
      <c r="L48" s="32"/>
      <c r="M48" s="32"/>
      <c r="N48" s="32"/>
      <c r="O48" s="32"/>
      <c r="P48" s="32"/>
      <c r="Q48" s="32"/>
      <c r="R48" s="32"/>
      <c r="S48" s="32">
        <f t="shared" si="18"/>
        <v>-18972397.410000201</v>
      </c>
      <c r="T48" s="26" t="s">
        <v>290</v>
      </c>
      <c r="U48" s="27" t="s">
        <v>1047</v>
      </c>
    </row>
    <row r="49" spans="2:23" ht="12.7" customHeight="1">
      <c r="B49" s="30" t="s">
        <v>83</v>
      </c>
      <c r="C49" s="32">
        <v>-1055111.53</v>
      </c>
      <c r="D49" s="31"/>
      <c r="E49" s="31"/>
      <c r="F49" s="32"/>
      <c r="G49" s="32"/>
      <c r="H49" s="32"/>
      <c r="I49" s="32"/>
      <c r="J49" s="32"/>
      <c r="K49" s="32"/>
      <c r="L49" s="32"/>
      <c r="M49" s="32"/>
      <c r="N49" s="32"/>
      <c r="O49" s="32"/>
      <c r="P49" s="32"/>
      <c r="Q49" s="32"/>
      <c r="R49" s="32"/>
      <c r="S49" s="32">
        <f t="shared" ref="S49:S52" si="19">SUM(C49:R49)</f>
        <v>-1055111.53</v>
      </c>
      <c r="T49" s="26" t="s">
        <v>291</v>
      </c>
      <c r="U49" s="27" t="s">
        <v>1191</v>
      </c>
    </row>
    <row r="50" spans="2:23" s="187" customFormat="1" ht="12.7" customHeight="1">
      <c r="B50" s="44" t="s">
        <v>56</v>
      </c>
      <c r="C50" s="32">
        <v>-53531337</v>
      </c>
      <c r="D50" s="31"/>
      <c r="E50" s="31"/>
      <c r="F50" s="32"/>
      <c r="G50" s="32"/>
      <c r="H50" s="32"/>
      <c r="I50" s="32"/>
      <c r="J50" s="32"/>
      <c r="K50" s="32"/>
      <c r="L50" s="32"/>
      <c r="M50" s="32"/>
      <c r="N50" s="32">
        <f>'PRC JA list'!D58</f>
        <v>0</v>
      </c>
      <c r="O50" s="32"/>
      <c r="P50" s="32"/>
      <c r="Q50" s="32"/>
      <c r="R50" s="32"/>
      <c r="S50" s="309">
        <f t="shared" si="19"/>
        <v>-53531337</v>
      </c>
      <c r="T50" s="26" t="s">
        <v>292</v>
      </c>
      <c r="U50" s="27" t="s">
        <v>1191</v>
      </c>
      <c r="V50" s="310">
        <f>S50+S51</f>
        <v>-54806387.869999997</v>
      </c>
      <c r="W50" s="188"/>
    </row>
    <row r="51" spans="2:23" ht="12.7" customHeight="1">
      <c r="B51" s="30" t="s">
        <v>53</v>
      </c>
      <c r="C51" s="32">
        <v>-1275050.8700000001</v>
      </c>
      <c r="D51" s="31"/>
      <c r="E51" s="31"/>
      <c r="F51" s="32"/>
      <c r="G51" s="32"/>
      <c r="H51" s="32"/>
      <c r="I51" s="32"/>
      <c r="J51" s="32"/>
      <c r="K51" s="32"/>
      <c r="L51" s="32"/>
      <c r="M51" s="32"/>
      <c r="N51" s="32"/>
      <c r="O51" s="32"/>
      <c r="P51" s="32"/>
      <c r="Q51" s="32"/>
      <c r="R51" s="32"/>
      <c r="S51" s="309">
        <f>SUM(C51:R51)</f>
        <v>-1275050.8700000001</v>
      </c>
      <c r="T51" s="26" t="s">
        <v>289</v>
      </c>
      <c r="U51" s="27" t="s">
        <v>1191</v>
      </c>
    </row>
    <row r="52" spans="2:23" ht="12.7" customHeight="1">
      <c r="B52" s="274" t="s">
        <v>1321</v>
      </c>
      <c r="C52" s="32"/>
      <c r="D52" s="31"/>
      <c r="E52" s="31"/>
      <c r="F52" s="32"/>
      <c r="G52" s="32"/>
      <c r="H52" s="32"/>
      <c r="I52" s="32"/>
      <c r="J52" s="32">
        <f>'PRC JA list'!D38</f>
        <v>0</v>
      </c>
      <c r="K52" s="32"/>
      <c r="L52" s="32"/>
      <c r="M52" s="32"/>
      <c r="N52" s="32"/>
      <c r="O52" s="32"/>
      <c r="P52" s="32"/>
      <c r="Q52" s="32"/>
      <c r="R52" s="32"/>
      <c r="S52" s="32">
        <f t="shared" si="19"/>
        <v>0</v>
      </c>
      <c r="T52" s="26"/>
      <c r="U52" s="27"/>
    </row>
    <row r="53" spans="2:23" ht="12.7" customHeight="1">
      <c r="B53" s="16" t="s">
        <v>16</v>
      </c>
      <c r="C53" s="36">
        <f t="shared" ref="C53:M53" si="20">SUBTOTAL(9,C44:C52)</f>
        <v>-218207685.04000023</v>
      </c>
      <c r="D53" s="36">
        <f t="shared" si="20"/>
        <v>0</v>
      </c>
      <c r="E53" s="36">
        <f t="shared" si="20"/>
        <v>0</v>
      </c>
      <c r="F53" s="36">
        <f t="shared" si="20"/>
        <v>0</v>
      </c>
      <c r="G53" s="36">
        <f t="shared" si="20"/>
        <v>0</v>
      </c>
      <c r="H53" s="36">
        <f t="shared" si="20"/>
        <v>0</v>
      </c>
      <c r="I53" s="36">
        <f t="shared" si="20"/>
        <v>0</v>
      </c>
      <c r="J53" s="36">
        <f t="shared" si="20"/>
        <v>0</v>
      </c>
      <c r="K53" s="36">
        <f t="shared" si="20"/>
        <v>0</v>
      </c>
      <c r="L53" s="36">
        <f t="shared" si="20"/>
        <v>0</v>
      </c>
      <c r="M53" s="36">
        <f t="shared" si="20"/>
        <v>0</v>
      </c>
      <c r="N53" s="36">
        <f>SUBTOTAL(9,N44:N50)</f>
        <v>0</v>
      </c>
      <c r="O53" s="36">
        <f>SUBTOTAL(9,O44:O50)</f>
        <v>0</v>
      </c>
      <c r="P53" s="36">
        <f>SUBTOTAL(9,P44:P50)</f>
        <v>0</v>
      </c>
      <c r="Q53" s="36">
        <f>SUBTOTAL(9,Q44:Q50)</f>
        <v>0</v>
      </c>
      <c r="R53" s="36">
        <f>SUBTOTAL(9,R44:R50)</f>
        <v>0</v>
      </c>
      <c r="S53" s="36">
        <f>SUBTOTAL(9,S44:S52)</f>
        <v>-218207685.04000023</v>
      </c>
      <c r="T53" s="26"/>
      <c r="U53" s="27"/>
    </row>
    <row r="54" spans="2:23" ht="12.7" customHeight="1">
      <c r="B54" s="16"/>
      <c r="C54" s="39"/>
      <c r="D54" s="39"/>
      <c r="E54" s="39"/>
      <c r="F54" s="39"/>
      <c r="G54" s="39"/>
      <c r="H54" s="39"/>
      <c r="I54" s="39"/>
      <c r="J54" s="39"/>
      <c r="K54" s="39"/>
      <c r="L54" s="39"/>
      <c r="M54" s="39"/>
      <c r="N54" s="39"/>
      <c r="O54" s="39"/>
      <c r="P54" s="39"/>
      <c r="Q54" s="39"/>
      <c r="R54" s="39"/>
      <c r="S54" s="39">
        <f>SUM(C54:R54)</f>
        <v>0</v>
      </c>
      <c r="T54" s="26"/>
      <c r="U54" s="27"/>
    </row>
    <row r="55" spans="2:23" ht="12.7" customHeight="1">
      <c r="B55" s="30" t="s">
        <v>167</v>
      </c>
      <c r="C55" s="41">
        <v>-158438000</v>
      </c>
      <c r="D55" s="41"/>
      <c r="E55" s="41"/>
      <c r="F55" s="41"/>
      <c r="G55" s="41"/>
      <c r="H55" s="41"/>
      <c r="I55" s="41"/>
      <c r="J55" s="41">
        <f>'PRC JA list'!D39</f>
        <v>0</v>
      </c>
      <c r="K55" s="41"/>
      <c r="L55" s="41"/>
      <c r="M55" s="41"/>
      <c r="N55" s="41"/>
      <c r="O55" s="41"/>
      <c r="P55" s="41"/>
      <c r="Q55" s="41"/>
      <c r="R55" s="41"/>
      <c r="S55" s="41">
        <f>SUM(C55:R55)</f>
        <v>-158438000</v>
      </c>
      <c r="T55" s="26" t="s">
        <v>286</v>
      </c>
      <c r="U55" s="27" t="s">
        <v>1191</v>
      </c>
    </row>
    <row r="56" spans="2:23" ht="12.7" customHeight="1">
      <c r="B56" s="16" t="s">
        <v>17</v>
      </c>
      <c r="C56" s="36">
        <f>SUBTOTAL(9,C55)</f>
        <v>-158438000</v>
      </c>
      <c r="D56" s="36">
        <f t="shared" ref="D56:S56" si="21">SUBTOTAL(9,D55)</f>
        <v>0</v>
      </c>
      <c r="E56" s="36">
        <f t="shared" si="21"/>
        <v>0</v>
      </c>
      <c r="F56" s="36">
        <f>SUBTOTAL(9,F55)</f>
        <v>0</v>
      </c>
      <c r="G56" s="36">
        <f t="shared" si="21"/>
        <v>0</v>
      </c>
      <c r="H56" s="36">
        <f t="shared" si="21"/>
        <v>0</v>
      </c>
      <c r="I56" s="36">
        <f t="shared" si="21"/>
        <v>0</v>
      </c>
      <c r="J56" s="36">
        <f t="shared" si="21"/>
        <v>0</v>
      </c>
      <c r="K56" s="36">
        <f>SUBTOTAL(9,K55)</f>
        <v>0</v>
      </c>
      <c r="L56" s="36">
        <f>SUBTOTAL(9,L55)</f>
        <v>0</v>
      </c>
      <c r="M56" s="36">
        <f t="shared" ref="M56:P56" si="22">SUBTOTAL(9,M55)</f>
        <v>0</v>
      </c>
      <c r="N56" s="36">
        <f t="shared" si="22"/>
        <v>0</v>
      </c>
      <c r="O56" s="36">
        <f t="shared" si="22"/>
        <v>0</v>
      </c>
      <c r="P56" s="36">
        <f t="shared" si="22"/>
        <v>0</v>
      </c>
      <c r="Q56" s="36">
        <f t="shared" ref="Q56" si="23">SUBTOTAL(9,Q55)</f>
        <v>0</v>
      </c>
      <c r="R56" s="36">
        <f t="shared" si="21"/>
        <v>0</v>
      </c>
      <c r="S56" s="36">
        <f t="shared" si="21"/>
        <v>-158438000</v>
      </c>
      <c r="T56" s="26"/>
      <c r="U56" s="27"/>
    </row>
    <row r="57" spans="2:23" ht="12.7" customHeight="1">
      <c r="C57" s="47"/>
      <c r="D57" s="47"/>
      <c r="E57" s="47"/>
      <c r="F57" s="47"/>
      <c r="G57" s="47"/>
      <c r="H57" s="47"/>
      <c r="I57" s="47"/>
      <c r="J57" s="47"/>
      <c r="K57" s="47"/>
      <c r="L57" s="47"/>
      <c r="M57" s="47"/>
      <c r="N57" s="47"/>
      <c r="O57" s="47"/>
      <c r="P57" s="47"/>
      <c r="Q57" s="47"/>
      <c r="R57" s="47"/>
      <c r="S57" s="47">
        <f>SUM(C57:R57)</f>
        <v>0</v>
      </c>
      <c r="T57" s="26"/>
      <c r="U57" s="27"/>
    </row>
    <row r="58" spans="2:23" ht="12.7" customHeight="1">
      <c r="B58" s="30" t="s">
        <v>49</v>
      </c>
      <c r="C58" s="49">
        <v>0</v>
      </c>
      <c r="D58" s="49"/>
      <c r="E58" s="49"/>
      <c r="F58" s="49"/>
      <c r="G58" s="49"/>
      <c r="H58" s="49"/>
      <c r="I58" s="49"/>
      <c r="J58" s="49"/>
      <c r="K58" s="49"/>
      <c r="L58" s="49"/>
      <c r="M58" s="49"/>
      <c r="N58" s="49"/>
      <c r="O58" s="49"/>
      <c r="P58" s="49"/>
      <c r="Q58" s="49"/>
      <c r="R58" s="49"/>
      <c r="S58" s="49">
        <f>SUM(C58:R58)</f>
        <v>0</v>
      </c>
      <c r="T58" s="26"/>
      <c r="U58" s="27"/>
    </row>
    <row r="59" spans="2:23" ht="12.7" customHeight="1">
      <c r="C59" s="31"/>
      <c r="D59" s="31"/>
      <c r="E59" s="31"/>
      <c r="F59" s="31"/>
      <c r="G59" s="31"/>
      <c r="H59" s="31"/>
      <c r="I59" s="31"/>
      <c r="J59" s="31"/>
      <c r="K59" s="31"/>
      <c r="L59" s="31"/>
      <c r="M59" s="31"/>
      <c r="N59" s="31"/>
      <c r="O59" s="31"/>
      <c r="P59" s="31"/>
      <c r="Q59" s="31"/>
      <c r="R59" s="31"/>
      <c r="S59" s="31">
        <f>SUM(C59:R59)</f>
        <v>0</v>
      </c>
      <c r="T59" s="26"/>
      <c r="U59" s="27"/>
    </row>
    <row r="60" spans="2:23" s="8" customFormat="1" ht="12.7" customHeight="1">
      <c r="B60" s="16" t="s">
        <v>18</v>
      </c>
      <c r="C60" s="99">
        <f t="shared" ref="C60:S60" si="24">SUBTOTAL(9,C44:C59)</f>
        <v>-376645685.0400002</v>
      </c>
      <c r="D60" s="99">
        <f t="shared" si="24"/>
        <v>0</v>
      </c>
      <c r="E60" s="99">
        <f t="shared" si="24"/>
        <v>0</v>
      </c>
      <c r="F60" s="99">
        <f t="shared" si="24"/>
        <v>0</v>
      </c>
      <c r="G60" s="99">
        <f t="shared" si="24"/>
        <v>0</v>
      </c>
      <c r="H60" s="99">
        <f t="shared" si="24"/>
        <v>0</v>
      </c>
      <c r="I60" s="99">
        <f t="shared" si="24"/>
        <v>0</v>
      </c>
      <c r="J60" s="99">
        <f t="shared" si="24"/>
        <v>0</v>
      </c>
      <c r="K60" s="99">
        <f t="shared" si="24"/>
        <v>0</v>
      </c>
      <c r="L60" s="99">
        <f t="shared" si="24"/>
        <v>0</v>
      </c>
      <c r="M60" s="99">
        <f t="shared" si="24"/>
        <v>0</v>
      </c>
      <c r="N60" s="99">
        <f t="shared" si="24"/>
        <v>0</v>
      </c>
      <c r="O60" s="99">
        <f t="shared" si="24"/>
        <v>0</v>
      </c>
      <c r="P60" s="99">
        <f t="shared" si="24"/>
        <v>0</v>
      </c>
      <c r="Q60" s="99">
        <f t="shared" si="24"/>
        <v>0</v>
      </c>
      <c r="R60" s="99">
        <f t="shared" si="24"/>
        <v>0</v>
      </c>
      <c r="S60" s="99">
        <f t="shared" si="24"/>
        <v>-376645685.0400002</v>
      </c>
      <c r="T60" s="26"/>
      <c r="U60" s="27"/>
      <c r="V60" s="100"/>
      <c r="W60" s="100"/>
    </row>
    <row r="61" spans="2:23" ht="12.7" customHeight="1">
      <c r="C61" s="39"/>
      <c r="D61" s="39"/>
      <c r="E61" s="39"/>
      <c r="F61" s="39"/>
      <c r="G61" s="39"/>
      <c r="H61" s="39"/>
      <c r="I61" s="39"/>
      <c r="J61" s="39"/>
      <c r="K61" s="39"/>
      <c r="L61" s="39"/>
      <c r="M61" s="39"/>
      <c r="N61" s="39"/>
      <c r="O61" s="39"/>
      <c r="P61" s="39"/>
      <c r="Q61" s="39"/>
      <c r="R61" s="39"/>
      <c r="S61" s="39">
        <f>SUM(C61:R61)</f>
        <v>0</v>
      </c>
      <c r="T61" s="26"/>
      <c r="U61" s="27"/>
    </row>
    <row r="62" spans="2:23">
      <c r="B62" s="30" t="s">
        <v>19</v>
      </c>
      <c r="C62" s="31">
        <v>-306849861.18000001</v>
      </c>
      <c r="D62" s="31"/>
      <c r="E62" s="31"/>
      <c r="F62" s="31"/>
      <c r="G62" s="31"/>
      <c r="H62" s="31"/>
      <c r="I62" s="31"/>
      <c r="J62" s="31"/>
      <c r="K62" s="31"/>
      <c r="L62" s="31"/>
      <c r="M62" s="31"/>
      <c r="N62" s="31"/>
      <c r="O62" s="31"/>
      <c r="P62" s="31"/>
      <c r="Q62" s="31"/>
      <c r="R62" s="31"/>
      <c r="S62" s="31">
        <f>SUM(C62:R62)</f>
        <v>-306849861.18000001</v>
      </c>
      <c r="T62" s="26" t="s">
        <v>293</v>
      </c>
      <c r="U62" s="27" t="s">
        <v>1190</v>
      </c>
    </row>
    <row r="63" spans="2:23">
      <c r="B63" s="30" t="s">
        <v>84</v>
      </c>
      <c r="C63" s="39">
        <v>0</v>
      </c>
      <c r="D63" s="39"/>
      <c r="E63" s="39"/>
      <c r="F63" s="39"/>
      <c r="G63" s="39"/>
      <c r="H63" s="39"/>
      <c r="I63" s="39"/>
      <c r="J63" s="39"/>
      <c r="K63" s="39"/>
      <c r="L63" s="39"/>
      <c r="M63" s="39"/>
      <c r="N63" s="39"/>
      <c r="O63" s="39"/>
      <c r="P63" s="39"/>
      <c r="Q63" s="39"/>
      <c r="R63" s="39"/>
      <c r="S63" s="31">
        <f>SUM(C63:R63)</f>
        <v>0</v>
      </c>
      <c r="T63" s="26" t="s">
        <v>294</v>
      </c>
      <c r="U63" s="27" t="s">
        <v>1190</v>
      </c>
    </row>
    <row r="64" spans="2:23" ht="12.7" customHeight="1">
      <c r="B64" s="30" t="s">
        <v>51</v>
      </c>
      <c r="C64" s="39">
        <v>0</v>
      </c>
      <c r="D64" s="39"/>
      <c r="E64" s="39"/>
      <c r="F64" s="39"/>
      <c r="G64" s="39"/>
      <c r="H64" s="39"/>
      <c r="I64" s="39"/>
      <c r="J64" s="39"/>
      <c r="K64" s="39"/>
      <c r="L64" s="39"/>
      <c r="M64" s="39"/>
      <c r="N64" s="39"/>
      <c r="O64" s="39"/>
      <c r="P64" s="39"/>
      <c r="Q64" s="39">
        <f>'PRC JA list'!D69</f>
        <v>0</v>
      </c>
      <c r="R64" s="39"/>
      <c r="S64" s="31">
        <f>SUM(C64:R64)</f>
        <v>0</v>
      </c>
      <c r="T64" s="26"/>
      <c r="U64" s="27"/>
    </row>
    <row r="65" spans="2:23">
      <c r="B65" s="30" t="s">
        <v>21</v>
      </c>
      <c r="C65" s="31">
        <f>C111</f>
        <v>-28748158.049999937</v>
      </c>
      <c r="D65" s="31">
        <f t="shared" ref="D65:R65" si="25">D111</f>
        <v>0</v>
      </c>
      <c r="E65" s="31">
        <f t="shared" si="25"/>
        <v>0</v>
      </c>
      <c r="F65" s="31">
        <f t="shared" si="25"/>
        <v>0</v>
      </c>
      <c r="G65" s="31">
        <f t="shared" si="25"/>
        <v>0</v>
      </c>
      <c r="H65" s="31">
        <f t="shared" si="25"/>
        <v>0</v>
      </c>
      <c r="I65" s="31">
        <f t="shared" si="25"/>
        <v>0</v>
      </c>
      <c r="J65" s="31">
        <f t="shared" si="25"/>
        <v>0</v>
      </c>
      <c r="K65" s="31">
        <f t="shared" si="25"/>
        <v>0</v>
      </c>
      <c r="L65" s="31">
        <f t="shared" si="25"/>
        <v>0</v>
      </c>
      <c r="M65" s="31">
        <f t="shared" si="25"/>
        <v>0</v>
      </c>
      <c r="N65" s="31">
        <f t="shared" si="25"/>
        <v>0</v>
      </c>
      <c r="O65" s="31">
        <f t="shared" si="25"/>
        <v>0</v>
      </c>
      <c r="P65" s="31">
        <f t="shared" ref="P65" si="26">P111</f>
        <v>0</v>
      </c>
      <c r="Q65" s="31">
        <f>Q111</f>
        <v>0</v>
      </c>
      <c r="R65" s="31">
        <f t="shared" si="25"/>
        <v>0</v>
      </c>
      <c r="S65" s="31">
        <f>S111</f>
        <v>-28748158.049999937</v>
      </c>
      <c r="T65" s="26" t="s">
        <v>295</v>
      </c>
      <c r="U65" s="27" t="s">
        <v>1190</v>
      </c>
    </row>
    <row r="66" spans="2:23" ht="12.7" customHeight="1">
      <c r="B66" s="16" t="s">
        <v>85</v>
      </c>
      <c r="C66" s="51">
        <f>SUBTOTAL(9,C62:C65)</f>
        <v>-335598019.22999996</v>
      </c>
      <c r="D66" s="51">
        <f t="shared" ref="D66:S66" si="27">SUBTOTAL(9,D62:D65)</f>
        <v>0</v>
      </c>
      <c r="E66" s="51">
        <f t="shared" si="27"/>
        <v>0</v>
      </c>
      <c r="F66" s="51">
        <f t="shared" si="27"/>
        <v>0</v>
      </c>
      <c r="G66" s="51">
        <f t="shared" si="27"/>
        <v>0</v>
      </c>
      <c r="H66" s="51">
        <f t="shared" si="27"/>
        <v>0</v>
      </c>
      <c r="I66" s="51">
        <f t="shared" si="27"/>
        <v>0</v>
      </c>
      <c r="J66" s="51">
        <f t="shared" si="27"/>
        <v>0</v>
      </c>
      <c r="K66" s="51">
        <f t="shared" si="27"/>
        <v>0</v>
      </c>
      <c r="L66" s="51">
        <f t="shared" si="27"/>
        <v>0</v>
      </c>
      <c r="M66" s="51">
        <f t="shared" si="27"/>
        <v>0</v>
      </c>
      <c r="N66" s="51">
        <f t="shared" si="27"/>
        <v>0</v>
      </c>
      <c r="O66" s="51">
        <f t="shared" si="27"/>
        <v>0</v>
      </c>
      <c r="P66" s="51">
        <f t="shared" si="27"/>
        <v>0</v>
      </c>
      <c r="Q66" s="51">
        <f t="shared" si="27"/>
        <v>0</v>
      </c>
      <c r="R66" s="51">
        <f t="shared" si="27"/>
        <v>0</v>
      </c>
      <c r="S66" s="51">
        <f t="shared" si="27"/>
        <v>-335598019.22999996</v>
      </c>
      <c r="T66" s="26"/>
      <c r="U66" s="27"/>
    </row>
    <row r="67" spans="2:23" ht="12.7" customHeight="1">
      <c r="B67" s="16"/>
      <c r="C67" s="47"/>
      <c r="D67" s="47"/>
      <c r="E67" s="47"/>
      <c r="F67" s="47"/>
      <c r="G67" s="47"/>
      <c r="H67" s="47"/>
      <c r="I67" s="47"/>
      <c r="J67" s="47"/>
      <c r="K67" s="47"/>
      <c r="L67" s="47"/>
      <c r="M67" s="47"/>
      <c r="N67" s="47"/>
      <c r="O67" s="47"/>
      <c r="P67" s="47"/>
      <c r="Q67" s="47"/>
      <c r="R67" s="47"/>
      <c r="S67" s="47">
        <f>SUM(C67:R67)</f>
        <v>0</v>
      </c>
      <c r="T67" s="26"/>
      <c r="U67" s="27"/>
    </row>
    <row r="68" spans="2:23" ht="13.5" customHeight="1" thickBot="1">
      <c r="B68" s="16" t="s">
        <v>22</v>
      </c>
      <c r="C68" s="45">
        <f t="shared" ref="C68:S68" si="28">SUBTOTAL(9,C44:C67)</f>
        <v>-712243704.27000022</v>
      </c>
      <c r="D68" s="45">
        <f t="shared" si="28"/>
        <v>0</v>
      </c>
      <c r="E68" s="45">
        <f t="shared" si="28"/>
        <v>0</v>
      </c>
      <c r="F68" s="45">
        <f t="shared" si="28"/>
        <v>0</v>
      </c>
      <c r="G68" s="45">
        <f t="shared" si="28"/>
        <v>0</v>
      </c>
      <c r="H68" s="45">
        <f t="shared" si="28"/>
        <v>0</v>
      </c>
      <c r="I68" s="45">
        <f t="shared" si="28"/>
        <v>0</v>
      </c>
      <c r="J68" s="45">
        <f t="shared" si="28"/>
        <v>0</v>
      </c>
      <c r="K68" s="45">
        <f t="shared" si="28"/>
        <v>0</v>
      </c>
      <c r="L68" s="45">
        <f t="shared" si="28"/>
        <v>0</v>
      </c>
      <c r="M68" s="45">
        <f t="shared" si="28"/>
        <v>0</v>
      </c>
      <c r="N68" s="45">
        <f t="shared" si="28"/>
        <v>0</v>
      </c>
      <c r="O68" s="45">
        <f t="shared" si="28"/>
        <v>0</v>
      </c>
      <c r="P68" s="45">
        <f t="shared" si="28"/>
        <v>0</v>
      </c>
      <c r="Q68" s="45">
        <f t="shared" si="28"/>
        <v>0</v>
      </c>
      <c r="R68" s="45">
        <f t="shared" si="28"/>
        <v>0</v>
      </c>
      <c r="S68" s="45">
        <f t="shared" si="28"/>
        <v>-712243704.27000022</v>
      </c>
      <c r="T68" s="26"/>
      <c r="U68" s="27"/>
    </row>
    <row r="69" spans="2:23" ht="12.7" customHeight="1" thickTop="1">
      <c r="C69" s="39"/>
      <c r="D69" s="39"/>
      <c r="E69" s="39"/>
      <c r="F69" s="39"/>
      <c r="G69" s="39"/>
      <c r="H69" s="39"/>
      <c r="I69" s="39"/>
      <c r="J69" s="39"/>
      <c r="K69" s="39"/>
      <c r="L69" s="39"/>
      <c r="M69" s="39"/>
      <c r="N69" s="39"/>
      <c r="O69" s="39"/>
      <c r="P69" s="39"/>
      <c r="Q69" s="39"/>
      <c r="R69" s="39"/>
      <c r="S69" s="39"/>
      <c r="T69" s="26"/>
      <c r="U69" s="27"/>
    </row>
    <row r="70" spans="2:23" s="52" customFormat="1" ht="12.7" customHeight="1">
      <c r="B70" s="174" t="s">
        <v>86</v>
      </c>
      <c r="C70" s="172">
        <f t="shared" ref="C70:S70" si="29">SUBTOTAL(9,C9:C68)</f>
        <v>-4.4703483581542969E-8</v>
      </c>
      <c r="D70" s="172">
        <f t="shared" si="29"/>
        <v>-1307141.9453758805</v>
      </c>
      <c r="E70" s="172">
        <f t="shared" si="29"/>
        <v>0</v>
      </c>
      <c r="F70" s="172">
        <f t="shared" si="29"/>
        <v>0</v>
      </c>
      <c r="G70" s="172">
        <f t="shared" si="29"/>
        <v>0</v>
      </c>
      <c r="H70" s="172">
        <f t="shared" si="29"/>
        <v>0</v>
      </c>
      <c r="I70" s="172">
        <f t="shared" si="29"/>
        <v>0</v>
      </c>
      <c r="J70" s="172">
        <f t="shared" si="29"/>
        <v>0</v>
      </c>
      <c r="K70" s="172">
        <f t="shared" si="29"/>
        <v>0</v>
      </c>
      <c r="L70" s="172">
        <f t="shared" si="29"/>
        <v>0</v>
      </c>
      <c r="M70" s="172">
        <f t="shared" si="29"/>
        <v>0</v>
      </c>
      <c r="N70" s="172">
        <f t="shared" si="29"/>
        <v>0</v>
      </c>
      <c r="O70" s="172">
        <f t="shared" si="29"/>
        <v>0</v>
      </c>
      <c r="P70" s="172">
        <f t="shared" si="29"/>
        <v>0</v>
      </c>
      <c r="Q70" s="172">
        <f t="shared" si="29"/>
        <v>0</v>
      </c>
      <c r="R70" s="172">
        <f t="shared" si="29"/>
        <v>0</v>
      </c>
      <c r="S70" s="172">
        <f t="shared" si="29"/>
        <v>-1307141.945375964</v>
      </c>
      <c r="T70" s="26"/>
      <c r="U70" s="26"/>
      <c r="V70" s="175"/>
      <c r="W70" s="175"/>
    </row>
    <row r="71" spans="2:23" ht="12.7" customHeight="1">
      <c r="B71" s="42"/>
      <c r="C71" s="50"/>
      <c r="D71" s="50"/>
      <c r="E71" s="50"/>
      <c r="F71" s="50"/>
      <c r="G71" s="50"/>
      <c r="H71" s="50"/>
      <c r="I71" s="50"/>
      <c r="J71" s="50"/>
      <c r="K71" s="50"/>
      <c r="L71" s="50"/>
      <c r="M71" s="50"/>
      <c r="N71" s="50"/>
      <c r="O71" s="50"/>
      <c r="P71" s="50"/>
      <c r="Q71" s="50"/>
      <c r="R71" s="50"/>
      <c r="S71" s="50"/>
      <c r="T71" s="26"/>
      <c r="U71" s="27"/>
      <c r="V71" s="114"/>
    </row>
    <row r="72" spans="2:23" ht="12.7" customHeight="1">
      <c r="B72" s="283" t="s">
        <v>87</v>
      </c>
      <c r="C72" s="284">
        <v>-369791108.20999998</v>
      </c>
      <c r="D72" s="285"/>
      <c r="E72" s="285"/>
      <c r="F72" s="284"/>
      <c r="G72" s="284">
        <f>'PRC JA list'!F23</f>
        <v>0</v>
      </c>
      <c r="H72" s="284"/>
      <c r="I72" s="284"/>
      <c r="J72" s="284"/>
      <c r="K72" s="284"/>
      <c r="L72" s="284"/>
      <c r="M72" s="284"/>
      <c r="N72" s="284">
        <f>'PRC JA list'!F56</f>
        <v>0</v>
      </c>
      <c r="O72" s="284"/>
      <c r="P72" s="284"/>
      <c r="Q72" s="284"/>
      <c r="R72" s="284"/>
      <c r="S72" s="284">
        <f>SUM(C72:R72)</f>
        <v>-369791108.20999998</v>
      </c>
      <c r="T72" s="26" t="s">
        <v>276</v>
      </c>
      <c r="U72" s="27" t="s">
        <v>1425</v>
      </c>
      <c r="V72" s="114"/>
      <c r="W72" s="233"/>
    </row>
    <row r="73" spans="2:23" ht="13.5" customHeight="1">
      <c r="B73" s="283" t="s">
        <v>88</v>
      </c>
      <c r="C73" s="285">
        <v>260345099.65000001</v>
      </c>
      <c r="D73" s="285"/>
      <c r="E73" s="285"/>
      <c r="F73" s="285"/>
      <c r="G73" s="285">
        <f>'PRC JA list'!F24</f>
        <v>0</v>
      </c>
      <c r="H73" s="285"/>
      <c r="I73" s="285"/>
      <c r="J73" s="285"/>
      <c r="K73" s="285"/>
      <c r="L73" s="285"/>
      <c r="M73" s="285"/>
      <c r="N73" s="285">
        <f>'PRC JA list'!F55</f>
        <v>0</v>
      </c>
      <c r="O73" s="285"/>
      <c r="P73" s="285"/>
      <c r="Q73" s="285"/>
      <c r="R73" s="285"/>
      <c r="S73" s="285">
        <f>SUM(C73:R73)</f>
        <v>260345099.65000001</v>
      </c>
      <c r="T73" s="26" t="s">
        <v>276</v>
      </c>
      <c r="U73" s="27" t="s">
        <v>1425</v>
      </c>
      <c r="V73" s="114"/>
    </row>
    <row r="74" spans="2:23" ht="12.7" customHeight="1">
      <c r="B74" s="30" t="s">
        <v>89</v>
      </c>
      <c r="C74" s="31">
        <v>3218305.63</v>
      </c>
      <c r="D74" s="40"/>
      <c r="E74" s="40"/>
      <c r="F74" s="31"/>
      <c r="G74" s="31"/>
      <c r="H74" s="31"/>
      <c r="I74" s="31"/>
      <c r="J74" s="31"/>
      <c r="K74" s="31"/>
      <c r="L74" s="31"/>
      <c r="M74" s="31"/>
      <c r="N74" s="31"/>
      <c r="O74" s="31"/>
      <c r="P74" s="31"/>
      <c r="Q74" s="31"/>
      <c r="R74" s="31"/>
      <c r="S74" s="31">
        <f>SUM(C74:R74)</f>
        <v>3218305.63</v>
      </c>
      <c r="T74" s="26" t="s">
        <v>296</v>
      </c>
      <c r="U74" s="27" t="s">
        <v>1047</v>
      </c>
      <c r="V74" s="115"/>
    </row>
    <row r="75" spans="2:23" ht="12.7" customHeight="1">
      <c r="B75" s="16" t="s">
        <v>90</v>
      </c>
      <c r="C75" s="101">
        <f t="shared" ref="C75:S75" si="30">SUBTOTAL(9,C72:C74)</f>
        <v>-106227702.92999998</v>
      </c>
      <c r="D75" s="101">
        <f t="shared" si="30"/>
        <v>0</v>
      </c>
      <c r="E75" s="101">
        <f t="shared" si="30"/>
        <v>0</v>
      </c>
      <c r="F75" s="101">
        <f>SUBTOTAL(9,F72:F74)</f>
        <v>0</v>
      </c>
      <c r="G75" s="101">
        <f t="shared" si="30"/>
        <v>0</v>
      </c>
      <c r="H75" s="101">
        <f t="shared" si="30"/>
        <v>0</v>
      </c>
      <c r="I75" s="101">
        <f t="shared" si="30"/>
        <v>0</v>
      </c>
      <c r="J75" s="101">
        <f t="shared" si="30"/>
        <v>0</v>
      </c>
      <c r="K75" s="101">
        <f>SUBTOTAL(9,K72:K74)</f>
        <v>0</v>
      </c>
      <c r="L75" s="101">
        <f>SUBTOTAL(9,L72:L74)</f>
        <v>0</v>
      </c>
      <c r="M75" s="101">
        <f t="shared" ref="M75:P75" si="31">SUBTOTAL(9,M72:M74)</f>
        <v>0</v>
      </c>
      <c r="N75" s="101">
        <f t="shared" si="31"/>
        <v>0</v>
      </c>
      <c r="O75" s="101">
        <f t="shared" si="31"/>
        <v>0</v>
      </c>
      <c r="P75" s="101">
        <f t="shared" si="31"/>
        <v>0</v>
      </c>
      <c r="Q75" s="101">
        <f t="shared" ref="Q75" si="32">SUBTOTAL(9,Q72:Q74)</f>
        <v>0</v>
      </c>
      <c r="R75" s="101">
        <f t="shared" si="30"/>
        <v>0</v>
      </c>
      <c r="S75" s="101">
        <f t="shared" si="30"/>
        <v>-106227702.92999998</v>
      </c>
      <c r="T75" s="26"/>
      <c r="U75" s="27"/>
    </row>
    <row r="76" spans="2:23" ht="12.7" customHeight="1">
      <c r="B76" s="16"/>
      <c r="C76" s="53"/>
      <c r="D76" s="53"/>
      <c r="E76" s="53"/>
      <c r="F76" s="53"/>
      <c r="G76" s="53"/>
      <c r="H76" s="53"/>
      <c r="I76" s="53"/>
      <c r="J76" s="53"/>
      <c r="K76" s="53"/>
      <c r="L76" s="53"/>
      <c r="M76" s="53"/>
      <c r="N76" s="53"/>
      <c r="O76" s="53"/>
      <c r="P76" s="53"/>
      <c r="Q76" s="53"/>
      <c r="R76" s="53"/>
      <c r="S76" s="53"/>
      <c r="T76" s="26"/>
      <c r="U76" s="27"/>
    </row>
    <row r="77" spans="2:23" ht="12.7" customHeight="1">
      <c r="B77" s="16" t="s">
        <v>91</v>
      </c>
      <c r="C77" s="32">
        <v>-7005764.4500000002</v>
      </c>
      <c r="D77" s="39"/>
      <c r="E77" s="39"/>
      <c r="F77" s="32"/>
      <c r="G77" s="32">
        <f>'PRC JA list'!F25</f>
        <v>0</v>
      </c>
      <c r="H77" s="32"/>
      <c r="I77" s="32"/>
      <c r="J77" s="32"/>
      <c r="K77" s="32"/>
      <c r="L77" s="32"/>
      <c r="M77" s="32"/>
      <c r="N77" s="32"/>
      <c r="O77" s="32"/>
      <c r="P77" s="32"/>
      <c r="Q77" s="32"/>
      <c r="R77" s="32"/>
      <c r="S77" s="32">
        <f t="shared" ref="S77:S84" si="33">SUM(C77:R77)</f>
        <v>-7005764.4500000002</v>
      </c>
      <c r="T77" s="26" t="s">
        <v>297</v>
      </c>
      <c r="U77" s="27" t="s">
        <v>1425</v>
      </c>
    </row>
    <row r="78" spans="2:23" ht="12.7" customHeight="1">
      <c r="B78" s="30" t="s">
        <v>92</v>
      </c>
      <c r="C78" s="31">
        <v>30751155.050000001</v>
      </c>
      <c r="D78" s="31"/>
      <c r="E78" s="31"/>
      <c r="F78" s="31"/>
      <c r="G78" s="31"/>
      <c r="H78" s="31"/>
      <c r="I78" s="31"/>
      <c r="J78" s="31"/>
      <c r="K78" s="31"/>
      <c r="L78" s="31"/>
      <c r="M78" s="31"/>
      <c r="N78" s="31"/>
      <c r="O78" s="31"/>
      <c r="P78" s="31"/>
      <c r="Q78" s="31"/>
      <c r="R78" s="31"/>
      <c r="S78" s="32">
        <f t="shared" si="33"/>
        <v>30751155.050000001</v>
      </c>
      <c r="T78" s="26" t="s">
        <v>298</v>
      </c>
      <c r="U78" s="27" t="s">
        <v>1191</v>
      </c>
    </row>
    <row r="79" spans="2:23" ht="12.7" customHeight="1">
      <c r="B79" s="30" t="s">
        <v>93</v>
      </c>
      <c r="C79" s="31">
        <v>44997610.850000001</v>
      </c>
      <c r="D79" s="31">
        <f>'PRC JA list'!F9</f>
        <v>0</v>
      </c>
      <c r="E79" s="31">
        <f>'PRC JA list'!F15</f>
        <v>0</v>
      </c>
      <c r="F79" s="31"/>
      <c r="G79" s="31"/>
      <c r="H79" s="31">
        <f>'PRC JA list'!F28</f>
        <v>0</v>
      </c>
      <c r="I79" s="31"/>
      <c r="J79" s="31"/>
      <c r="K79" s="31">
        <f>'PRC JA list'!F43</f>
        <v>0</v>
      </c>
      <c r="L79" s="31"/>
      <c r="M79" s="31"/>
      <c r="N79" s="31"/>
      <c r="O79" s="31"/>
      <c r="P79" s="31"/>
      <c r="Q79" s="31"/>
      <c r="R79" s="31"/>
      <c r="S79" s="32">
        <f t="shared" si="33"/>
        <v>44997610.850000001</v>
      </c>
      <c r="T79" s="26" t="s">
        <v>299</v>
      </c>
      <c r="U79" s="27" t="s">
        <v>1191</v>
      </c>
    </row>
    <row r="80" spans="2:23" ht="12.7" customHeight="1">
      <c r="B80" s="30" t="s">
        <v>1323</v>
      </c>
      <c r="C80" s="31">
        <v>0</v>
      </c>
      <c r="D80" s="31"/>
      <c r="E80" s="31"/>
      <c r="F80" s="31"/>
      <c r="G80" s="31"/>
      <c r="H80" s="31"/>
      <c r="I80" s="31"/>
      <c r="J80" s="31"/>
      <c r="K80" s="31">
        <f>'PRC JA list'!F42</f>
        <v>0</v>
      </c>
      <c r="L80" s="31"/>
      <c r="M80" s="31"/>
      <c r="N80" s="31"/>
      <c r="O80" s="31"/>
      <c r="P80" s="31"/>
      <c r="Q80" s="31"/>
      <c r="R80" s="31"/>
      <c r="S80" s="32">
        <f t="shared" si="33"/>
        <v>0</v>
      </c>
      <c r="T80" s="26"/>
      <c r="U80" s="27"/>
    </row>
    <row r="81" spans="2:24" ht="12.05" customHeight="1">
      <c r="B81" s="30" t="s">
        <v>94</v>
      </c>
      <c r="C81" s="32">
        <v>7690523.5700000003</v>
      </c>
      <c r="D81" s="31"/>
      <c r="E81" s="31"/>
      <c r="F81" s="31">
        <f>'PRC JA list'!F19</f>
        <v>0</v>
      </c>
      <c r="G81" s="31"/>
      <c r="H81" s="31"/>
      <c r="I81" s="31"/>
      <c r="J81" s="31"/>
      <c r="K81" s="31"/>
      <c r="L81" s="31"/>
      <c r="M81" s="31"/>
      <c r="N81" s="31"/>
      <c r="O81" s="31"/>
      <c r="P81" s="31">
        <f>'PRC JA list'!F66</f>
        <v>0</v>
      </c>
      <c r="Q81" s="31"/>
      <c r="R81" s="31"/>
      <c r="S81" s="32">
        <f t="shared" si="33"/>
        <v>7690523.5700000003</v>
      </c>
      <c r="T81" s="26" t="s">
        <v>300</v>
      </c>
      <c r="U81" s="27" t="s">
        <v>1191</v>
      </c>
    </row>
    <row r="82" spans="2:24" ht="12.05" customHeight="1">
      <c r="B82" s="30" t="s">
        <v>95</v>
      </c>
      <c r="C82" s="31">
        <v>0</v>
      </c>
      <c r="D82" s="31"/>
      <c r="E82" s="31">
        <f>'PRC JA list'!F14</f>
        <v>0</v>
      </c>
      <c r="F82" s="31"/>
      <c r="G82" s="31"/>
      <c r="H82" s="31">
        <f>'PRC JA list'!F29</f>
        <v>0</v>
      </c>
      <c r="I82" s="31"/>
      <c r="J82" s="31"/>
      <c r="K82" s="31"/>
      <c r="L82" s="31"/>
      <c r="M82" s="31"/>
      <c r="N82" s="31"/>
      <c r="O82" s="31"/>
      <c r="P82" s="31"/>
      <c r="Q82" s="31"/>
      <c r="R82" s="31"/>
      <c r="S82" s="32">
        <f t="shared" si="33"/>
        <v>0</v>
      </c>
      <c r="T82" s="26"/>
      <c r="U82" s="27"/>
    </row>
    <row r="83" spans="2:24" ht="12.7" customHeight="1">
      <c r="B83" s="30" t="s">
        <v>96</v>
      </c>
      <c r="C83" s="31">
        <v>0</v>
      </c>
      <c r="D83" s="31"/>
      <c r="E83" s="31"/>
      <c r="F83" s="31"/>
      <c r="G83" s="31"/>
      <c r="H83" s="31"/>
      <c r="I83" s="31"/>
      <c r="J83" s="31"/>
      <c r="K83" s="31"/>
      <c r="L83" s="31"/>
      <c r="M83" s="31"/>
      <c r="N83" s="31"/>
      <c r="O83" s="31"/>
      <c r="P83" s="31"/>
      <c r="Q83" s="31"/>
      <c r="R83" s="31"/>
      <c r="S83" s="32">
        <f t="shared" si="33"/>
        <v>0</v>
      </c>
      <c r="T83" s="26"/>
      <c r="U83" s="27"/>
    </row>
    <row r="84" spans="2:24" ht="12.7" customHeight="1">
      <c r="B84" s="30" t="s">
        <v>97</v>
      </c>
      <c r="C84" s="32">
        <v>-3894380.65</v>
      </c>
      <c r="D84" s="31"/>
      <c r="E84" s="31"/>
      <c r="F84" s="32"/>
      <c r="G84" s="32"/>
      <c r="H84" s="32"/>
      <c r="I84" s="32"/>
      <c r="J84" s="32"/>
      <c r="K84" s="32"/>
      <c r="L84" s="32"/>
      <c r="M84" s="32"/>
      <c r="N84" s="32"/>
      <c r="O84" s="32"/>
      <c r="P84" s="32">
        <f>'PRC JA list'!F65</f>
        <v>0</v>
      </c>
      <c r="Q84" s="32"/>
      <c r="R84" s="32"/>
      <c r="S84" s="32">
        <f t="shared" si="33"/>
        <v>-3894380.65</v>
      </c>
      <c r="T84" s="26" t="s">
        <v>301</v>
      </c>
      <c r="U84" s="27" t="s">
        <v>1191</v>
      </c>
    </row>
    <row r="85" spans="2:24" ht="12.7" customHeight="1">
      <c r="B85" s="16" t="s">
        <v>23</v>
      </c>
      <c r="C85" s="48">
        <f>SUBTOTAL(9,C72:C84)</f>
        <v>-33688558.55999998</v>
      </c>
      <c r="D85" s="48">
        <f t="shared" ref="D85:R85" si="34">SUBTOTAL(9,D72:D84)</f>
        <v>0</v>
      </c>
      <c r="E85" s="48">
        <f t="shared" si="34"/>
        <v>0</v>
      </c>
      <c r="F85" s="48">
        <f t="shared" si="34"/>
        <v>0</v>
      </c>
      <c r="G85" s="48">
        <f t="shared" si="34"/>
        <v>0</v>
      </c>
      <c r="H85" s="48">
        <f t="shared" si="34"/>
        <v>0</v>
      </c>
      <c r="I85" s="48">
        <f t="shared" si="34"/>
        <v>0</v>
      </c>
      <c r="J85" s="48">
        <f t="shared" si="34"/>
        <v>0</v>
      </c>
      <c r="K85" s="48">
        <f t="shared" si="34"/>
        <v>0</v>
      </c>
      <c r="L85" s="48">
        <f t="shared" si="34"/>
        <v>0</v>
      </c>
      <c r="M85" s="48">
        <f t="shared" si="34"/>
        <v>0</v>
      </c>
      <c r="N85" s="48">
        <f t="shared" si="34"/>
        <v>0</v>
      </c>
      <c r="O85" s="48">
        <f t="shared" si="34"/>
        <v>0</v>
      </c>
      <c r="P85" s="48">
        <f t="shared" si="34"/>
        <v>0</v>
      </c>
      <c r="Q85" s="48">
        <f t="shared" si="34"/>
        <v>0</v>
      </c>
      <c r="R85" s="48">
        <f t="shared" si="34"/>
        <v>0</v>
      </c>
      <c r="S85" s="48">
        <f>SUBTOTAL(9,S72:S84)</f>
        <v>-33688558.55999998</v>
      </c>
      <c r="T85" s="26"/>
      <c r="U85" s="27"/>
    </row>
    <row r="86" spans="2:24" ht="12.7" customHeight="1">
      <c r="B86" s="16"/>
      <c r="C86" s="39"/>
      <c r="D86" s="39"/>
      <c r="E86" s="39"/>
      <c r="F86" s="39"/>
      <c r="G86" s="39"/>
      <c r="H86" s="39"/>
      <c r="I86" s="39"/>
      <c r="J86" s="39"/>
      <c r="K86" s="39"/>
      <c r="L86" s="39"/>
      <c r="M86" s="39"/>
      <c r="N86" s="39"/>
      <c r="O86" s="39"/>
      <c r="P86" s="39"/>
      <c r="Q86" s="39"/>
      <c r="R86" s="39"/>
      <c r="S86" s="39"/>
      <c r="T86" s="26"/>
      <c r="U86" s="27"/>
    </row>
    <row r="87" spans="2:24" ht="12.7" customHeight="1">
      <c r="B87" s="30" t="s">
        <v>24</v>
      </c>
      <c r="C87" s="32">
        <v>-366951.97</v>
      </c>
      <c r="D87" s="31"/>
      <c r="E87" s="31"/>
      <c r="F87" s="32"/>
      <c r="G87" s="32"/>
      <c r="H87" s="32">
        <f>'PRC JA list'!F30</f>
        <v>0</v>
      </c>
      <c r="I87" s="32"/>
      <c r="J87" s="32"/>
      <c r="K87" s="32"/>
      <c r="L87" s="32"/>
      <c r="M87" s="32"/>
      <c r="N87" s="32"/>
      <c r="O87" s="32"/>
      <c r="P87" s="32"/>
      <c r="Q87" s="32"/>
      <c r="R87" s="32"/>
      <c r="S87" s="32">
        <f>SUM(C87:R87)</f>
        <v>-366951.97</v>
      </c>
      <c r="T87" s="26" t="s">
        <v>302</v>
      </c>
      <c r="U87" s="27" t="s">
        <v>1191</v>
      </c>
    </row>
    <row r="88" spans="2:24" ht="12.7" customHeight="1">
      <c r="B88" s="30" t="s">
        <v>25</v>
      </c>
      <c r="C88" s="32">
        <v>497424.54</v>
      </c>
      <c r="D88" s="31"/>
      <c r="E88" s="31"/>
      <c r="F88" s="32"/>
      <c r="G88" s="32"/>
      <c r="H88" s="32">
        <f>'PRC JA list'!F31</f>
        <v>0</v>
      </c>
      <c r="I88" s="32"/>
      <c r="J88" s="32"/>
      <c r="K88" s="32"/>
      <c r="L88" s="32"/>
      <c r="M88" s="32"/>
      <c r="N88" s="32"/>
      <c r="O88" s="32"/>
      <c r="P88" s="32"/>
      <c r="Q88" s="32"/>
      <c r="R88" s="32"/>
      <c r="S88" s="32">
        <f>SUM(C88:R88)</f>
        <v>497424.54</v>
      </c>
      <c r="T88" s="26" t="s">
        <v>303</v>
      </c>
      <c r="U88" s="27" t="s">
        <v>1191</v>
      </c>
    </row>
    <row r="89" spans="2:24" ht="12.7" customHeight="1">
      <c r="B89" s="16" t="s">
        <v>98</v>
      </c>
      <c r="C89" s="48">
        <f t="shared" ref="C89:O89" si="35">SUBTOTAL(9,C72:C88)</f>
        <v>-33558085.98999998</v>
      </c>
      <c r="D89" s="48">
        <f t="shared" si="35"/>
        <v>0</v>
      </c>
      <c r="E89" s="48">
        <f t="shared" si="35"/>
        <v>0</v>
      </c>
      <c r="F89" s="48">
        <f t="shared" si="35"/>
        <v>0</v>
      </c>
      <c r="G89" s="48">
        <f t="shared" si="35"/>
        <v>0</v>
      </c>
      <c r="H89" s="48">
        <f t="shared" si="35"/>
        <v>0</v>
      </c>
      <c r="I89" s="48">
        <f t="shared" si="35"/>
        <v>0</v>
      </c>
      <c r="J89" s="48">
        <f t="shared" si="35"/>
        <v>0</v>
      </c>
      <c r="K89" s="48">
        <f t="shared" si="35"/>
        <v>0</v>
      </c>
      <c r="L89" s="48">
        <f t="shared" si="35"/>
        <v>0</v>
      </c>
      <c r="M89" s="48">
        <f t="shared" si="35"/>
        <v>0</v>
      </c>
      <c r="N89" s="48">
        <f t="shared" si="35"/>
        <v>0</v>
      </c>
      <c r="O89" s="48">
        <f t="shared" si="35"/>
        <v>0</v>
      </c>
      <c r="P89" s="48">
        <f t="shared" ref="P89:R89" si="36">SUBTOTAL(9,P72:P88)</f>
        <v>0</v>
      </c>
      <c r="Q89" s="48">
        <f t="shared" si="36"/>
        <v>0</v>
      </c>
      <c r="R89" s="48">
        <f t="shared" si="36"/>
        <v>0</v>
      </c>
      <c r="S89" s="48">
        <f>SUBTOTAL(9,S72:S88)</f>
        <v>-33558085.98999998</v>
      </c>
      <c r="T89" s="26"/>
      <c r="U89" s="176"/>
    </row>
    <row r="90" spans="2:24" ht="12.7" customHeight="1">
      <c r="B90" s="200"/>
      <c r="C90" s="316"/>
      <c r="D90" s="39"/>
      <c r="E90" s="39"/>
      <c r="F90" s="39"/>
      <c r="G90" s="39"/>
      <c r="H90" s="39"/>
      <c r="I90" s="39"/>
      <c r="J90" s="39"/>
      <c r="K90" s="39"/>
      <c r="L90" s="39"/>
      <c r="M90" s="39"/>
      <c r="N90" s="39"/>
      <c r="O90" s="39"/>
      <c r="P90" s="39"/>
      <c r="Q90" s="39"/>
      <c r="R90" s="39"/>
      <c r="S90" s="39"/>
      <c r="T90" s="26"/>
      <c r="U90" s="27"/>
    </row>
    <row r="91" spans="2:24" ht="12.7" customHeight="1">
      <c r="B91" s="30" t="s">
        <v>26</v>
      </c>
      <c r="C91" s="32">
        <v>5915000</v>
      </c>
      <c r="D91" s="31">
        <f>'PRC JA list'!F10</f>
        <v>0</v>
      </c>
      <c r="E91" s="31"/>
      <c r="F91" s="32"/>
      <c r="G91" s="32"/>
      <c r="H91" s="32"/>
      <c r="I91" s="32"/>
      <c r="J91" s="32"/>
      <c r="K91" s="32"/>
      <c r="L91" s="32"/>
      <c r="M91" s="32"/>
      <c r="N91" s="32"/>
      <c r="O91" s="32"/>
      <c r="P91" s="32"/>
      <c r="Q91" s="32"/>
      <c r="R91" s="32"/>
      <c r="S91" s="32">
        <f>SUM(C91:R91)</f>
        <v>5915000</v>
      </c>
      <c r="T91" s="26" t="s">
        <v>304</v>
      </c>
      <c r="U91" s="27" t="s">
        <v>1047</v>
      </c>
    </row>
    <row r="92" spans="2:24" ht="12.7" customHeight="1">
      <c r="C92" s="39" t="s">
        <v>1418</v>
      </c>
      <c r="D92" s="39"/>
      <c r="E92" s="39"/>
      <c r="F92" s="39"/>
      <c r="G92" s="39"/>
      <c r="H92" s="39"/>
      <c r="I92" s="39"/>
      <c r="J92" s="39"/>
      <c r="K92" s="39"/>
      <c r="L92" s="39"/>
      <c r="M92" s="39"/>
      <c r="N92" s="39"/>
      <c r="O92" s="39"/>
      <c r="P92" s="39"/>
      <c r="Q92" s="39"/>
      <c r="R92" s="39"/>
      <c r="S92" s="39"/>
      <c r="T92" s="26"/>
      <c r="U92" s="27"/>
    </row>
    <row r="93" spans="2:24" ht="13.5" customHeight="1" thickBot="1">
      <c r="B93" s="16" t="s">
        <v>99</v>
      </c>
      <c r="C93" s="46">
        <f>SUM(C91,C89)</f>
        <v>-27643085.98999998</v>
      </c>
      <c r="D93" s="46">
        <f t="shared" ref="D93:R93" si="37">SUM(D91,D89)</f>
        <v>0</v>
      </c>
      <c r="E93" s="46">
        <f t="shared" si="37"/>
        <v>0</v>
      </c>
      <c r="F93" s="46">
        <f>SUM(F91,F89)</f>
        <v>0</v>
      </c>
      <c r="G93" s="46">
        <f t="shared" si="37"/>
        <v>0</v>
      </c>
      <c r="H93" s="46">
        <f t="shared" si="37"/>
        <v>0</v>
      </c>
      <c r="I93" s="46">
        <f t="shared" si="37"/>
        <v>0</v>
      </c>
      <c r="J93" s="46">
        <f t="shared" si="37"/>
        <v>0</v>
      </c>
      <c r="K93" s="46">
        <f>SUM(K91,K89)</f>
        <v>0</v>
      </c>
      <c r="L93" s="46">
        <f>SUM(L91,L89)</f>
        <v>0</v>
      </c>
      <c r="M93" s="46">
        <f t="shared" ref="M93:P93" si="38">SUM(M91,M89)</f>
        <v>0</v>
      </c>
      <c r="N93" s="46">
        <f t="shared" si="38"/>
        <v>0</v>
      </c>
      <c r="O93" s="46">
        <f t="shared" si="38"/>
        <v>0</v>
      </c>
      <c r="P93" s="46">
        <f t="shared" si="38"/>
        <v>0</v>
      </c>
      <c r="Q93" s="46">
        <f t="shared" ref="Q93" si="39">SUM(Q91,Q89)</f>
        <v>0</v>
      </c>
      <c r="R93" s="46">
        <f t="shared" si="37"/>
        <v>0</v>
      </c>
      <c r="S93" s="46">
        <f>SUM(S91,S89)</f>
        <v>-27643085.98999998</v>
      </c>
      <c r="T93" s="26"/>
      <c r="U93" s="27"/>
    </row>
    <row r="94" spans="2:24" ht="12.7" customHeight="1" thickTop="1">
      <c r="C94" s="39"/>
      <c r="D94" s="39"/>
      <c r="E94" s="39"/>
      <c r="F94" s="39"/>
      <c r="G94" s="39"/>
      <c r="H94" s="39"/>
      <c r="I94" s="39"/>
      <c r="J94" s="39"/>
      <c r="K94" s="39"/>
      <c r="L94" s="39"/>
      <c r="M94" s="39"/>
      <c r="N94" s="39"/>
      <c r="O94" s="39"/>
      <c r="P94" s="39"/>
      <c r="Q94" s="39"/>
      <c r="R94" s="39"/>
      <c r="S94" s="39">
        <f>SUM(C94:R94)</f>
        <v>0</v>
      </c>
      <c r="T94" s="26"/>
      <c r="U94" s="27"/>
      <c r="V94" s="312"/>
      <c r="W94"/>
      <c r="X94" s="313"/>
    </row>
    <row r="95" spans="2:24" ht="12.7" customHeight="1">
      <c r="B95" s="54" t="s">
        <v>100</v>
      </c>
      <c r="C95" s="31">
        <f>'PRC Spreadsheet-2019.12.31'!B111</f>
        <v>-1105072.0599999577</v>
      </c>
      <c r="D95" s="31">
        <f>'PRC JA list'!E11</f>
        <v>0</v>
      </c>
      <c r="E95" s="31"/>
      <c r="F95" s="31">
        <f>'PRC JA list'!E20</f>
        <v>0</v>
      </c>
      <c r="G95" s="31"/>
      <c r="H95" s="31"/>
      <c r="I95" s="31"/>
      <c r="J95" s="31"/>
      <c r="K95" s="31"/>
      <c r="L95" s="31"/>
      <c r="M95" s="31"/>
      <c r="N95" s="31"/>
      <c r="O95" s="31"/>
      <c r="P95" s="31"/>
      <c r="Q95" s="31"/>
      <c r="R95" s="31"/>
      <c r="S95" s="31">
        <f>SUM(C95:R95)</f>
        <v>-1105072.0599999577</v>
      </c>
      <c r="T95" s="26"/>
      <c r="U95" s="286"/>
    </row>
    <row r="96" spans="2:24" ht="12.7" customHeight="1">
      <c r="B96" s="54" t="s">
        <v>103</v>
      </c>
      <c r="C96" s="31"/>
      <c r="D96" s="31"/>
      <c r="E96" s="31"/>
      <c r="F96" s="31"/>
      <c r="G96" s="31"/>
      <c r="H96" s="31"/>
      <c r="I96" s="31"/>
      <c r="J96" s="31"/>
      <c r="K96" s="31"/>
      <c r="L96" s="31"/>
      <c r="M96" s="31"/>
      <c r="N96" s="31"/>
      <c r="O96" s="31"/>
      <c r="P96" s="31"/>
      <c r="Q96" s="31"/>
      <c r="R96" s="31"/>
      <c r="S96" s="31">
        <f>SUM(C96:R96)</f>
        <v>0</v>
      </c>
      <c r="T96" s="26"/>
      <c r="U96" s="27"/>
    </row>
    <row r="97" spans="2:21" ht="12.7" customHeight="1">
      <c r="B97" s="54"/>
      <c r="C97" s="39"/>
      <c r="D97" s="39"/>
      <c r="E97" s="39"/>
      <c r="F97" s="39"/>
      <c r="G97" s="39"/>
      <c r="H97" s="39"/>
      <c r="I97" s="39"/>
      <c r="J97" s="39"/>
      <c r="K97" s="39"/>
      <c r="L97" s="39"/>
      <c r="M97" s="39"/>
      <c r="N97" s="39"/>
      <c r="O97" s="39"/>
      <c r="P97" s="39"/>
      <c r="Q97" s="39"/>
      <c r="R97" s="39"/>
      <c r="S97" s="39">
        <f>SUM(C97:R97)</f>
        <v>0</v>
      </c>
      <c r="T97" s="182"/>
      <c r="U97" s="27"/>
    </row>
    <row r="98" spans="2:21" ht="13.5" customHeight="1" thickBot="1">
      <c r="B98" s="16" t="s">
        <v>104</v>
      </c>
      <c r="C98" s="46">
        <f t="shared" ref="C98:S98" si="40">C93+C95</f>
        <v>-28748158.049999937</v>
      </c>
      <c r="D98" s="46">
        <f t="shared" si="40"/>
        <v>0</v>
      </c>
      <c r="E98" s="46">
        <f t="shared" si="40"/>
        <v>0</v>
      </c>
      <c r="F98" s="46">
        <f t="shared" si="40"/>
        <v>0</v>
      </c>
      <c r="G98" s="46">
        <f t="shared" si="40"/>
        <v>0</v>
      </c>
      <c r="H98" s="46">
        <f t="shared" si="40"/>
        <v>0</v>
      </c>
      <c r="I98" s="46">
        <f t="shared" si="40"/>
        <v>0</v>
      </c>
      <c r="J98" s="46">
        <f t="shared" si="40"/>
        <v>0</v>
      </c>
      <c r="K98" s="46">
        <f t="shared" si="40"/>
        <v>0</v>
      </c>
      <c r="L98" s="46">
        <f t="shared" si="40"/>
        <v>0</v>
      </c>
      <c r="M98" s="46">
        <f t="shared" si="40"/>
        <v>0</v>
      </c>
      <c r="N98" s="46">
        <f t="shared" si="40"/>
        <v>0</v>
      </c>
      <c r="O98" s="46">
        <f t="shared" si="40"/>
        <v>0</v>
      </c>
      <c r="P98" s="46">
        <f t="shared" si="40"/>
        <v>0</v>
      </c>
      <c r="Q98" s="46">
        <f t="shared" si="40"/>
        <v>0</v>
      </c>
      <c r="R98" s="46">
        <f t="shared" si="40"/>
        <v>0</v>
      </c>
      <c r="S98" s="46">
        <f t="shared" si="40"/>
        <v>-28748158.049999937</v>
      </c>
      <c r="T98" s="182"/>
      <c r="U98" s="27"/>
    </row>
    <row r="99" spans="2:21" ht="13.8" thickTop="1">
      <c r="C99" s="39"/>
      <c r="D99" s="39"/>
      <c r="E99" s="39"/>
      <c r="F99" s="39"/>
      <c r="G99" s="39"/>
      <c r="H99" s="39"/>
      <c r="I99" s="39"/>
      <c r="J99" s="39"/>
      <c r="K99" s="39"/>
      <c r="L99" s="39"/>
      <c r="M99" s="39"/>
      <c r="N99" s="39"/>
      <c r="O99" s="39"/>
      <c r="P99" s="39"/>
      <c r="Q99" s="39"/>
      <c r="R99" s="39"/>
      <c r="S99" s="39"/>
      <c r="T99" s="26"/>
      <c r="U99" s="27"/>
    </row>
    <row r="100" spans="2:21">
      <c r="B100" s="30" t="s">
        <v>105</v>
      </c>
      <c r="C100" s="39"/>
      <c r="D100" s="39"/>
      <c r="E100" s="39"/>
      <c r="F100" s="39"/>
      <c r="G100" s="39"/>
      <c r="H100" s="39"/>
      <c r="I100" s="39"/>
      <c r="J100" s="39"/>
      <c r="K100" s="39"/>
      <c r="L100" s="39"/>
      <c r="M100" s="39"/>
      <c r="N100" s="39"/>
      <c r="O100" s="39"/>
      <c r="P100" s="39"/>
      <c r="Q100" s="39"/>
      <c r="R100" s="39"/>
      <c r="S100" s="39"/>
      <c r="T100" s="26"/>
      <c r="U100" s="27"/>
    </row>
    <row r="101" spans="2:21">
      <c r="B101" s="42" t="s">
        <v>106</v>
      </c>
      <c r="C101" s="50"/>
      <c r="D101" s="50"/>
      <c r="E101" s="50"/>
      <c r="F101" s="50"/>
      <c r="G101" s="50"/>
      <c r="H101" s="50"/>
      <c r="I101" s="50"/>
      <c r="J101" s="50"/>
      <c r="K101" s="50"/>
      <c r="L101" s="50"/>
      <c r="M101" s="50"/>
      <c r="N101" s="50"/>
      <c r="O101" s="50"/>
      <c r="P101" s="50"/>
      <c r="Q101" s="50">
        <f>'PRC JA list'!E70</f>
        <v>0</v>
      </c>
      <c r="R101" s="50"/>
      <c r="S101" s="31">
        <f t="shared" ref="S101:S103" si="41">SUM(C101:R101)</f>
        <v>0</v>
      </c>
      <c r="T101" s="26"/>
      <c r="U101" s="27"/>
    </row>
    <row r="102" spans="2:21">
      <c r="B102" s="42" t="s">
        <v>107</v>
      </c>
      <c r="C102" s="50"/>
      <c r="D102" s="50"/>
      <c r="E102" s="50"/>
      <c r="F102" s="50"/>
      <c r="G102" s="50"/>
      <c r="H102" s="50"/>
      <c r="I102" s="50"/>
      <c r="J102" s="50"/>
      <c r="K102" s="50"/>
      <c r="L102" s="50"/>
      <c r="M102" s="50"/>
      <c r="N102" s="50"/>
      <c r="O102" s="50"/>
      <c r="P102" s="50"/>
      <c r="Q102" s="50"/>
      <c r="R102" s="50"/>
      <c r="S102" s="31">
        <f t="shared" si="41"/>
        <v>0</v>
      </c>
      <c r="T102" s="26"/>
      <c r="U102" s="27"/>
    </row>
    <row r="103" spans="2:21">
      <c r="B103" s="42" t="s">
        <v>108</v>
      </c>
      <c r="C103" s="50"/>
      <c r="D103" s="50"/>
      <c r="E103" s="50"/>
      <c r="F103" s="50"/>
      <c r="G103" s="50"/>
      <c r="H103" s="50"/>
      <c r="I103" s="50"/>
      <c r="J103" s="50"/>
      <c r="K103" s="50"/>
      <c r="L103" s="50"/>
      <c r="M103" s="50"/>
      <c r="N103" s="50"/>
      <c r="O103" s="50"/>
      <c r="P103" s="50"/>
      <c r="Q103" s="50"/>
      <c r="R103" s="50"/>
      <c r="S103" s="31">
        <f t="shared" si="41"/>
        <v>0</v>
      </c>
      <c r="T103" s="26"/>
      <c r="U103" s="27"/>
    </row>
    <row r="104" spans="2:21">
      <c r="C104" s="43"/>
      <c r="D104" s="43"/>
      <c r="E104" s="43"/>
      <c r="F104" s="43"/>
      <c r="G104" s="43"/>
      <c r="H104" s="43"/>
      <c r="I104" s="43"/>
      <c r="J104" s="43"/>
      <c r="K104" s="43"/>
      <c r="L104" s="43"/>
      <c r="M104" s="43"/>
      <c r="N104" s="43"/>
      <c r="O104" s="43"/>
      <c r="P104" s="43"/>
      <c r="Q104" s="43"/>
      <c r="R104" s="43"/>
      <c r="S104" s="43"/>
      <c r="T104" s="26"/>
      <c r="U104" s="27"/>
    </row>
    <row r="105" spans="2:21">
      <c r="B105" s="30" t="s">
        <v>109</v>
      </c>
      <c r="C105" s="31"/>
      <c r="D105" s="31"/>
      <c r="E105" s="31"/>
      <c r="F105" s="31"/>
      <c r="G105" s="31"/>
      <c r="H105" s="31"/>
      <c r="I105" s="31"/>
      <c r="J105" s="31"/>
      <c r="K105" s="31"/>
      <c r="L105" s="31"/>
      <c r="M105" s="31"/>
      <c r="N105" s="31"/>
      <c r="O105" s="31"/>
      <c r="P105" s="31"/>
      <c r="Q105" s="31"/>
      <c r="R105" s="31"/>
      <c r="S105" s="31"/>
      <c r="T105" s="26"/>
      <c r="U105" s="27"/>
    </row>
    <row r="106" spans="2:21">
      <c r="B106" s="16" t="s">
        <v>110</v>
      </c>
      <c r="C106" s="47">
        <f>SUM(C100:C105,C98)</f>
        <v>-28748158.049999937</v>
      </c>
      <c r="D106" s="47">
        <f t="shared" ref="D106:R106" si="42">SUM(D100:D105,D98)</f>
        <v>0</v>
      </c>
      <c r="E106" s="47">
        <f t="shared" si="42"/>
        <v>0</v>
      </c>
      <c r="F106" s="47">
        <f>SUM(F100:F105,F98)</f>
        <v>0</v>
      </c>
      <c r="G106" s="47">
        <f t="shared" si="42"/>
        <v>0</v>
      </c>
      <c r="H106" s="47">
        <f t="shared" si="42"/>
        <v>0</v>
      </c>
      <c r="I106" s="47">
        <f t="shared" si="42"/>
        <v>0</v>
      </c>
      <c r="J106" s="47">
        <f t="shared" si="42"/>
        <v>0</v>
      </c>
      <c r="K106" s="47">
        <f>SUM(K100:K105,K98)</f>
        <v>0</v>
      </c>
      <c r="L106" s="47">
        <f>SUM(L100:L105,L98)</f>
        <v>0</v>
      </c>
      <c r="M106" s="47">
        <f t="shared" ref="M106:P106" si="43">SUM(M100:M105,M98)</f>
        <v>0</v>
      </c>
      <c r="N106" s="47">
        <f t="shared" si="43"/>
        <v>0</v>
      </c>
      <c r="O106" s="47">
        <f t="shared" si="43"/>
        <v>0</v>
      </c>
      <c r="P106" s="47">
        <f t="shared" si="43"/>
        <v>0</v>
      </c>
      <c r="Q106" s="47">
        <f>SUM(Q100:Q105,Q98)</f>
        <v>0</v>
      </c>
      <c r="R106" s="47">
        <f t="shared" si="42"/>
        <v>0</v>
      </c>
      <c r="S106" s="47">
        <f>SUM(S100:S105,S98)</f>
        <v>-28748158.049999937</v>
      </c>
      <c r="T106" s="26"/>
      <c r="U106" s="27"/>
    </row>
    <row r="107" spans="2:21">
      <c r="C107" s="39"/>
      <c r="D107" s="39"/>
      <c r="E107" s="39"/>
      <c r="F107" s="39"/>
      <c r="G107" s="39"/>
      <c r="H107" s="39"/>
      <c r="I107" s="39"/>
      <c r="J107" s="39"/>
      <c r="K107" s="39"/>
      <c r="L107" s="39"/>
      <c r="M107" s="39"/>
      <c r="N107" s="39"/>
      <c r="O107" s="39"/>
      <c r="P107" s="39"/>
      <c r="Q107" s="39"/>
      <c r="R107" s="39"/>
      <c r="S107" s="39">
        <f>SUM(C107:R107)</f>
        <v>0</v>
      </c>
      <c r="T107" s="26"/>
      <c r="U107" s="27"/>
    </row>
    <row r="108" spans="2:21">
      <c r="B108" s="30" t="s">
        <v>111</v>
      </c>
      <c r="C108" s="31"/>
      <c r="D108" s="31"/>
      <c r="E108" s="31"/>
      <c r="F108" s="31"/>
      <c r="G108" s="31"/>
      <c r="H108" s="31"/>
      <c r="I108" s="31"/>
      <c r="J108" s="31"/>
      <c r="K108" s="31"/>
      <c r="L108" s="31"/>
      <c r="M108" s="31"/>
      <c r="N108" s="31"/>
      <c r="O108" s="31"/>
      <c r="P108" s="31"/>
      <c r="Q108" s="31"/>
      <c r="R108" s="31"/>
      <c r="S108" s="31">
        <f>SUM(C108:R108)</f>
        <v>0</v>
      </c>
      <c r="T108" s="26"/>
      <c r="U108" s="27"/>
    </row>
    <row r="109" spans="2:21">
      <c r="B109" s="30" t="s">
        <v>112</v>
      </c>
      <c r="C109" s="31"/>
      <c r="D109" s="31"/>
      <c r="E109" s="31"/>
      <c r="F109" s="31"/>
      <c r="G109" s="31"/>
      <c r="H109" s="31"/>
      <c r="I109" s="31"/>
      <c r="J109" s="31"/>
      <c r="K109" s="31"/>
      <c r="L109" s="31"/>
      <c r="M109" s="31"/>
      <c r="N109" s="31"/>
      <c r="O109" s="31"/>
      <c r="P109" s="31"/>
      <c r="Q109" s="31"/>
      <c r="R109" s="31"/>
      <c r="S109" s="31">
        <f>SUM(C109:R109)</f>
        <v>0</v>
      </c>
      <c r="T109" s="26"/>
      <c r="U109" s="27"/>
    </row>
    <row r="110" spans="2:21">
      <c r="C110" s="39"/>
      <c r="D110" s="39"/>
      <c r="E110" s="39"/>
      <c r="F110" s="39"/>
      <c r="G110" s="39"/>
      <c r="H110" s="39"/>
      <c r="I110" s="39"/>
      <c r="J110" s="39"/>
      <c r="K110" s="39"/>
      <c r="L110" s="39"/>
      <c r="M110" s="39"/>
      <c r="N110" s="39"/>
      <c r="O110" s="39"/>
      <c r="P110" s="39"/>
      <c r="Q110" s="39"/>
      <c r="R110" s="39"/>
      <c r="S110" s="39">
        <f>SUM(C110:R110)</f>
        <v>0</v>
      </c>
      <c r="T110" s="26"/>
      <c r="U110" s="27"/>
    </row>
    <row r="111" spans="2:21" ht="26.95" thickBot="1">
      <c r="B111" s="55" t="s">
        <v>113</v>
      </c>
      <c r="C111" s="45">
        <f t="shared" ref="C111:S111" si="44">SUM(C108:C109,C106)</f>
        <v>-28748158.049999937</v>
      </c>
      <c r="D111" s="45">
        <f t="shared" si="44"/>
        <v>0</v>
      </c>
      <c r="E111" s="45">
        <f t="shared" si="44"/>
        <v>0</v>
      </c>
      <c r="F111" s="45">
        <f t="shared" si="44"/>
        <v>0</v>
      </c>
      <c r="G111" s="45">
        <f t="shared" si="44"/>
        <v>0</v>
      </c>
      <c r="H111" s="45">
        <f t="shared" si="44"/>
        <v>0</v>
      </c>
      <c r="I111" s="45">
        <f t="shared" si="44"/>
        <v>0</v>
      </c>
      <c r="J111" s="45">
        <f t="shared" si="44"/>
        <v>0</v>
      </c>
      <c r="K111" s="45">
        <f t="shared" si="44"/>
        <v>0</v>
      </c>
      <c r="L111" s="45">
        <f t="shared" si="44"/>
        <v>0</v>
      </c>
      <c r="M111" s="45">
        <f t="shared" si="44"/>
        <v>0</v>
      </c>
      <c r="N111" s="45">
        <f t="shared" si="44"/>
        <v>0</v>
      </c>
      <c r="O111" s="45">
        <f t="shared" si="44"/>
        <v>0</v>
      </c>
      <c r="P111" s="45">
        <f t="shared" si="44"/>
        <v>0</v>
      </c>
      <c r="Q111" s="45">
        <f t="shared" si="44"/>
        <v>0</v>
      </c>
      <c r="R111" s="45">
        <f t="shared" si="44"/>
        <v>0</v>
      </c>
      <c r="S111" s="45">
        <f t="shared" si="44"/>
        <v>-28748158.049999937</v>
      </c>
      <c r="T111" s="26"/>
      <c r="U111" s="27"/>
    </row>
    <row r="112" spans="2:21" ht="13.8" thickTop="1">
      <c r="B112" s="56"/>
      <c r="C112" s="57"/>
      <c r="D112" s="57"/>
      <c r="E112" s="57"/>
      <c r="F112" s="57"/>
      <c r="G112" s="57"/>
      <c r="H112" s="57"/>
      <c r="I112" s="57"/>
      <c r="J112" s="57"/>
      <c r="K112" s="57"/>
      <c r="L112" s="57"/>
      <c r="M112" s="57"/>
      <c r="N112" s="57"/>
      <c r="O112" s="57"/>
      <c r="P112" s="57"/>
      <c r="Q112" s="57"/>
      <c r="R112" s="57"/>
      <c r="S112" s="57"/>
    </row>
    <row r="113" spans="2:23" s="180" customFormat="1">
      <c r="B113" s="42" t="s">
        <v>946</v>
      </c>
      <c r="C113" s="173">
        <f>C95-'PRC Spreadsheet-2019.12.31'!B111</f>
        <v>0</v>
      </c>
      <c r="D113" s="173"/>
      <c r="E113" s="173"/>
      <c r="F113" s="173"/>
      <c r="G113" s="173"/>
      <c r="H113" s="173"/>
      <c r="I113" s="173"/>
      <c r="J113" s="173"/>
      <c r="K113" s="173"/>
      <c r="L113" s="173"/>
      <c r="M113" s="173"/>
      <c r="N113" s="173"/>
      <c r="O113" s="173"/>
      <c r="P113" s="173"/>
      <c r="Q113" s="173"/>
      <c r="R113" s="173"/>
      <c r="S113" s="173"/>
      <c r="T113" s="177"/>
      <c r="U113" s="178"/>
      <c r="V113" s="179"/>
      <c r="W113" s="179"/>
    </row>
    <row r="115" spans="2:23">
      <c r="C115" s="34"/>
      <c r="D115" s="34"/>
      <c r="E115" s="34"/>
      <c r="F115" s="34"/>
      <c r="G115" s="34"/>
      <c r="H115" s="34"/>
      <c r="I115" s="34"/>
      <c r="J115" s="34"/>
      <c r="K115" s="34"/>
      <c r="L115" s="34"/>
      <c r="M115" s="34"/>
      <c r="N115" s="34"/>
      <c r="O115" s="34"/>
      <c r="P115" s="34"/>
      <c r="Q115" s="34"/>
      <c r="R115" s="34"/>
      <c r="S115" s="34"/>
    </row>
  </sheetData>
  <mergeCells count="1">
    <mergeCell ref="D7:R7"/>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2060"/>
  </sheetPr>
  <dimension ref="A1:W115"/>
  <sheetViews>
    <sheetView zoomScaleNormal="100" workbookViewId="0">
      <pane xSplit="2" ySplit="8" topLeftCell="C9" activePane="bottomRight" state="frozen"/>
      <selection activeCell="N47" sqref="N47"/>
      <selection pane="topRight" activeCell="N47" sqref="N47"/>
      <selection pane="bottomLeft" activeCell="N47" sqref="N47"/>
      <selection pane="bottomRight" activeCell="B17" sqref="B17"/>
    </sheetView>
  </sheetViews>
  <sheetFormatPr defaultColWidth="9" defaultRowHeight="13.15"/>
  <cols>
    <col min="1" max="1" width="32.6640625" style="30" customWidth="1"/>
    <col min="2" max="2" width="18.109375" style="19" customWidth="1"/>
    <col min="3" max="4" width="14.77734375" style="19" customWidth="1"/>
    <col min="5" max="5" width="15.109375" style="19" customWidth="1"/>
    <col min="6" max="6" width="14.88671875" style="19" customWidth="1"/>
    <col min="7" max="7" width="13.33203125" style="19" customWidth="1"/>
    <col min="8" max="8" width="14.33203125" style="19" customWidth="1"/>
    <col min="9" max="9" width="15.77734375" style="19" customWidth="1"/>
    <col min="10" max="10" width="15.6640625" style="19" customWidth="1"/>
    <col min="11" max="17" width="17" style="19" customWidth="1"/>
    <col min="18" max="18" width="16.33203125" style="19" bestFit="1" customWidth="1"/>
    <col min="19" max="19" width="11.21875" style="10" bestFit="1" customWidth="1"/>
    <col min="20" max="20" width="11.77734375" style="11" customWidth="1"/>
    <col min="21" max="21" width="16.33203125" style="12" bestFit="1" customWidth="1"/>
    <col min="22" max="22" width="24.21875" style="12" customWidth="1"/>
    <col min="23" max="16384" width="9" style="13"/>
  </cols>
  <sheetData>
    <row r="1" spans="1:20">
      <c r="A1" s="8" t="s">
        <v>1363</v>
      </c>
      <c r="B1" s="9"/>
      <c r="C1" s="9"/>
      <c r="D1" s="9"/>
      <c r="E1" s="9"/>
      <c r="F1" s="9"/>
      <c r="G1" s="9"/>
      <c r="H1" s="9"/>
      <c r="I1" s="9"/>
      <c r="J1" s="9"/>
      <c r="K1" s="9"/>
      <c r="L1" s="9"/>
      <c r="M1" s="9"/>
      <c r="N1" s="9"/>
      <c r="O1" s="9"/>
      <c r="P1" s="9"/>
      <c r="Q1" s="9"/>
      <c r="R1" s="9"/>
    </row>
    <row r="2" spans="1:20">
      <c r="A2" s="14" t="s">
        <v>1224</v>
      </c>
      <c r="B2" s="15"/>
      <c r="C2" s="15"/>
      <c r="D2" s="15"/>
      <c r="E2" s="15"/>
      <c r="F2" s="15"/>
      <c r="G2" s="15"/>
      <c r="H2" s="15"/>
      <c r="I2" s="15"/>
      <c r="J2" s="15"/>
      <c r="K2" s="15"/>
      <c r="L2" s="15"/>
      <c r="M2" s="15"/>
      <c r="N2" s="15"/>
      <c r="O2" s="15"/>
      <c r="P2" s="15"/>
      <c r="Q2" s="15"/>
      <c r="R2" s="15"/>
    </row>
    <row r="3" spans="1:20">
      <c r="A3" s="16" t="s">
        <v>1</v>
      </c>
      <c r="B3" s="17"/>
      <c r="C3" s="17"/>
      <c r="D3" s="17"/>
      <c r="E3" s="17"/>
      <c r="F3" s="17"/>
      <c r="G3" s="17"/>
      <c r="H3" s="17"/>
      <c r="I3" s="17"/>
      <c r="J3" s="17"/>
      <c r="K3" s="17"/>
      <c r="R3" s="9"/>
      <c r="S3" s="237"/>
    </row>
    <row r="4" spans="1:20">
      <c r="A4" s="16" t="s">
        <v>2</v>
      </c>
      <c r="B4" s="37"/>
      <c r="C4" s="37"/>
      <c r="D4" s="37"/>
      <c r="E4" s="9"/>
      <c r="F4" s="9"/>
      <c r="G4" s="9"/>
      <c r="H4" s="9"/>
      <c r="I4" s="9"/>
      <c r="J4" s="9"/>
      <c r="K4" s="9"/>
      <c r="R4" s="9"/>
      <c r="S4" s="37"/>
    </row>
    <row r="5" spans="1:20">
      <c r="A5" s="16"/>
      <c r="B5" s="9"/>
      <c r="C5" s="9"/>
      <c r="D5" s="9"/>
      <c r="E5" s="9"/>
      <c r="F5" s="9"/>
      <c r="G5" s="9"/>
      <c r="H5" s="9"/>
      <c r="I5" s="9"/>
      <c r="J5" s="9"/>
      <c r="K5" s="9"/>
      <c r="S5" s="239"/>
    </row>
    <row r="6" spans="1:20">
      <c r="A6" s="18" t="s">
        <v>1310</v>
      </c>
    </row>
    <row r="7" spans="1:20">
      <c r="A7" s="20"/>
      <c r="B7" s="315" t="s">
        <v>1225</v>
      </c>
      <c r="C7" s="323" t="s">
        <v>952</v>
      </c>
      <c r="D7" s="323"/>
      <c r="E7" s="323"/>
      <c r="F7" s="323"/>
      <c r="G7" s="323"/>
      <c r="H7" s="323"/>
      <c r="I7" s="323"/>
      <c r="J7" s="323"/>
      <c r="K7" s="323"/>
      <c r="L7" s="323"/>
      <c r="M7" s="323"/>
      <c r="N7" s="323"/>
      <c r="O7" s="323"/>
      <c r="P7" s="323"/>
      <c r="Q7" s="323"/>
      <c r="R7" s="315" t="s">
        <v>1225</v>
      </c>
      <c r="S7" s="171"/>
    </row>
    <row r="8" spans="1:20" ht="26.3">
      <c r="A8" s="22"/>
      <c r="B8" s="23" t="s">
        <v>1364</v>
      </c>
      <c r="C8" s="58" t="s">
        <v>1365</v>
      </c>
      <c r="D8" s="58" t="s">
        <v>1311</v>
      </c>
      <c r="E8" s="58" t="s">
        <v>953</v>
      </c>
      <c r="F8" s="58" t="s">
        <v>186</v>
      </c>
      <c r="G8" s="58" t="s">
        <v>187</v>
      </c>
      <c r="H8" s="58" t="s">
        <v>188</v>
      </c>
      <c r="I8" s="58" t="s">
        <v>189</v>
      </c>
      <c r="J8" s="58" t="s">
        <v>230</v>
      </c>
      <c r="K8" s="58" t="s">
        <v>231</v>
      </c>
      <c r="L8" s="58" t="s">
        <v>236</v>
      </c>
      <c r="M8" s="58" t="s">
        <v>238</v>
      </c>
      <c r="N8" s="58" t="s">
        <v>1037</v>
      </c>
      <c r="O8" s="58" t="s">
        <v>1038</v>
      </c>
      <c r="P8" s="58" t="s">
        <v>1336</v>
      </c>
      <c r="Q8" s="58" t="s">
        <v>1337</v>
      </c>
      <c r="R8" s="23" t="s">
        <v>306</v>
      </c>
      <c r="S8" s="26" t="s">
        <v>272</v>
      </c>
      <c r="T8" s="27" t="s">
        <v>64</v>
      </c>
    </row>
    <row r="9" spans="1:20" ht="12.7" customHeight="1">
      <c r="A9" s="30" t="s">
        <v>1366</v>
      </c>
      <c r="B9" s="31">
        <v>14643601.039999999</v>
      </c>
      <c r="C9" s="31"/>
      <c r="D9" s="31"/>
      <c r="E9" s="31"/>
      <c r="F9" s="31"/>
      <c r="G9" s="31"/>
      <c r="H9" s="31"/>
      <c r="I9" s="31"/>
      <c r="J9" s="31"/>
      <c r="K9" s="31"/>
      <c r="L9" s="31"/>
      <c r="M9" s="31"/>
      <c r="N9" s="31"/>
      <c r="O9" s="31"/>
      <c r="P9" s="31"/>
      <c r="Q9" s="31"/>
      <c r="R9" s="31">
        <f>SUM(B9:Q9)</f>
        <v>14643601.039999999</v>
      </c>
      <c r="S9" s="26" t="s">
        <v>273</v>
      </c>
      <c r="T9" s="27" t="s">
        <v>1191</v>
      </c>
    </row>
    <row r="10" spans="1:20" ht="12.7" customHeight="1">
      <c r="A10" s="30" t="s">
        <v>1367</v>
      </c>
      <c r="B10" s="32">
        <v>23781343.960000001</v>
      </c>
      <c r="C10" s="31"/>
      <c r="D10" s="31"/>
      <c r="E10" s="31"/>
      <c r="F10" s="31"/>
      <c r="G10" s="31"/>
      <c r="H10" s="31"/>
      <c r="I10" s="31"/>
      <c r="J10" s="31"/>
      <c r="K10" s="31">
        <f>'[13]PRC JA list'!D47</f>
        <v>-1000000</v>
      </c>
      <c r="L10" s="31"/>
      <c r="M10" s="31"/>
      <c r="N10" s="31"/>
      <c r="O10" s="31"/>
      <c r="P10" s="31"/>
      <c r="Q10" s="31"/>
      <c r="R10" s="31">
        <f t="shared" ref="R10:R18" si="0">SUM(B10:Q10)</f>
        <v>22781343.960000001</v>
      </c>
      <c r="S10" s="26" t="s">
        <v>274</v>
      </c>
      <c r="T10" s="27" t="s">
        <v>1191</v>
      </c>
    </row>
    <row r="11" spans="1:20" ht="12.7" customHeight="1">
      <c r="A11" s="33" t="s">
        <v>3</v>
      </c>
      <c r="B11" s="32">
        <v>149218978.13999999</v>
      </c>
      <c r="C11" s="31"/>
      <c r="D11" s="31"/>
      <c r="E11" s="31"/>
      <c r="F11" s="31"/>
      <c r="G11" s="31"/>
      <c r="H11" s="31">
        <f>'[13]PRC JA list'!D34</f>
        <v>6184428.4199999999</v>
      </c>
      <c r="I11" s="31"/>
      <c r="J11" s="31"/>
      <c r="L11" s="31"/>
      <c r="M11" s="31"/>
      <c r="N11" s="31"/>
      <c r="R11" s="31">
        <f>SUM(B11:Q11)</f>
        <v>155403406.55999997</v>
      </c>
      <c r="S11" s="26" t="s">
        <v>275</v>
      </c>
      <c r="T11" s="27" t="s">
        <v>1228</v>
      </c>
    </row>
    <row r="12" spans="1:20" ht="12.7" customHeight="1">
      <c r="A12" s="30" t="s">
        <v>4</v>
      </c>
      <c r="B12" s="32">
        <v>-1462461.54</v>
      </c>
      <c r="C12" s="31"/>
      <c r="D12" s="31"/>
      <c r="E12" s="32"/>
      <c r="F12" s="32"/>
      <c r="G12" s="32"/>
      <c r="H12" s="32"/>
      <c r="I12" s="32"/>
      <c r="J12" s="32"/>
      <c r="K12" s="31">
        <f>'[13]PRC JA list'!D46</f>
        <v>1000000</v>
      </c>
      <c r="L12" s="32"/>
      <c r="M12" s="32"/>
      <c r="N12" s="32"/>
      <c r="O12" s="32"/>
      <c r="P12" s="32"/>
      <c r="Q12" s="32"/>
      <c r="R12" s="31">
        <f t="shared" si="0"/>
        <v>-462461.54000000004</v>
      </c>
      <c r="S12" s="26" t="s">
        <v>275</v>
      </c>
      <c r="T12" s="27" t="s">
        <v>1228</v>
      </c>
    </row>
    <row r="13" spans="1:20">
      <c r="A13" s="30" t="s">
        <v>5</v>
      </c>
      <c r="B13" s="32">
        <v>26848711.710000001</v>
      </c>
      <c r="C13" s="31"/>
      <c r="D13" s="31"/>
      <c r="E13" s="31"/>
      <c r="F13" s="31"/>
      <c r="G13" s="31"/>
      <c r="H13" s="31"/>
      <c r="I13" s="31"/>
      <c r="J13" s="31"/>
      <c r="K13" s="31"/>
      <c r="L13" s="31"/>
      <c r="M13" s="31"/>
      <c r="N13" s="31">
        <f>'[13]PRC JA list'!D62</f>
        <v>4355299.21</v>
      </c>
      <c r="O13" s="31"/>
      <c r="P13" s="31"/>
      <c r="Q13" s="31"/>
      <c r="R13" s="31">
        <f t="shared" si="0"/>
        <v>31204010.920000002</v>
      </c>
      <c r="S13" s="26" t="s">
        <v>280</v>
      </c>
      <c r="T13" s="27"/>
    </row>
    <row r="14" spans="1:20">
      <c r="A14" s="30" t="s">
        <v>1368</v>
      </c>
      <c r="B14" s="32">
        <v>5573978.9400000004</v>
      </c>
      <c r="C14" s="31"/>
      <c r="D14" s="31"/>
      <c r="E14" s="31"/>
      <c r="F14" s="31"/>
      <c r="G14" s="31"/>
      <c r="H14" s="31"/>
      <c r="I14" s="31"/>
      <c r="J14" s="31"/>
      <c r="K14" s="31"/>
      <c r="L14" s="31">
        <f>'[13]PRC JA list'!D51</f>
        <v>-1487743.8</v>
      </c>
      <c r="M14" s="31"/>
      <c r="N14" s="31"/>
      <c r="O14" s="31"/>
      <c r="P14" s="31"/>
      <c r="Q14" s="31"/>
      <c r="R14" s="31">
        <f t="shared" si="0"/>
        <v>4086235.1400000006</v>
      </c>
      <c r="S14" s="26" t="s">
        <v>278</v>
      </c>
      <c r="T14" s="27" t="s">
        <v>1228</v>
      </c>
    </row>
    <row r="15" spans="1:20" ht="12.7" customHeight="1">
      <c r="A15" s="30" t="s">
        <v>1369</v>
      </c>
      <c r="B15" s="31"/>
      <c r="C15" s="31"/>
      <c r="D15" s="31"/>
      <c r="E15" s="31"/>
      <c r="F15" s="31"/>
      <c r="G15" s="31"/>
      <c r="H15" s="31"/>
      <c r="I15" s="31"/>
      <c r="J15" s="31"/>
      <c r="K15" s="31"/>
      <c r="L15" s="31"/>
      <c r="M15" s="31"/>
      <c r="N15" s="31"/>
      <c r="O15" s="31"/>
      <c r="P15" s="31"/>
      <c r="Q15" s="31"/>
      <c r="R15" s="31">
        <f t="shared" si="0"/>
        <v>0</v>
      </c>
      <c r="S15" s="26"/>
      <c r="T15" s="27"/>
    </row>
    <row r="16" spans="1:20" ht="12.7" customHeight="1">
      <c r="A16" s="30" t="s">
        <v>1229</v>
      </c>
      <c r="B16" s="31">
        <v>4355299.21</v>
      </c>
      <c r="C16" s="31"/>
      <c r="D16" s="31"/>
      <c r="E16" s="31"/>
      <c r="F16" s="31"/>
      <c r="G16" s="31"/>
      <c r="H16" s="31"/>
      <c r="I16" s="31"/>
      <c r="J16" s="31"/>
      <c r="K16" s="31"/>
      <c r="L16" s="31"/>
      <c r="M16" s="31"/>
      <c r="N16" s="31">
        <f>'[13]PRC JA list'!D61</f>
        <v>-4355299.21</v>
      </c>
      <c r="O16" s="31"/>
      <c r="P16" s="31"/>
      <c r="Q16" s="31"/>
      <c r="R16" s="31">
        <f t="shared" si="0"/>
        <v>0</v>
      </c>
      <c r="S16" s="26" t="s">
        <v>285</v>
      </c>
      <c r="T16" s="27" t="s">
        <v>1191</v>
      </c>
    </row>
    <row r="17" spans="1:22" ht="12.7" customHeight="1">
      <c r="A17" s="30" t="s">
        <v>312</v>
      </c>
      <c r="B17" s="31">
        <v>198844368.84999996</v>
      </c>
      <c r="C17" s="31"/>
      <c r="D17" s="31"/>
      <c r="E17" s="31"/>
      <c r="F17" s="31"/>
      <c r="G17" s="31"/>
      <c r="H17" s="31"/>
      <c r="I17" s="31"/>
      <c r="J17" s="31"/>
      <c r="K17" s="31"/>
      <c r="L17" s="31"/>
      <c r="M17" s="31">
        <f>'[13]PRC JA list'!D54</f>
        <v>3382797.7</v>
      </c>
      <c r="N17" s="31"/>
      <c r="O17" s="31"/>
      <c r="P17" s="31"/>
      <c r="Q17" s="31"/>
      <c r="R17" s="31">
        <f t="shared" si="0"/>
        <v>202227166.54999995</v>
      </c>
      <c r="S17" s="26" t="s">
        <v>242</v>
      </c>
      <c r="T17" s="27" t="s">
        <v>1047</v>
      </c>
    </row>
    <row r="18" spans="1:22" ht="12.7" customHeight="1">
      <c r="A18" s="30" t="s">
        <v>1370</v>
      </c>
      <c r="B18" s="194">
        <v>-21169631.359999999</v>
      </c>
      <c r="C18" s="31"/>
      <c r="D18" s="31"/>
      <c r="E18" s="31"/>
      <c r="F18" s="31"/>
      <c r="G18" s="31"/>
      <c r="H18" s="31"/>
      <c r="I18" s="31"/>
      <c r="J18" s="31"/>
      <c r="K18" s="31"/>
      <c r="L18" s="31"/>
      <c r="M18" s="31"/>
      <c r="N18" s="31"/>
      <c r="O18" s="31"/>
      <c r="P18" s="31"/>
      <c r="Q18" s="31"/>
      <c r="R18" s="31">
        <f t="shared" si="0"/>
        <v>-21169631.359999999</v>
      </c>
      <c r="S18" s="26" t="s">
        <v>279</v>
      </c>
      <c r="T18" s="27" t="s">
        <v>1047</v>
      </c>
    </row>
    <row r="19" spans="1:22">
      <c r="A19" s="30" t="s">
        <v>6</v>
      </c>
      <c r="B19" s="31">
        <v>3717743.29</v>
      </c>
      <c r="C19" s="31"/>
      <c r="D19" s="31"/>
      <c r="E19" s="31"/>
      <c r="F19" s="31"/>
      <c r="G19" s="31"/>
      <c r="H19" s="31"/>
      <c r="I19" s="31"/>
      <c r="J19" s="31"/>
      <c r="K19" s="31"/>
      <c r="L19" s="31"/>
      <c r="M19" s="31"/>
      <c r="O19" s="31"/>
      <c r="P19" s="31"/>
      <c r="Q19" s="31"/>
      <c r="R19" s="31">
        <f>SUM(B19:Q19)</f>
        <v>3717743.29</v>
      </c>
      <c r="S19" s="26" t="s">
        <v>277</v>
      </c>
      <c r="T19" s="27" t="s">
        <v>1190</v>
      </c>
    </row>
    <row r="20" spans="1:22" ht="12.7" customHeight="1">
      <c r="A20" s="16" t="s">
        <v>7</v>
      </c>
      <c r="B20" s="35">
        <f>SUBTOTAL(9,B9:B19)</f>
        <v>404351932.23999995</v>
      </c>
      <c r="C20" s="35">
        <f t="shared" ref="C20:R20" si="1">SUBTOTAL(9,C9:C19)</f>
        <v>0</v>
      </c>
      <c r="D20" s="35">
        <f t="shared" si="1"/>
        <v>0</v>
      </c>
      <c r="E20" s="35">
        <f>SUBTOTAL(9,E9:E19)</f>
        <v>0</v>
      </c>
      <c r="F20" s="35">
        <f t="shared" si="1"/>
        <v>0</v>
      </c>
      <c r="G20" s="35">
        <f t="shared" si="1"/>
        <v>0</v>
      </c>
      <c r="H20" s="35">
        <f t="shared" si="1"/>
        <v>6184428.4199999999</v>
      </c>
      <c r="I20" s="35">
        <f t="shared" si="1"/>
        <v>0</v>
      </c>
      <c r="J20" s="35">
        <f>SUBTOTAL(9,J9:J19)</f>
        <v>0</v>
      </c>
      <c r="K20" s="35">
        <f>SUBTOTAL(9,K9:K19)</f>
        <v>0</v>
      </c>
      <c r="L20" s="35">
        <f t="shared" ref="L20:M20" si="2">SUBTOTAL(9,L9:L19)</f>
        <v>-1487743.8</v>
      </c>
      <c r="M20" s="35">
        <f t="shared" si="2"/>
        <v>3382797.7</v>
      </c>
      <c r="N20" s="35">
        <f>SUBTOTAL(9,N9:N18)</f>
        <v>0</v>
      </c>
      <c r="O20" s="35">
        <f t="shared" ref="O20:P20" si="3">SUBTOTAL(9,O9:O19)</f>
        <v>0</v>
      </c>
      <c r="P20" s="35">
        <f t="shared" si="3"/>
        <v>0</v>
      </c>
      <c r="Q20" s="35">
        <f t="shared" si="1"/>
        <v>0</v>
      </c>
      <c r="R20" s="35">
        <f t="shared" si="1"/>
        <v>412431414.55999994</v>
      </c>
      <c r="S20" s="26"/>
      <c r="T20" s="27"/>
    </row>
    <row r="21" spans="1:22" ht="12.7" customHeight="1">
      <c r="A21" s="16"/>
      <c r="B21" s="37"/>
      <c r="C21" s="37"/>
      <c r="D21" s="37"/>
      <c r="E21" s="37"/>
      <c r="F21" s="37"/>
      <c r="G21" s="37"/>
      <c r="H21" s="37"/>
      <c r="I21" s="37"/>
      <c r="J21" s="37"/>
      <c r="K21" s="37"/>
      <c r="L21" s="37"/>
      <c r="M21" s="37"/>
      <c r="N21" s="37"/>
      <c r="O21" s="37"/>
      <c r="P21" s="37"/>
      <c r="Q21" s="37"/>
      <c r="R21" s="37"/>
      <c r="S21" s="26"/>
      <c r="T21" s="27"/>
    </row>
    <row r="22" spans="1:22" ht="12.7" customHeight="1">
      <c r="A22" s="30" t="s">
        <v>1371</v>
      </c>
      <c r="B22" s="31"/>
      <c r="C22" s="31"/>
      <c r="D22" s="31"/>
      <c r="E22" s="31"/>
      <c r="F22" s="31"/>
      <c r="G22" s="31"/>
      <c r="H22" s="31"/>
      <c r="I22" s="31"/>
      <c r="J22" s="31"/>
      <c r="K22" s="31"/>
      <c r="L22" s="31"/>
      <c r="M22" s="31"/>
      <c r="N22" s="31"/>
      <c r="O22" s="31"/>
      <c r="P22" s="31"/>
      <c r="Q22" s="31"/>
      <c r="R22" s="31">
        <f t="shared" ref="R22:R24" si="4">SUM(B22:Q22)</f>
        <v>0</v>
      </c>
      <c r="S22" s="26"/>
      <c r="T22" s="27"/>
    </row>
    <row r="23" spans="1:22" ht="12.7" customHeight="1">
      <c r="A23" s="30" t="s">
        <v>1372</v>
      </c>
      <c r="B23" s="31"/>
      <c r="C23" s="31"/>
      <c r="D23" s="31"/>
      <c r="E23" s="31"/>
      <c r="F23" s="31"/>
      <c r="G23" s="31"/>
      <c r="H23" s="31"/>
      <c r="I23" s="31"/>
      <c r="J23" s="31"/>
      <c r="K23" s="31"/>
      <c r="L23" s="31"/>
      <c r="M23" s="31"/>
      <c r="N23" s="31"/>
      <c r="O23" s="31"/>
      <c r="P23" s="31"/>
      <c r="Q23" s="31"/>
      <c r="R23" s="31">
        <f t="shared" si="4"/>
        <v>0</v>
      </c>
      <c r="S23" s="26"/>
      <c r="T23" s="27"/>
    </row>
    <row r="24" spans="1:22" ht="12.7" customHeight="1">
      <c r="A24" s="16" t="s">
        <v>1373</v>
      </c>
      <c r="B24" s="38"/>
      <c r="C24" s="38"/>
      <c r="D24" s="38"/>
      <c r="E24" s="38"/>
      <c r="F24" s="38"/>
      <c r="G24" s="38"/>
      <c r="H24" s="38"/>
      <c r="I24" s="38"/>
      <c r="J24" s="38"/>
      <c r="K24" s="38"/>
      <c r="L24" s="38"/>
      <c r="M24" s="38"/>
      <c r="N24" s="38"/>
      <c r="O24" s="38"/>
      <c r="P24" s="38"/>
      <c r="Q24" s="38"/>
      <c r="R24" s="38">
        <f t="shared" si="4"/>
        <v>0</v>
      </c>
      <c r="S24" s="26"/>
      <c r="T24" s="27"/>
    </row>
    <row r="25" spans="1:22" ht="12.7" customHeight="1">
      <c r="B25" s="39"/>
      <c r="C25" s="39"/>
      <c r="D25" s="39"/>
      <c r="E25" s="39"/>
      <c r="F25" s="39"/>
      <c r="G25" s="39"/>
      <c r="H25" s="39"/>
      <c r="I25" s="39"/>
      <c r="J25" s="39"/>
      <c r="K25" s="39"/>
      <c r="L25" s="39"/>
      <c r="M25" s="39"/>
      <c r="N25" s="39"/>
      <c r="O25" s="39"/>
      <c r="P25" s="39"/>
      <c r="Q25" s="39"/>
      <c r="R25" s="39"/>
      <c r="S25" s="26"/>
      <c r="T25" s="27"/>
    </row>
    <row r="26" spans="1:22">
      <c r="A26" s="30" t="s">
        <v>8</v>
      </c>
      <c r="B26" s="31">
        <v>399776130.17000002</v>
      </c>
      <c r="C26" s="31"/>
      <c r="D26" s="31"/>
      <c r="E26" s="31"/>
      <c r="F26" s="31"/>
      <c r="G26" s="31"/>
      <c r="H26" s="31"/>
      <c r="I26" s="31"/>
      <c r="J26" s="31"/>
      <c r="K26" s="31"/>
      <c r="L26" s="31"/>
      <c r="M26" s="31"/>
      <c r="N26" s="31"/>
      <c r="O26" s="31"/>
      <c r="P26" s="31"/>
      <c r="Q26" s="31"/>
      <c r="R26" s="31">
        <f>SUM(B26:Q26)</f>
        <v>399776130.17000002</v>
      </c>
      <c r="S26" s="26" t="s">
        <v>281</v>
      </c>
      <c r="T26" s="27" t="s">
        <v>1190</v>
      </c>
      <c r="V26" s="233"/>
    </row>
    <row r="27" spans="1:22">
      <c r="A27" s="30" t="s">
        <v>1374</v>
      </c>
      <c r="B27" s="40">
        <v>-84819847.409999996</v>
      </c>
      <c r="C27" s="40"/>
      <c r="D27" s="40"/>
      <c r="E27" s="40"/>
      <c r="F27" s="40"/>
      <c r="G27" s="40"/>
      <c r="H27" s="40"/>
      <c r="I27" s="40"/>
      <c r="J27" s="40"/>
      <c r="K27" s="40"/>
      <c r="L27" s="40"/>
      <c r="M27" s="40"/>
      <c r="N27" s="40"/>
      <c r="O27" s="40"/>
      <c r="P27" s="40"/>
      <c r="Q27" s="40"/>
      <c r="R27" s="40">
        <f>SUM(B27:Q27)</f>
        <v>-84819847.409999996</v>
      </c>
      <c r="S27" s="26" t="s">
        <v>281</v>
      </c>
      <c r="T27" s="27" t="s">
        <v>1190</v>
      </c>
    </row>
    <row r="28" spans="1:22" ht="12.7" customHeight="1">
      <c r="A28" s="42" t="s">
        <v>1375</v>
      </c>
      <c r="B28" s="43">
        <f>SUBTOTAL(9,B26:B27)</f>
        <v>314956282.75999999</v>
      </c>
      <c r="C28" s="43">
        <f t="shared" ref="C28:R28" si="5">SUBTOTAL(9,C26:C27)</f>
        <v>0</v>
      </c>
      <c r="D28" s="43">
        <f t="shared" si="5"/>
        <v>0</v>
      </c>
      <c r="E28" s="43">
        <f>SUBTOTAL(9,E26:E27)</f>
        <v>0</v>
      </c>
      <c r="F28" s="43">
        <f t="shared" si="5"/>
        <v>0</v>
      </c>
      <c r="G28" s="43">
        <f t="shared" si="5"/>
        <v>0</v>
      </c>
      <c r="H28" s="43">
        <f t="shared" si="5"/>
        <v>0</v>
      </c>
      <c r="I28" s="43">
        <f t="shared" si="5"/>
        <v>0</v>
      </c>
      <c r="J28" s="43">
        <f>SUBTOTAL(9,J26:J27)</f>
        <v>0</v>
      </c>
      <c r="K28" s="43">
        <f>SUBTOTAL(9,K26:K27)</f>
        <v>0</v>
      </c>
      <c r="L28" s="43">
        <f t="shared" ref="L28:P28" si="6">SUBTOTAL(9,L26:L27)</f>
        <v>0</v>
      </c>
      <c r="M28" s="43">
        <f t="shared" si="6"/>
        <v>0</v>
      </c>
      <c r="N28" s="43">
        <f t="shared" si="6"/>
        <v>0</v>
      </c>
      <c r="O28" s="43">
        <f t="shared" si="6"/>
        <v>0</v>
      </c>
      <c r="P28" s="43">
        <f t="shared" si="6"/>
        <v>0</v>
      </c>
      <c r="Q28" s="43">
        <f t="shared" si="5"/>
        <v>0</v>
      </c>
      <c r="R28" s="43">
        <f t="shared" si="5"/>
        <v>314956282.75999999</v>
      </c>
      <c r="S28" s="26"/>
      <c r="T28" s="27"/>
    </row>
    <row r="29" spans="1:22" ht="12.7" customHeight="1">
      <c r="A29" s="30" t="s">
        <v>1376</v>
      </c>
      <c r="B29" s="40"/>
      <c r="C29" s="40"/>
      <c r="D29" s="40"/>
      <c r="E29" s="40"/>
      <c r="F29" s="40"/>
      <c r="G29" s="40"/>
      <c r="H29" s="40"/>
      <c r="I29" s="40"/>
      <c r="J29" s="40"/>
      <c r="K29" s="40"/>
      <c r="L29" s="40"/>
      <c r="M29" s="40"/>
      <c r="N29" s="40"/>
      <c r="O29" s="40"/>
      <c r="P29" s="40"/>
      <c r="Q29" s="40"/>
      <c r="R29" s="40">
        <f>SUM(B29:Q29)</f>
        <v>0</v>
      </c>
      <c r="S29" s="26"/>
      <c r="T29" s="27"/>
    </row>
    <row r="30" spans="1:22" ht="12.7" customHeight="1">
      <c r="A30" s="30" t="s">
        <v>41</v>
      </c>
      <c r="B30" s="39">
        <f>SUBTOTAL(9,B26:B29)</f>
        <v>314956282.75999999</v>
      </c>
      <c r="C30" s="39">
        <f t="shared" ref="C30:R30" si="7">SUBTOTAL(9,C26:C29)</f>
        <v>0</v>
      </c>
      <c r="D30" s="39">
        <f t="shared" si="7"/>
        <v>0</v>
      </c>
      <c r="E30" s="39">
        <f>SUBTOTAL(9,E26:E29)</f>
        <v>0</v>
      </c>
      <c r="F30" s="39">
        <f t="shared" si="7"/>
        <v>0</v>
      </c>
      <c r="G30" s="39">
        <f t="shared" si="7"/>
        <v>0</v>
      </c>
      <c r="H30" s="39">
        <f t="shared" si="7"/>
        <v>0</v>
      </c>
      <c r="I30" s="39">
        <f t="shared" si="7"/>
        <v>0</v>
      </c>
      <c r="J30" s="39">
        <f>SUBTOTAL(9,J26:J29)</f>
        <v>0</v>
      </c>
      <c r="K30" s="39">
        <f>SUBTOTAL(9,K26:K29)</f>
        <v>0</v>
      </c>
      <c r="L30" s="39">
        <f t="shared" ref="L30:P30" si="8">SUBTOTAL(9,L26:L29)</f>
        <v>0</v>
      </c>
      <c r="M30" s="39">
        <f t="shared" si="8"/>
        <v>0</v>
      </c>
      <c r="N30" s="39">
        <f t="shared" si="8"/>
        <v>0</v>
      </c>
      <c r="O30" s="39">
        <f t="shared" si="8"/>
        <v>0</v>
      </c>
      <c r="P30" s="39">
        <f t="shared" si="8"/>
        <v>0</v>
      </c>
      <c r="Q30" s="39">
        <f t="shared" si="7"/>
        <v>0</v>
      </c>
      <c r="R30" s="39">
        <f t="shared" si="7"/>
        <v>314956282.75999999</v>
      </c>
      <c r="S30" s="26"/>
      <c r="T30" s="27"/>
    </row>
    <row r="31" spans="1:22">
      <c r="A31" s="30" t="s">
        <v>10</v>
      </c>
      <c r="B31" s="31">
        <v>1085623.2200000007</v>
      </c>
      <c r="C31" s="31"/>
      <c r="D31" s="31"/>
      <c r="E31" s="31"/>
      <c r="F31" s="31"/>
      <c r="G31" s="31"/>
      <c r="H31" s="31"/>
      <c r="I31" s="31"/>
      <c r="J31" s="31"/>
      <c r="K31" s="31">
        <f>'[13]PRC JA list'!D87</f>
        <v>0</v>
      </c>
      <c r="L31" s="31">
        <f>'[13]PRC JA list'!D50</f>
        <v>1487743.8</v>
      </c>
      <c r="M31" s="31"/>
      <c r="N31" s="31"/>
      <c r="O31" s="31"/>
      <c r="P31" s="31"/>
      <c r="Q31" s="31"/>
      <c r="R31" s="31">
        <f>SUM(B31:Q31)</f>
        <v>2573367.0200000005</v>
      </c>
      <c r="S31" s="26" t="s">
        <v>282</v>
      </c>
      <c r="T31" s="27" t="s">
        <v>1190</v>
      </c>
    </row>
    <row r="32" spans="1:22" ht="12.7" customHeight="1">
      <c r="B32" s="40"/>
      <c r="C32" s="40"/>
      <c r="D32" s="40"/>
      <c r="E32" s="40"/>
      <c r="F32" s="40"/>
      <c r="G32" s="40"/>
      <c r="H32" s="40"/>
      <c r="I32" s="40"/>
      <c r="J32" s="40"/>
      <c r="K32" s="40"/>
      <c r="L32" s="40"/>
      <c r="M32" s="40"/>
      <c r="N32" s="40"/>
      <c r="O32" s="40"/>
      <c r="P32" s="40"/>
      <c r="Q32" s="40"/>
      <c r="R32" s="40">
        <f>SUM(B32:Q32)</f>
        <v>0</v>
      </c>
      <c r="S32" s="26"/>
      <c r="T32" s="27"/>
    </row>
    <row r="33" spans="1:20" ht="12.7" customHeight="1">
      <c r="A33" s="16" t="s">
        <v>1377</v>
      </c>
      <c r="B33" s="35">
        <f t="shared" ref="B33:R33" si="9">SUBTOTAL(9,B25:B32)</f>
        <v>316041905.98000002</v>
      </c>
      <c r="C33" s="35">
        <f t="shared" si="9"/>
        <v>0</v>
      </c>
      <c r="D33" s="35">
        <f t="shared" si="9"/>
        <v>0</v>
      </c>
      <c r="E33" s="35">
        <f t="shared" si="9"/>
        <v>0</v>
      </c>
      <c r="F33" s="35">
        <f t="shared" si="9"/>
        <v>0</v>
      </c>
      <c r="G33" s="35">
        <f t="shared" si="9"/>
        <v>0</v>
      </c>
      <c r="H33" s="35">
        <f t="shared" si="9"/>
        <v>0</v>
      </c>
      <c r="I33" s="35">
        <f t="shared" si="9"/>
        <v>0</v>
      </c>
      <c r="J33" s="35">
        <f t="shared" si="9"/>
        <v>0</v>
      </c>
      <c r="K33" s="35">
        <f t="shared" si="9"/>
        <v>0</v>
      </c>
      <c r="L33" s="35">
        <f t="shared" si="9"/>
        <v>1487743.8</v>
      </c>
      <c r="M33" s="35">
        <f t="shared" si="9"/>
        <v>0</v>
      </c>
      <c r="N33" s="35">
        <f t="shared" si="9"/>
        <v>0</v>
      </c>
      <c r="O33" s="35">
        <f t="shared" si="9"/>
        <v>0</v>
      </c>
      <c r="P33" s="35">
        <f t="shared" si="9"/>
        <v>0</v>
      </c>
      <c r="Q33" s="35">
        <f t="shared" si="9"/>
        <v>0</v>
      </c>
      <c r="R33" s="35">
        <f t="shared" si="9"/>
        <v>317529649.77999997</v>
      </c>
      <c r="S33" s="26"/>
      <c r="T33" s="27"/>
    </row>
    <row r="34" spans="1:20" ht="12.7" customHeight="1">
      <c r="B34" s="39"/>
      <c r="C34" s="39"/>
      <c r="D34" s="39"/>
      <c r="E34" s="39"/>
      <c r="F34" s="39"/>
      <c r="G34" s="39"/>
      <c r="H34" s="39"/>
      <c r="I34" s="39"/>
      <c r="J34" s="39"/>
      <c r="K34" s="39"/>
      <c r="L34" s="39"/>
      <c r="M34" s="39"/>
      <c r="N34" s="39"/>
      <c r="O34" s="39"/>
      <c r="P34" s="39"/>
      <c r="Q34" s="39"/>
      <c r="R34" s="39">
        <f>SUM(B34:Q34)</f>
        <v>0</v>
      </c>
      <c r="S34" s="26"/>
      <c r="T34" s="27"/>
    </row>
    <row r="35" spans="1:20">
      <c r="A35" s="30" t="s">
        <v>1378</v>
      </c>
      <c r="B35" s="31">
        <v>48404624.140000001</v>
      </c>
      <c r="C35" s="31"/>
      <c r="D35" s="31"/>
      <c r="E35" s="31"/>
      <c r="F35" s="31"/>
      <c r="G35" s="31"/>
      <c r="H35" s="31"/>
      <c r="I35" s="31"/>
      <c r="J35" s="31"/>
      <c r="K35" s="31"/>
      <c r="L35" s="31"/>
      <c r="M35" s="31"/>
      <c r="N35" s="31"/>
      <c r="O35" s="31"/>
      <c r="P35" s="31"/>
      <c r="Q35" s="31"/>
      <c r="R35" s="31">
        <f>SUM(B35:Q35)</f>
        <v>48404624.140000001</v>
      </c>
      <c r="S35" s="26" t="s">
        <v>283</v>
      </c>
      <c r="T35" s="27" t="s">
        <v>1190</v>
      </c>
    </row>
    <row r="36" spans="1:20" ht="12.7" customHeight="1">
      <c r="A36" s="30" t="s">
        <v>43</v>
      </c>
      <c r="B36" s="40"/>
      <c r="C36" s="40"/>
      <c r="D36" s="40"/>
      <c r="E36" s="40"/>
      <c r="F36" s="40"/>
      <c r="G36" s="40"/>
      <c r="H36" s="40"/>
      <c r="I36" s="40"/>
      <c r="J36" s="40"/>
      <c r="K36" s="40"/>
      <c r="L36" s="40"/>
      <c r="M36" s="40"/>
      <c r="N36" s="40"/>
      <c r="O36" s="40"/>
      <c r="P36" s="40"/>
      <c r="Q36" s="40"/>
      <c r="R36" s="40">
        <f>SUM(B36:Q36)</f>
        <v>0</v>
      </c>
      <c r="S36" s="26"/>
      <c r="T36" s="27"/>
    </row>
    <row r="37" spans="1:20" ht="12.7" customHeight="1">
      <c r="A37" s="16" t="s">
        <v>44</v>
      </c>
      <c r="B37" s="38">
        <f>SUBTOTAL(9,B35:B36)</f>
        <v>48404624.140000001</v>
      </c>
      <c r="C37" s="38">
        <f t="shared" ref="C37:R37" si="10">SUBTOTAL(9,C35:C36)</f>
        <v>0</v>
      </c>
      <c r="D37" s="38">
        <f t="shared" si="10"/>
        <v>0</v>
      </c>
      <c r="E37" s="38">
        <f t="shared" si="10"/>
        <v>0</v>
      </c>
      <c r="F37" s="38">
        <f t="shared" si="10"/>
        <v>0</v>
      </c>
      <c r="G37" s="38">
        <f t="shared" si="10"/>
        <v>0</v>
      </c>
      <c r="H37" s="38">
        <f t="shared" si="10"/>
        <v>0</v>
      </c>
      <c r="I37" s="38">
        <f t="shared" si="10"/>
        <v>0</v>
      </c>
      <c r="J37" s="38">
        <f t="shared" si="10"/>
        <v>0</v>
      </c>
      <c r="K37" s="38">
        <f t="shared" si="10"/>
        <v>0</v>
      </c>
      <c r="L37" s="38">
        <f t="shared" si="10"/>
        <v>0</v>
      </c>
      <c r="M37" s="38">
        <f t="shared" si="10"/>
        <v>0</v>
      </c>
      <c r="N37" s="38">
        <f t="shared" si="10"/>
        <v>0</v>
      </c>
      <c r="O37" s="38">
        <f t="shared" si="10"/>
        <v>0</v>
      </c>
      <c r="P37" s="38">
        <f t="shared" si="10"/>
        <v>0</v>
      </c>
      <c r="Q37" s="38">
        <f t="shared" si="10"/>
        <v>0</v>
      </c>
      <c r="R37" s="38">
        <f t="shared" si="10"/>
        <v>48404624.140000001</v>
      </c>
      <c r="S37" s="26"/>
      <c r="T37" s="176"/>
    </row>
    <row r="38" spans="1:20" ht="12.7" customHeight="1">
      <c r="B38" s="31"/>
      <c r="C38" s="31"/>
      <c r="D38" s="31"/>
      <c r="E38" s="31"/>
      <c r="F38" s="31"/>
      <c r="G38" s="31"/>
      <c r="H38" s="31"/>
      <c r="I38" s="31"/>
      <c r="J38" s="31"/>
      <c r="K38" s="31"/>
      <c r="L38" s="31"/>
      <c r="M38" s="31"/>
      <c r="N38" s="31"/>
      <c r="O38" s="31"/>
      <c r="P38" s="31"/>
      <c r="Q38" s="31"/>
      <c r="R38" s="31"/>
      <c r="S38" s="26"/>
      <c r="T38" s="27"/>
    </row>
    <row r="39" spans="1:20" ht="12.7" customHeight="1">
      <c r="A39" s="30" t="s">
        <v>12</v>
      </c>
      <c r="B39" s="39"/>
      <c r="C39" s="39"/>
      <c r="D39" s="39"/>
      <c r="E39" s="39"/>
      <c r="F39" s="39"/>
      <c r="G39" s="39"/>
      <c r="H39" s="39"/>
      <c r="I39" s="39"/>
      <c r="J39" s="39"/>
      <c r="K39" s="39"/>
      <c r="L39" s="39"/>
      <c r="M39" s="39"/>
      <c r="N39" s="39"/>
      <c r="O39" s="39"/>
      <c r="P39" s="39"/>
      <c r="Q39" s="39"/>
      <c r="R39" s="39">
        <f>SUM(B39:Q39)</f>
        <v>0</v>
      </c>
      <c r="S39" s="26"/>
      <c r="T39" s="27"/>
    </row>
    <row r="40" spans="1:20" ht="12.05" customHeight="1">
      <c r="A40" s="44" t="s">
        <v>1379</v>
      </c>
      <c r="B40" s="32">
        <v>13823000</v>
      </c>
      <c r="C40" s="31">
        <f>'[13]PRC JA list'!D7</f>
        <v>-2672189.2200000007</v>
      </c>
      <c r="D40" s="31"/>
      <c r="E40" s="32"/>
      <c r="F40" s="32"/>
      <c r="G40" s="32"/>
      <c r="H40" s="32"/>
      <c r="I40" s="32"/>
      <c r="J40" s="32"/>
      <c r="K40" s="32"/>
      <c r="L40" s="32"/>
      <c r="M40" s="32"/>
      <c r="N40" s="32"/>
      <c r="O40" s="32"/>
      <c r="P40" s="32"/>
      <c r="Q40" s="32"/>
      <c r="R40" s="32">
        <f>SUM(B40:Q40)</f>
        <v>11150810.779999999</v>
      </c>
      <c r="S40" s="26" t="s">
        <v>284</v>
      </c>
      <c r="T40" s="27" t="s">
        <v>1047</v>
      </c>
    </row>
    <row r="41" spans="1:20" ht="12.7" customHeight="1">
      <c r="A41" s="44"/>
      <c r="B41" s="31"/>
      <c r="C41" s="31"/>
      <c r="D41" s="31"/>
      <c r="E41" s="31"/>
      <c r="F41" s="31"/>
      <c r="G41" s="31"/>
      <c r="H41" s="31"/>
      <c r="I41" s="31"/>
      <c r="J41" s="31"/>
      <c r="K41" s="31"/>
      <c r="L41" s="31"/>
      <c r="M41" s="31"/>
      <c r="N41" s="31"/>
      <c r="O41" s="31"/>
      <c r="P41" s="31"/>
      <c r="Q41" s="31"/>
      <c r="R41" s="31">
        <f>SUM(B41:Q41)</f>
        <v>0</v>
      </c>
      <c r="S41" s="26"/>
      <c r="T41" s="27"/>
    </row>
    <row r="42" spans="1:20" ht="13.5" customHeight="1" thickBot="1">
      <c r="A42" s="16" t="s">
        <v>13</v>
      </c>
      <c r="B42" s="45">
        <f t="shared" ref="B42:R42" si="11">SUBTOTAL(9,B9:B41)</f>
        <v>782621462.36000001</v>
      </c>
      <c r="C42" s="45">
        <f t="shared" si="11"/>
        <v>-2672189.2200000007</v>
      </c>
      <c r="D42" s="45">
        <f t="shared" si="11"/>
        <v>0</v>
      </c>
      <c r="E42" s="45">
        <f t="shared" si="11"/>
        <v>0</v>
      </c>
      <c r="F42" s="45">
        <f t="shared" si="11"/>
        <v>0</v>
      </c>
      <c r="G42" s="45">
        <f t="shared" si="11"/>
        <v>0</v>
      </c>
      <c r="H42" s="45">
        <f t="shared" si="11"/>
        <v>6184428.4199999999</v>
      </c>
      <c r="I42" s="45">
        <f t="shared" si="11"/>
        <v>0</v>
      </c>
      <c r="J42" s="45">
        <f t="shared" si="11"/>
        <v>0</v>
      </c>
      <c r="K42" s="45">
        <f t="shared" si="11"/>
        <v>0</v>
      </c>
      <c r="L42" s="45">
        <f t="shared" si="11"/>
        <v>0</v>
      </c>
      <c r="M42" s="45">
        <f t="shared" si="11"/>
        <v>3382797.7</v>
      </c>
      <c r="N42" s="45">
        <f t="shared" si="11"/>
        <v>0</v>
      </c>
      <c r="O42" s="45">
        <f t="shared" si="11"/>
        <v>0</v>
      </c>
      <c r="P42" s="45">
        <f t="shared" si="11"/>
        <v>0</v>
      </c>
      <c r="Q42" s="45">
        <f t="shared" si="11"/>
        <v>0</v>
      </c>
      <c r="R42" s="45">
        <f t="shared" si="11"/>
        <v>789516499.25999999</v>
      </c>
      <c r="S42" s="26"/>
      <c r="T42" s="27"/>
    </row>
    <row r="43" spans="1:20" ht="12.7" customHeight="1" thickTop="1">
      <c r="B43" s="39"/>
      <c r="C43" s="39"/>
      <c r="D43" s="39"/>
      <c r="E43" s="39"/>
      <c r="F43" s="39"/>
      <c r="G43" s="39"/>
      <c r="H43" s="39"/>
      <c r="I43" s="39"/>
      <c r="J43" s="39"/>
      <c r="K43" s="39"/>
      <c r="L43" s="39"/>
      <c r="M43" s="39"/>
      <c r="N43" s="39"/>
      <c r="O43" s="39"/>
      <c r="P43" s="39"/>
      <c r="Q43" s="39"/>
      <c r="R43" s="39"/>
      <c r="S43" s="26"/>
      <c r="T43" s="27"/>
    </row>
    <row r="44" spans="1:20" ht="12.7" customHeight="1">
      <c r="A44" s="30" t="s">
        <v>14</v>
      </c>
      <c r="B44" s="32">
        <v>0</v>
      </c>
      <c r="C44" s="31"/>
      <c r="D44" s="31"/>
      <c r="E44" s="32"/>
      <c r="F44" s="32"/>
      <c r="G44" s="32"/>
      <c r="H44" s="32"/>
      <c r="I44" s="32"/>
      <c r="J44" s="32"/>
      <c r="K44" s="32"/>
      <c r="L44" s="32"/>
      <c r="M44" s="32"/>
      <c r="N44" s="32"/>
      <c r="O44" s="32"/>
      <c r="P44" s="32"/>
      <c r="Q44" s="32"/>
      <c r="R44" s="32">
        <f>SUM(B44:Q44)</f>
        <v>0</v>
      </c>
      <c r="S44" s="26" t="s">
        <v>285</v>
      </c>
      <c r="T44" s="27" t="s">
        <v>1191</v>
      </c>
    </row>
    <row r="45" spans="1:20" ht="12.7" customHeight="1">
      <c r="A45" s="30" t="s">
        <v>1380</v>
      </c>
      <c r="B45" s="32">
        <v>-209196658.22</v>
      </c>
      <c r="C45" s="31"/>
      <c r="D45" s="31"/>
      <c r="E45" s="32"/>
      <c r="F45" s="32"/>
      <c r="G45" s="32"/>
      <c r="H45" s="32"/>
      <c r="I45" s="32"/>
      <c r="J45" s="32"/>
      <c r="K45" s="32"/>
      <c r="L45" s="32"/>
      <c r="N45" s="32"/>
      <c r="O45" s="32"/>
      <c r="P45" s="32"/>
      <c r="Q45" s="32"/>
      <c r="R45" s="32">
        <f t="shared" ref="R45:R52" si="12">SUM(B45:Q45)</f>
        <v>-209196658.22</v>
      </c>
      <c r="S45" s="26" t="s">
        <v>287</v>
      </c>
      <c r="T45" s="27" t="s">
        <v>1228</v>
      </c>
    </row>
    <row r="46" spans="1:20" ht="12.7" customHeight="1">
      <c r="A46" s="30" t="s">
        <v>15</v>
      </c>
      <c r="B46" s="32">
        <v>-6469759.0999999996</v>
      </c>
      <c r="C46" s="31"/>
      <c r="D46" s="31"/>
      <c r="E46" s="32"/>
      <c r="F46" s="32"/>
      <c r="G46" s="32"/>
      <c r="H46" s="32"/>
      <c r="I46" s="32"/>
      <c r="J46" s="32"/>
      <c r="K46" s="32"/>
      <c r="L46" s="32"/>
      <c r="M46" s="32"/>
      <c r="N46" s="32"/>
      <c r="O46" s="32"/>
      <c r="P46" s="32"/>
      <c r="Q46" s="32"/>
      <c r="R46" s="32">
        <f t="shared" si="12"/>
        <v>-6469759.0999999996</v>
      </c>
      <c r="S46" s="26" t="s">
        <v>288</v>
      </c>
      <c r="T46" s="27" t="s">
        <v>1190</v>
      </c>
    </row>
    <row r="47" spans="1:20" ht="12.7" customHeight="1">
      <c r="A47" s="30" t="s">
        <v>1381</v>
      </c>
      <c r="B47" s="32">
        <v>-607910.84</v>
      </c>
      <c r="C47" s="31"/>
      <c r="D47" s="31"/>
      <c r="E47" s="32"/>
      <c r="F47" s="32"/>
      <c r="G47" s="32"/>
      <c r="H47" s="32">
        <f>'[13]PRC JA list'!D35</f>
        <v>-6184428.4199999999</v>
      </c>
      <c r="I47" s="32"/>
      <c r="J47" s="32"/>
      <c r="K47" s="32"/>
      <c r="L47" s="32"/>
      <c r="M47" s="32">
        <f>'[13]PRC JA list'!D57</f>
        <v>-1014839.31</v>
      </c>
      <c r="N47" s="32"/>
      <c r="R47" s="32">
        <f t="shared" si="12"/>
        <v>-7807178.5700000003</v>
      </c>
      <c r="S47" s="26" t="s">
        <v>276</v>
      </c>
      <c r="T47" s="27" t="s">
        <v>1228</v>
      </c>
    </row>
    <row r="48" spans="1:20">
      <c r="A48" s="30" t="s">
        <v>54</v>
      </c>
      <c r="B48" s="32">
        <v>-10266203.77</v>
      </c>
      <c r="C48" s="31">
        <f>'[13]PRC JA list'!D8</f>
        <v>2986980.08</v>
      </c>
      <c r="D48" s="31"/>
      <c r="E48" s="32"/>
      <c r="F48" s="32"/>
      <c r="G48" s="32"/>
      <c r="H48" s="32"/>
      <c r="I48" s="32"/>
      <c r="J48" s="32"/>
      <c r="K48" s="32"/>
      <c r="L48" s="32"/>
      <c r="M48" s="32"/>
      <c r="N48" s="32"/>
      <c r="O48" s="32"/>
      <c r="P48" s="32"/>
      <c r="Q48" s="32"/>
      <c r="R48" s="32">
        <f t="shared" si="12"/>
        <v>-7279223.6899999995</v>
      </c>
      <c r="S48" s="26" t="s">
        <v>290</v>
      </c>
      <c r="T48" s="27" t="s">
        <v>1047</v>
      </c>
    </row>
    <row r="49" spans="1:22" ht="12.7" customHeight="1">
      <c r="A49" s="30" t="s">
        <v>1382</v>
      </c>
      <c r="B49" s="32">
        <v>-1000663.93</v>
      </c>
      <c r="C49" s="31"/>
      <c r="D49" s="31"/>
      <c r="E49" s="32"/>
      <c r="F49" s="32"/>
      <c r="G49" s="32"/>
      <c r="H49" s="32"/>
      <c r="I49" s="32"/>
      <c r="J49" s="32"/>
      <c r="K49" s="32"/>
      <c r="L49" s="32"/>
      <c r="M49" s="32"/>
      <c r="N49" s="32"/>
      <c r="O49" s="32"/>
      <c r="P49" s="32"/>
      <c r="Q49" s="32"/>
      <c r="R49" s="32">
        <f t="shared" si="12"/>
        <v>-1000663.93</v>
      </c>
      <c r="S49" s="26" t="s">
        <v>291</v>
      </c>
      <c r="T49" s="27" t="s">
        <v>1191</v>
      </c>
    </row>
    <row r="50" spans="1:22" s="187" customFormat="1" ht="12.7" customHeight="1">
      <c r="A50" s="44" t="s">
        <v>56</v>
      </c>
      <c r="B50" s="32">
        <v>-89392284.75</v>
      </c>
      <c r="C50" s="31"/>
      <c r="D50" s="31"/>
      <c r="E50" s="32"/>
      <c r="F50" s="32"/>
      <c r="G50" s="32"/>
      <c r="H50" s="32"/>
      <c r="I50" s="32"/>
      <c r="J50" s="32"/>
      <c r="K50" s="32"/>
      <c r="L50" s="32"/>
      <c r="M50" s="32">
        <f>'[13]PRC JA list'!D58</f>
        <v>-2367958.39</v>
      </c>
      <c r="N50" s="32"/>
      <c r="O50" s="32"/>
      <c r="P50" s="32"/>
      <c r="Q50" s="32"/>
      <c r="R50" s="309">
        <f t="shared" si="12"/>
        <v>-91760243.140000001</v>
      </c>
      <c r="S50" s="26" t="s">
        <v>292</v>
      </c>
      <c r="T50" s="27" t="s">
        <v>1191</v>
      </c>
      <c r="U50" s="310">
        <f>R50+R51</f>
        <v>-93083291.650000006</v>
      </c>
      <c r="V50" s="188"/>
    </row>
    <row r="51" spans="1:22" ht="12.7" customHeight="1">
      <c r="A51" s="30" t="s">
        <v>81</v>
      </c>
      <c r="B51" s="32">
        <v>-1323048.51</v>
      </c>
      <c r="C51" s="31"/>
      <c r="D51" s="31"/>
      <c r="E51" s="32"/>
      <c r="F51" s="32"/>
      <c r="G51" s="32"/>
      <c r="H51" s="32"/>
      <c r="I51" s="32"/>
      <c r="J51" s="32"/>
      <c r="K51" s="32"/>
      <c r="L51" s="32"/>
      <c r="M51" s="32"/>
      <c r="N51" s="32"/>
      <c r="O51" s="32"/>
      <c r="P51" s="32"/>
      <c r="Q51" s="32"/>
      <c r="R51" s="309">
        <f>SUM(B51:Q51)</f>
        <v>-1323048.51</v>
      </c>
      <c r="S51" s="26" t="s">
        <v>289</v>
      </c>
      <c r="T51" s="27" t="s">
        <v>1191</v>
      </c>
    </row>
    <row r="52" spans="1:22" ht="12.7" customHeight="1">
      <c r="A52" s="274" t="s">
        <v>1321</v>
      </c>
      <c r="B52" s="32"/>
      <c r="C52" s="31"/>
      <c r="D52" s="31"/>
      <c r="E52" s="32"/>
      <c r="F52" s="32"/>
      <c r="G52" s="32"/>
      <c r="H52" s="32"/>
      <c r="I52" s="32">
        <f>'[13]PRC JA list'!D38</f>
        <v>-156410000</v>
      </c>
      <c r="J52" s="32"/>
      <c r="K52" s="32"/>
      <c r="L52" s="32"/>
      <c r="M52" s="32"/>
      <c r="N52" s="32"/>
      <c r="O52" s="32"/>
      <c r="P52" s="32"/>
      <c r="Q52" s="32"/>
      <c r="R52" s="32">
        <f t="shared" si="12"/>
        <v>-156410000</v>
      </c>
      <c r="S52" s="26"/>
      <c r="T52" s="27"/>
    </row>
    <row r="53" spans="1:22" ht="12.7" customHeight="1">
      <c r="A53" s="16" t="s">
        <v>16</v>
      </c>
      <c r="B53" s="36">
        <f t="shared" ref="B53:L53" si="13">SUBTOTAL(9,B44:B52)</f>
        <v>-318256529.12</v>
      </c>
      <c r="C53" s="36">
        <f t="shared" si="13"/>
        <v>2986980.08</v>
      </c>
      <c r="D53" s="36">
        <f t="shared" si="13"/>
        <v>0</v>
      </c>
      <c r="E53" s="36">
        <f t="shared" si="13"/>
        <v>0</v>
      </c>
      <c r="F53" s="36">
        <f t="shared" si="13"/>
        <v>0</v>
      </c>
      <c r="G53" s="36">
        <f t="shared" si="13"/>
        <v>0</v>
      </c>
      <c r="H53" s="36">
        <f t="shared" si="13"/>
        <v>-6184428.4199999999</v>
      </c>
      <c r="I53" s="36">
        <f t="shared" si="13"/>
        <v>-156410000</v>
      </c>
      <c r="J53" s="36">
        <f t="shared" si="13"/>
        <v>0</v>
      </c>
      <c r="K53" s="36">
        <f t="shared" si="13"/>
        <v>0</v>
      </c>
      <c r="L53" s="36">
        <f t="shared" si="13"/>
        <v>0</v>
      </c>
      <c r="M53" s="36">
        <f>SUBTOTAL(9,M44:M50)</f>
        <v>-3382797.7</v>
      </c>
      <c r="N53" s="36">
        <f>SUBTOTAL(9,N44:N50)</f>
        <v>0</v>
      </c>
      <c r="O53" s="36">
        <f>SUBTOTAL(9,O44:O50)</f>
        <v>0</v>
      </c>
      <c r="P53" s="36">
        <f>SUBTOTAL(9,P44:P50)</f>
        <v>0</v>
      </c>
      <c r="Q53" s="36">
        <f>SUBTOTAL(9,Q44:Q50)</f>
        <v>0</v>
      </c>
      <c r="R53" s="36">
        <f>SUBTOTAL(9,R44:R52)</f>
        <v>-481246775.15999997</v>
      </c>
      <c r="S53" s="26"/>
      <c r="T53" s="27"/>
    </row>
    <row r="54" spans="1:22" ht="12.7" customHeight="1">
      <c r="A54" s="16"/>
      <c r="B54" s="39"/>
      <c r="C54" s="39"/>
      <c r="D54" s="39"/>
      <c r="E54" s="39"/>
      <c r="F54" s="39"/>
      <c r="G54" s="39"/>
      <c r="H54" s="39"/>
      <c r="I54" s="39"/>
      <c r="J54" s="39"/>
      <c r="K54" s="39"/>
      <c r="L54" s="39"/>
      <c r="M54" s="39"/>
      <c r="N54" s="39"/>
      <c r="O54" s="39"/>
      <c r="P54" s="39"/>
      <c r="Q54" s="39"/>
      <c r="R54" s="39">
        <f>SUM(B54:Q54)</f>
        <v>0</v>
      </c>
      <c r="S54" s="26"/>
      <c r="T54" s="27"/>
    </row>
    <row r="55" spans="1:22" ht="12.7" customHeight="1">
      <c r="A55" s="30" t="s">
        <v>1383</v>
      </c>
      <c r="B55" s="41">
        <v>-156410000</v>
      </c>
      <c r="C55" s="41"/>
      <c r="D55" s="41"/>
      <c r="E55" s="41"/>
      <c r="F55" s="41"/>
      <c r="G55" s="41"/>
      <c r="H55" s="41"/>
      <c r="I55" s="41">
        <f>'[13]PRC JA list'!D39</f>
        <v>156410000</v>
      </c>
      <c r="J55" s="41"/>
      <c r="K55" s="41"/>
      <c r="L55" s="41"/>
      <c r="M55" s="41"/>
      <c r="N55" s="41"/>
      <c r="O55" s="41"/>
      <c r="P55" s="41"/>
      <c r="Q55" s="41"/>
      <c r="R55" s="41">
        <f>SUM(B55:Q55)</f>
        <v>0</v>
      </c>
      <c r="S55" s="26" t="s">
        <v>286</v>
      </c>
      <c r="T55" s="27" t="s">
        <v>1191</v>
      </c>
    </row>
    <row r="56" spans="1:22" ht="12.7" customHeight="1">
      <c r="A56" s="16" t="s">
        <v>17</v>
      </c>
      <c r="B56" s="36">
        <f>SUBTOTAL(9,B55)</f>
        <v>-156410000</v>
      </c>
      <c r="C56" s="36">
        <f t="shared" ref="C56:R56" si="14">SUBTOTAL(9,C55)</f>
        <v>0</v>
      </c>
      <c r="D56" s="36">
        <f t="shared" si="14"/>
        <v>0</v>
      </c>
      <c r="E56" s="36">
        <f>SUBTOTAL(9,E55)</f>
        <v>0</v>
      </c>
      <c r="F56" s="36">
        <f t="shared" si="14"/>
        <v>0</v>
      </c>
      <c r="G56" s="36">
        <f t="shared" si="14"/>
        <v>0</v>
      </c>
      <c r="H56" s="36">
        <f t="shared" si="14"/>
        <v>0</v>
      </c>
      <c r="I56" s="36">
        <f t="shared" si="14"/>
        <v>156410000</v>
      </c>
      <c r="J56" s="36">
        <f>SUBTOTAL(9,J55)</f>
        <v>0</v>
      </c>
      <c r="K56" s="36">
        <f>SUBTOTAL(9,K55)</f>
        <v>0</v>
      </c>
      <c r="L56" s="36">
        <f t="shared" ref="L56:P56" si="15">SUBTOTAL(9,L55)</f>
        <v>0</v>
      </c>
      <c r="M56" s="36">
        <f t="shared" si="15"/>
        <v>0</v>
      </c>
      <c r="N56" s="36">
        <f t="shared" si="15"/>
        <v>0</v>
      </c>
      <c r="O56" s="36">
        <f t="shared" si="15"/>
        <v>0</v>
      </c>
      <c r="P56" s="36">
        <f t="shared" si="15"/>
        <v>0</v>
      </c>
      <c r="Q56" s="36">
        <f t="shared" si="14"/>
        <v>0</v>
      </c>
      <c r="R56" s="36">
        <f t="shared" si="14"/>
        <v>0</v>
      </c>
      <c r="S56" s="26"/>
      <c r="T56" s="27"/>
    </row>
    <row r="57" spans="1:22" ht="12.7" customHeight="1">
      <c r="B57" s="47"/>
      <c r="C57" s="47"/>
      <c r="D57" s="47"/>
      <c r="E57" s="47"/>
      <c r="F57" s="47"/>
      <c r="G57" s="47"/>
      <c r="H57" s="47"/>
      <c r="I57" s="47"/>
      <c r="J57" s="47"/>
      <c r="K57" s="47"/>
      <c r="L57" s="47"/>
      <c r="M57" s="47"/>
      <c r="N57" s="47"/>
      <c r="O57" s="47"/>
      <c r="P57" s="47"/>
      <c r="Q57" s="47"/>
      <c r="R57" s="47">
        <f>SUM(B57:Q57)</f>
        <v>0</v>
      </c>
      <c r="S57" s="26"/>
      <c r="T57" s="27"/>
    </row>
    <row r="58" spans="1:22" ht="12.7" customHeight="1">
      <c r="A58" s="30" t="s">
        <v>49</v>
      </c>
      <c r="B58" s="49">
        <v>0</v>
      </c>
      <c r="C58" s="49"/>
      <c r="D58" s="49"/>
      <c r="E58" s="49"/>
      <c r="F58" s="49"/>
      <c r="G58" s="49"/>
      <c r="H58" s="49"/>
      <c r="I58" s="49"/>
      <c r="J58" s="49"/>
      <c r="K58" s="49"/>
      <c r="L58" s="49"/>
      <c r="M58" s="49"/>
      <c r="N58" s="49"/>
      <c r="O58" s="49"/>
      <c r="P58" s="49"/>
      <c r="Q58" s="49"/>
      <c r="R58" s="49">
        <f>SUM(B58:Q58)</f>
        <v>0</v>
      </c>
      <c r="S58" s="26"/>
      <c r="T58" s="27"/>
    </row>
    <row r="59" spans="1:22" ht="12.7" customHeight="1">
      <c r="B59" s="31"/>
      <c r="C59" s="31"/>
      <c r="D59" s="31"/>
      <c r="E59" s="31"/>
      <c r="F59" s="31"/>
      <c r="G59" s="31"/>
      <c r="H59" s="31"/>
      <c r="I59" s="31"/>
      <c r="J59" s="31"/>
      <c r="K59" s="31"/>
      <c r="L59" s="31"/>
      <c r="M59" s="31"/>
      <c r="N59" s="31"/>
      <c r="O59" s="31"/>
      <c r="P59" s="31"/>
      <c r="Q59" s="31"/>
      <c r="R59" s="31">
        <f>SUM(B59:Q59)</f>
        <v>0</v>
      </c>
      <c r="S59" s="26"/>
      <c r="T59" s="27"/>
    </row>
    <row r="60" spans="1:22" s="8" customFormat="1" ht="12.7" customHeight="1">
      <c r="A60" s="16" t="s">
        <v>18</v>
      </c>
      <c r="B60" s="99">
        <f t="shared" ref="B60:R60" si="16">SUBTOTAL(9,B44:B59)</f>
        <v>-474666529.12</v>
      </c>
      <c r="C60" s="99">
        <f t="shared" si="16"/>
        <v>2986980.08</v>
      </c>
      <c r="D60" s="99">
        <f t="shared" si="16"/>
        <v>0</v>
      </c>
      <c r="E60" s="99">
        <f t="shared" si="16"/>
        <v>0</v>
      </c>
      <c r="F60" s="99">
        <f t="shared" si="16"/>
        <v>0</v>
      </c>
      <c r="G60" s="99">
        <f t="shared" si="16"/>
        <v>0</v>
      </c>
      <c r="H60" s="99">
        <f t="shared" si="16"/>
        <v>-6184428.4199999999</v>
      </c>
      <c r="I60" s="99">
        <f t="shared" si="16"/>
        <v>0</v>
      </c>
      <c r="J60" s="99">
        <f t="shared" si="16"/>
        <v>0</v>
      </c>
      <c r="K60" s="99">
        <f t="shared" si="16"/>
        <v>0</v>
      </c>
      <c r="L60" s="99">
        <f t="shared" si="16"/>
        <v>0</v>
      </c>
      <c r="M60" s="99">
        <f t="shared" si="16"/>
        <v>-3382797.7</v>
      </c>
      <c r="N60" s="99">
        <f t="shared" si="16"/>
        <v>0</v>
      </c>
      <c r="O60" s="99">
        <f t="shared" si="16"/>
        <v>0</v>
      </c>
      <c r="P60" s="99">
        <f t="shared" si="16"/>
        <v>0</v>
      </c>
      <c r="Q60" s="99">
        <f t="shared" si="16"/>
        <v>0</v>
      </c>
      <c r="R60" s="99">
        <f t="shared" si="16"/>
        <v>-481246775.15999997</v>
      </c>
      <c r="S60" s="26"/>
      <c r="T60" s="27"/>
      <c r="U60" s="100"/>
      <c r="V60" s="100"/>
    </row>
    <row r="61" spans="1:22" ht="12.7" customHeight="1">
      <c r="B61" s="39"/>
      <c r="C61" s="39"/>
      <c r="D61" s="39"/>
      <c r="E61" s="39"/>
      <c r="F61" s="39"/>
      <c r="G61" s="39"/>
      <c r="H61" s="39"/>
      <c r="I61" s="39"/>
      <c r="J61" s="39"/>
      <c r="K61" s="39"/>
      <c r="L61" s="39"/>
      <c r="M61" s="39"/>
      <c r="N61" s="39"/>
      <c r="O61" s="39"/>
      <c r="P61" s="39"/>
      <c r="Q61" s="39"/>
      <c r="R61" s="39">
        <f>SUM(B61:Q61)</f>
        <v>0</v>
      </c>
      <c r="S61" s="26"/>
      <c r="T61" s="27"/>
    </row>
    <row r="62" spans="1:22">
      <c r="A62" s="30" t="s">
        <v>19</v>
      </c>
      <c r="B62" s="31">
        <v>-306849861.18000001</v>
      </c>
      <c r="C62" s="31"/>
      <c r="D62" s="31"/>
      <c r="E62" s="31"/>
      <c r="F62" s="31"/>
      <c r="G62" s="31"/>
      <c r="H62" s="31"/>
      <c r="I62" s="31"/>
      <c r="J62" s="31"/>
      <c r="K62" s="31"/>
      <c r="L62" s="31"/>
      <c r="M62" s="31"/>
      <c r="N62" s="31"/>
      <c r="O62" s="31"/>
      <c r="P62" s="31"/>
      <c r="Q62" s="31"/>
      <c r="R62" s="31">
        <f>SUM(B62:Q62)</f>
        <v>-306849861.18000001</v>
      </c>
      <c r="S62" s="26" t="s">
        <v>293</v>
      </c>
      <c r="T62" s="27" t="s">
        <v>1190</v>
      </c>
    </row>
    <row r="63" spans="1:22">
      <c r="A63" s="30" t="s">
        <v>50</v>
      </c>
      <c r="B63" s="39">
        <v>0</v>
      </c>
      <c r="C63" s="39"/>
      <c r="D63" s="39"/>
      <c r="E63" s="39"/>
      <c r="F63" s="39"/>
      <c r="G63" s="39"/>
      <c r="H63" s="39"/>
      <c r="I63" s="39"/>
      <c r="J63" s="39"/>
      <c r="K63" s="39"/>
      <c r="L63" s="39"/>
      <c r="M63" s="39"/>
      <c r="N63" s="39"/>
      <c r="O63" s="39"/>
      <c r="P63" s="39"/>
      <c r="Q63" s="39"/>
      <c r="R63" s="31">
        <f>SUM(B63:Q63)</f>
        <v>0</v>
      </c>
      <c r="S63" s="26" t="s">
        <v>294</v>
      </c>
      <c r="T63" s="27" t="s">
        <v>1190</v>
      </c>
    </row>
    <row r="64" spans="1:22" ht="12.7" customHeight="1">
      <c r="A64" s="30" t="s">
        <v>51</v>
      </c>
      <c r="B64" s="39">
        <v>0</v>
      </c>
      <c r="C64" s="39"/>
      <c r="D64" s="39"/>
      <c r="E64" s="39"/>
      <c r="F64" s="39"/>
      <c r="G64" s="39"/>
      <c r="H64" s="39"/>
      <c r="I64" s="39"/>
      <c r="J64" s="39"/>
      <c r="K64" s="39"/>
      <c r="L64" s="39"/>
      <c r="M64" s="39"/>
      <c r="N64" s="39"/>
      <c r="O64" s="39"/>
      <c r="P64" s="39">
        <f>'[13]PRC JA list'!D69</f>
        <v>-141986.29200000167</v>
      </c>
      <c r="Q64" s="39"/>
      <c r="R64" s="31">
        <f>SUM(B64:Q64)</f>
        <v>-141986.29200000167</v>
      </c>
      <c r="S64" s="26"/>
      <c r="T64" s="27"/>
    </row>
    <row r="65" spans="1:22">
      <c r="A65" s="30" t="s">
        <v>21</v>
      </c>
      <c r="B65" s="31">
        <f>B111</f>
        <v>-1105072.0599999577</v>
      </c>
      <c r="C65" s="31">
        <f t="shared" ref="C65:Q65" si="17">C111</f>
        <v>-314790.8599999994</v>
      </c>
      <c r="D65" s="31">
        <f t="shared" si="17"/>
        <v>0</v>
      </c>
      <c r="E65" s="31">
        <f t="shared" si="17"/>
        <v>0</v>
      </c>
      <c r="F65" s="31">
        <f t="shared" si="17"/>
        <v>0</v>
      </c>
      <c r="G65" s="31">
        <f t="shared" si="17"/>
        <v>0</v>
      </c>
      <c r="H65" s="31">
        <f t="shared" si="17"/>
        <v>0</v>
      </c>
      <c r="I65" s="31">
        <f t="shared" si="17"/>
        <v>0</v>
      </c>
      <c r="J65" s="31">
        <f t="shared" si="17"/>
        <v>0</v>
      </c>
      <c r="K65" s="31">
        <f t="shared" si="17"/>
        <v>0</v>
      </c>
      <c r="L65" s="31">
        <f t="shared" si="17"/>
        <v>0</v>
      </c>
      <c r="M65" s="31">
        <f t="shared" si="17"/>
        <v>0</v>
      </c>
      <c r="N65" s="31">
        <f t="shared" si="17"/>
        <v>0</v>
      </c>
      <c r="O65" s="31">
        <f t="shared" si="17"/>
        <v>0</v>
      </c>
      <c r="P65" s="31">
        <f>P111</f>
        <v>141986.29200000167</v>
      </c>
      <c r="Q65" s="31">
        <f t="shared" si="17"/>
        <v>0</v>
      </c>
      <c r="R65" s="31">
        <f>R111</f>
        <v>-1277876.6280000149</v>
      </c>
      <c r="S65" s="26" t="s">
        <v>295</v>
      </c>
      <c r="T65" s="27" t="s">
        <v>1190</v>
      </c>
    </row>
    <row r="66" spans="1:22" ht="12.7" customHeight="1">
      <c r="A66" s="16" t="s">
        <v>85</v>
      </c>
      <c r="B66" s="51">
        <f>SUBTOTAL(9,B62:B65)</f>
        <v>-307954933.23999995</v>
      </c>
      <c r="C66" s="51">
        <f t="shared" ref="C66:R66" si="18">SUBTOTAL(9,C62:C65)</f>
        <v>-314790.8599999994</v>
      </c>
      <c r="D66" s="51">
        <f t="shared" si="18"/>
        <v>0</v>
      </c>
      <c r="E66" s="51">
        <f t="shared" si="18"/>
        <v>0</v>
      </c>
      <c r="F66" s="51">
        <f t="shared" si="18"/>
        <v>0</v>
      </c>
      <c r="G66" s="51">
        <f t="shared" si="18"/>
        <v>0</v>
      </c>
      <c r="H66" s="51">
        <f t="shared" si="18"/>
        <v>0</v>
      </c>
      <c r="I66" s="51">
        <f t="shared" si="18"/>
        <v>0</v>
      </c>
      <c r="J66" s="51">
        <f t="shared" si="18"/>
        <v>0</v>
      </c>
      <c r="K66" s="51">
        <f t="shared" si="18"/>
        <v>0</v>
      </c>
      <c r="L66" s="51">
        <f t="shared" si="18"/>
        <v>0</v>
      </c>
      <c r="M66" s="51">
        <f t="shared" si="18"/>
        <v>0</v>
      </c>
      <c r="N66" s="51">
        <f t="shared" si="18"/>
        <v>0</v>
      </c>
      <c r="O66" s="51">
        <f t="shared" si="18"/>
        <v>0</v>
      </c>
      <c r="P66" s="51">
        <f t="shared" si="18"/>
        <v>0</v>
      </c>
      <c r="Q66" s="51">
        <f t="shared" si="18"/>
        <v>0</v>
      </c>
      <c r="R66" s="51">
        <f t="shared" si="18"/>
        <v>-308269724.10000002</v>
      </c>
      <c r="S66" s="26"/>
      <c r="T66" s="27"/>
    </row>
    <row r="67" spans="1:22" ht="12.7" customHeight="1">
      <c r="A67" s="16"/>
      <c r="B67" s="47"/>
      <c r="C67" s="47"/>
      <c r="D67" s="47"/>
      <c r="E67" s="47"/>
      <c r="F67" s="47"/>
      <c r="G67" s="47"/>
      <c r="H67" s="47"/>
      <c r="I67" s="47"/>
      <c r="J67" s="47"/>
      <c r="K67" s="47"/>
      <c r="L67" s="47"/>
      <c r="M67" s="47"/>
      <c r="N67" s="47"/>
      <c r="O67" s="47"/>
      <c r="P67" s="47"/>
      <c r="Q67" s="47"/>
      <c r="R67" s="47">
        <f>SUM(B67:Q67)</f>
        <v>0</v>
      </c>
      <c r="S67" s="26"/>
      <c r="T67" s="27"/>
    </row>
    <row r="68" spans="1:22" ht="13.5" customHeight="1" thickBot="1">
      <c r="A68" s="16" t="s">
        <v>22</v>
      </c>
      <c r="B68" s="45">
        <f t="shared" ref="B68:R68" si="19">SUBTOTAL(9,B44:B67)</f>
        <v>-782621462.3599999</v>
      </c>
      <c r="C68" s="45">
        <f t="shared" si="19"/>
        <v>2672189.2200000007</v>
      </c>
      <c r="D68" s="45">
        <f t="shared" si="19"/>
        <v>0</v>
      </c>
      <c r="E68" s="45">
        <f t="shared" si="19"/>
        <v>0</v>
      </c>
      <c r="F68" s="45">
        <f t="shared" si="19"/>
        <v>0</v>
      </c>
      <c r="G68" s="45">
        <f t="shared" si="19"/>
        <v>0</v>
      </c>
      <c r="H68" s="45">
        <f t="shared" si="19"/>
        <v>-6184428.4199999999</v>
      </c>
      <c r="I68" s="45">
        <f t="shared" si="19"/>
        <v>0</v>
      </c>
      <c r="J68" s="45">
        <f t="shared" si="19"/>
        <v>0</v>
      </c>
      <c r="K68" s="45">
        <f t="shared" si="19"/>
        <v>0</v>
      </c>
      <c r="L68" s="45">
        <f t="shared" si="19"/>
        <v>0</v>
      </c>
      <c r="M68" s="45">
        <f t="shared" si="19"/>
        <v>-3382797.7</v>
      </c>
      <c r="N68" s="45">
        <f t="shared" si="19"/>
        <v>0</v>
      </c>
      <c r="O68" s="45">
        <f t="shared" si="19"/>
        <v>0</v>
      </c>
      <c r="P68" s="45">
        <f t="shared" si="19"/>
        <v>0</v>
      </c>
      <c r="Q68" s="45">
        <f t="shared" si="19"/>
        <v>0</v>
      </c>
      <c r="R68" s="45">
        <f t="shared" si="19"/>
        <v>-789516499.25999999</v>
      </c>
      <c r="S68" s="26"/>
      <c r="T68" s="27"/>
    </row>
    <row r="69" spans="1:22" ht="12.7" customHeight="1" thickTop="1">
      <c r="B69" s="39"/>
      <c r="C69" s="39"/>
      <c r="D69" s="39"/>
      <c r="E69" s="39"/>
      <c r="F69" s="39"/>
      <c r="G69" s="39"/>
      <c r="H69" s="39"/>
      <c r="I69" s="39"/>
      <c r="J69" s="39"/>
      <c r="K69" s="39"/>
      <c r="L69" s="39"/>
      <c r="M69" s="39"/>
      <c r="N69" s="39"/>
      <c r="O69" s="39"/>
      <c r="P69" s="39"/>
      <c r="Q69" s="39"/>
      <c r="R69" s="39"/>
      <c r="S69" s="26"/>
      <c r="T69" s="27"/>
    </row>
    <row r="70" spans="1:22" s="52" customFormat="1" ht="12.7" customHeight="1">
      <c r="A70" s="174" t="s">
        <v>52</v>
      </c>
      <c r="B70" s="172">
        <f t="shared" ref="B70:R70" si="20">SUBTOTAL(9,B9:B68)</f>
        <v>4.4703483581542969E-8</v>
      </c>
      <c r="C70" s="172">
        <f t="shared" si="20"/>
        <v>0</v>
      </c>
      <c r="D70" s="172">
        <f t="shared" si="20"/>
        <v>0</v>
      </c>
      <c r="E70" s="172">
        <f t="shared" si="20"/>
        <v>0</v>
      </c>
      <c r="F70" s="172">
        <f t="shared" si="20"/>
        <v>0</v>
      </c>
      <c r="G70" s="172">
        <f t="shared" si="20"/>
        <v>0</v>
      </c>
      <c r="H70" s="172">
        <f t="shared" si="20"/>
        <v>0</v>
      </c>
      <c r="I70" s="172">
        <f t="shared" si="20"/>
        <v>0</v>
      </c>
      <c r="J70" s="172">
        <f t="shared" si="20"/>
        <v>0</v>
      </c>
      <c r="K70" s="172">
        <f t="shared" si="20"/>
        <v>0</v>
      </c>
      <c r="L70" s="172">
        <f t="shared" si="20"/>
        <v>0</v>
      </c>
      <c r="M70" s="172">
        <f t="shared" si="20"/>
        <v>0</v>
      </c>
      <c r="N70" s="172">
        <f t="shared" si="20"/>
        <v>0</v>
      </c>
      <c r="O70" s="172">
        <f t="shared" si="20"/>
        <v>0</v>
      </c>
      <c r="P70" s="172">
        <f t="shared" si="20"/>
        <v>0</v>
      </c>
      <c r="Q70" s="172">
        <f t="shared" si="20"/>
        <v>0</v>
      </c>
      <c r="R70" s="172">
        <f t="shared" si="20"/>
        <v>-1.1920928955078125E-7</v>
      </c>
      <c r="S70" s="26"/>
      <c r="T70" s="26"/>
      <c r="U70" s="175"/>
      <c r="V70" s="175"/>
    </row>
    <row r="71" spans="1:22" ht="12.7" customHeight="1">
      <c r="A71" s="42"/>
      <c r="B71" s="50"/>
      <c r="C71" s="50"/>
      <c r="D71" s="50"/>
      <c r="E71" s="50"/>
      <c r="F71" s="50"/>
      <c r="G71" s="50"/>
      <c r="H71" s="50"/>
      <c r="I71" s="50"/>
      <c r="J71" s="50"/>
      <c r="K71" s="50"/>
      <c r="L71" s="50"/>
      <c r="M71" s="50"/>
      <c r="N71" s="50"/>
      <c r="O71" s="50"/>
      <c r="P71" s="50"/>
      <c r="Q71" s="50"/>
      <c r="R71" s="50"/>
      <c r="S71" s="26"/>
      <c r="T71" s="27"/>
      <c r="U71" s="114"/>
    </row>
    <row r="72" spans="1:22" ht="12.7" customHeight="1">
      <c r="A72" s="283" t="s">
        <v>1384</v>
      </c>
      <c r="B72" s="284">
        <v>-660200181.16999996</v>
      </c>
      <c r="C72" s="285"/>
      <c r="D72" s="285"/>
      <c r="E72" s="284"/>
      <c r="F72" s="284">
        <f>'[13]PRC JA list'!F23</f>
        <v>-9109764.9800000004</v>
      </c>
      <c r="G72" s="284"/>
      <c r="H72" s="284"/>
      <c r="I72" s="284"/>
      <c r="J72" s="284"/>
      <c r="K72" s="284"/>
      <c r="L72" s="284"/>
      <c r="M72" s="284">
        <f>'[13]PRC JA list'!F56</f>
        <v>1014839.31</v>
      </c>
      <c r="N72" s="284"/>
      <c r="O72" s="284"/>
      <c r="P72" s="284"/>
      <c r="Q72" s="284"/>
      <c r="R72" s="284">
        <f>SUM(B72:Q72)</f>
        <v>-668295106.84000003</v>
      </c>
      <c r="S72" s="26" t="s">
        <v>276</v>
      </c>
      <c r="T72" s="27" t="s">
        <v>1228</v>
      </c>
      <c r="U72" s="114"/>
      <c r="V72" s="233"/>
    </row>
    <row r="73" spans="1:22" ht="13.5" customHeight="1">
      <c r="A73" s="283" t="s">
        <v>1385</v>
      </c>
      <c r="B73" s="285">
        <v>486802963.56</v>
      </c>
      <c r="C73" s="285"/>
      <c r="D73" s="285"/>
      <c r="E73" s="285"/>
      <c r="F73" s="285">
        <f>'[13]PRC JA list'!F24</f>
        <v>4984734.9700000007</v>
      </c>
      <c r="G73" s="285"/>
      <c r="H73" s="285"/>
      <c r="I73" s="285"/>
      <c r="J73" s="285"/>
      <c r="K73" s="285"/>
      <c r="L73" s="285"/>
      <c r="M73" s="285">
        <f>'[13]PRC JA list'!F55</f>
        <v>-1014839.31</v>
      </c>
      <c r="N73" s="285"/>
      <c r="O73" s="285"/>
      <c r="P73" s="285"/>
      <c r="Q73" s="285"/>
      <c r="R73" s="285">
        <f>SUM(B73:Q73)</f>
        <v>490772859.22000003</v>
      </c>
      <c r="S73" s="26" t="s">
        <v>276</v>
      </c>
      <c r="T73" s="27" t="s">
        <v>1228</v>
      </c>
      <c r="U73" s="114"/>
    </row>
    <row r="74" spans="1:22" ht="12.7" customHeight="1">
      <c r="A74" s="30" t="s">
        <v>1386</v>
      </c>
      <c r="B74" s="31">
        <v>5024746.3499999996</v>
      </c>
      <c r="C74" s="40"/>
      <c r="D74" s="40"/>
      <c r="E74" s="31"/>
      <c r="F74" s="31"/>
      <c r="G74" s="31"/>
      <c r="H74" s="31"/>
      <c r="I74" s="31"/>
      <c r="J74" s="31"/>
      <c r="K74" s="31"/>
      <c r="L74" s="31"/>
      <c r="M74" s="31"/>
      <c r="N74" s="31"/>
      <c r="O74" s="31"/>
      <c r="P74" s="31"/>
      <c r="Q74" s="31"/>
      <c r="R74" s="31">
        <f>SUM(B74:Q74)</f>
        <v>5024746.3499999996</v>
      </c>
      <c r="S74" s="26" t="s">
        <v>296</v>
      </c>
      <c r="T74" s="27" t="s">
        <v>1047</v>
      </c>
      <c r="U74" s="115"/>
    </row>
    <row r="75" spans="1:22" ht="12.7" customHeight="1">
      <c r="A75" s="16" t="s">
        <v>90</v>
      </c>
      <c r="B75" s="101">
        <f t="shared" ref="B75:R75" si="21">SUBTOTAL(9,B72:B74)</f>
        <v>-168372471.25999996</v>
      </c>
      <c r="C75" s="101">
        <f t="shared" si="21"/>
        <v>0</v>
      </c>
      <c r="D75" s="101">
        <f t="shared" si="21"/>
        <v>0</v>
      </c>
      <c r="E75" s="101">
        <f>SUBTOTAL(9,E72:E74)</f>
        <v>0</v>
      </c>
      <c r="F75" s="101">
        <f t="shared" si="21"/>
        <v>-4125030.01</v>
      </c>
      <c r="G75" s="101">
        <f t="shared" si="21"/>
        <v>0</v>
      </c>
      <c r="H75" s="101">
        <f t="shared" si="21"/>
        <v>0</v>
      </c>
      <c r="I75" s="101">
        <f t="shared" si="21"/>
        <v>0</v>
      </c>
      <c r="J75" s="101">
        <f>SUBTOTAL(9,J72:J74)</f>
        <v>0</v>
      </c>
      <c r="K75" s="101">
        <f>SUBTOTAL(9,K72:K74)</f>
        <v>0</v>
      </c>
      <c r="L75" s="101">
        <f t="shared" ref="L75:P75" si="22">SUBTOTAL(9,L72:L74)</f>
        <v>0</v>
      </c>
      <c r="M75" s="101">
        <f t="shared" si="22"/>
        <v>0</v>
      </c>
      <c r="N75" s="101">
        <f t="shared" si="22"/>
        <v>0</v>
      </c>
      <c r="O75" s="101">
        <f t="shared" si="22"/>
        <v>0</v>
      </c>
      <c r="P75" s="101">
        <f t="shared" si="22"/>
        <v>0</v>
      </c>
      <c r="Q75" s="101">
        <f t="shared" si="21"/>
        <v>0</v>
      </c>
      <c r="R75" s="101">
        <f t="shared" si="21"/>
        <v>-172497501.27000001</v>
      </c>
      <c r="S75" s="26"/>
      <c r="T75" s="27"/>
    </row>
    <row r="76" spans="1:22" ht="12.7" customHeight="1">
      <c r="A76" s="16"/>
      <c r="B76" s="53"/>
      <c r="C76" s="53"/>
      <c r="D76" s="53"/>
      <c r="E76" s="53"/>
      <c r="F76" s="53"/>
      <c r="G76" s="53"/>
      <c r="H76" s="53"/>
      <c r="I76" s="53"/>
      <c r="J76" s="53"/>
      <c r="K76" s="53"/>
      <c r="L76" s="53"/>
      <c r="M76" s="53"/>
      <c r="N76" s="53"/>
      <c r="O76" s="53"/>
      <c r="P76" s="53"/>
      <c r="Q76" s="53"/>
      <c r="R76" s="53"/>
      <c r="S76" s="26"/>
      <c r="T76" s="27"/>
    </row>
    <row r="77" spans="1:22" ht="12.7" customHeight="1">
      <c r="A77" s="16" t="s">
        <v>1387</v>
      </c>
      <c r="B77" s="32">
        <v>-4125030.0100000007</v>
      </c>
      <c r="C77" s="39"/>
      <c r="D77" s="39"/>
      <c r="E77" s="32"/>
      <c r="F77" s="32">
        <f>'[13]PRC JA list'!F25</f>
        <v>4125030.01</v>
      </c>
      <c r="G77" s="32"/>
      <c r="H77" s="32"/>
      <c r="I77" s="32"/>
      <c r="J77" s="32"/>
      <c r="K77" s="32"/>
      <c r="L77" s="32"/>
      <c r="M77" s="32"/>
      <c r="N77" s="32"/>
      <c r="O77" s="32"/>
      <c r="P77" s="32"/>
      <c r="Q77" s="32"/>
      <c r="R77" s="32">
        <f t="shared" ref="R77:R84" si="23">SUM(B77:Q77)</f>
        <v>0</v>
      </c>
      <c r="S77" s="26" t="s">
        <v>297</v>
      </c>
      <c r="T77" s="27" t="s">
        <v>1228</v>
      </c>
    </row>
    <row r="78" spans="1:22" ht="12.7" customHeight="1">
      <c r="A78" s="30" t="s">
        <v>1388</v>
      </c>
      <c r="B78" s="31">
        <v>35231807.689999998</v>
      </c>
      <c r="C78" s="31"/>
      <c r="D78" s="31"/>
      <c r="E78" s="31"/>
      <c r="F78" s="31"/>
      <c r="G78" s="31"/>
      <c r="H78" s="31"/>
      <c r="I78" s="31"/>
      <c r="J78" s="31"/>
      <c r="K78" s="31"/>
      <c r="L78" s="31"/>
      <c r="M78" s="31"/>
      <c r="N78" s="31"/>
      <c r="O78" s="31"/>
      <c r="P78" s="31"/>
      <c r="Q78" s="31"/>
      <c r="R78" s="32">
        <f t="shared" si="23"/>
        <v>35231807.689999998</v>
      </c>
      <c r="S78" s="26" t="s">
        <v>298</v>
      </c>
      <c r="T78" s="27" t="s">
        <v>1191</v>
      </c>
    </row>
    <row r="79" spans="1:22" ht="12.7" customHeight="1">
      <c r="A79" s="30" t="s">
        <v>1389</v>
      </c>
      <c r="B79" s="31">
        <f>94429589.49+393292.49</f>
        <v>94822881.979999989</v>
      </c>
      <c r="C79" s="31">
        <f>'[13]PRC JA list'!F9</f>
        <v>131000</v>
      </c>
      <c r="D79" s="31">
        <f>'[13]PRC JA list'!F15</f>
        <v>-25490463.609999999</v>
      </c>
      <c r="E79" s="31"/>
      <c r="F79" s="31"/>
      <c r="G79" s="31">
        <f>'[13]PRC JA list'!F28</f>
        <v>-383616.17</v>
      </c>
      <c r="H79" s="31"/>
      <c r="I79" s="31"/>
      <c r="J79" s="31">
        <f>'[13]PRC JA list'!F43</f>
        <v>-6428952.5899999999</v>
      </c>
      <c r="K79" s="31"/>
      <c r="L79" s="31"/>
      <c r="M79" s="31"/>
      <c r="N79" s="31"/>
      <c r="O79" s="31"/>
      <c r="P79" s="31"/>
      <c r="Q79" s="31"/>
      <c r="R79" s="32">
        <f t="shared" si="23"/>
        <v>62650849.609999985</v>
      </c>
      <c r="S79" s="26" t="s">
        <v>299</v>
      </c>
      <c r="T79" s="27" t="s">
        <v>1191</v>
      </c>
      <c r="U79" s="12">
        <f>R79+R80</f>
        <v>69079802.199999988</v>
      </c>
    </row>
    <row r="80" spans="1:22" ht="12.7" customHeight="1">
      <c r="A80" s="30" t="s">
        <v>1323</v>
      </c>
      <c r="B80" s="31"/>
      <c r="C80" s="31"/>
      <c r="D80" s="31"/>
      <c r="E80" s="31"/>
      <c r="F80" s="31"/>
      <c r="G80" s="31"/>
      <c r="H80" s="31"/>
      <c r="I80" s="31"/>
      <c r="J80" s="31">
        <f>'[13]PRC JA list'!F42</f>
        <v>6428952.5899999999</v>
      </c>
      <c r="K80" s="31"/>
      <c r="L80" s="31"/>
      <c r="M80" s="31"/>
      <c r="N80" s="31"/>
      <c r="O80" s="31"/>
      <c r="P80" s="31"/>
      <c r="Q80" s="31"/>
      <c r="R80" s="32">
        <f t="shared" si="23"/>
        <v>6428952.5899999999</v>
      </c>
      <c r="S80" s="26"/>
      <c r="T80" s="27"/>
    </row>
    <row r="81" spans="1:23" ht="12.05" customHeight="1">
      <c r="A81" s="30" t="s">
        <v>94</v>
      </c>
      <c r="B81" s="31">
        <v>16762245.390000001</v>
      </c>
      <c r="C81" s="31"/>
      <c r="D81" s="31"/>
      <c r="E81" s="31">
        <f>'[13]PRC JA list'!F19</f>
        <v>-2130.2500000000005</v>
      </c>
      <c r="F81" s="31"/>
      <c r="G81" s="31"/>
      <c r="H81" s="31"/>
      <c r="I81" s="31"/>
      <c r="J81" s="31"/>
      <c r="K81" s="31"/>
      <c r="L81" s="31"/>
      <c r="M81" s="31"/>
      <c r="N81" s="31"/>
      <c r="O81" s="31">
        <f>'[13]PRC JA list'!F66</f>
        <v>-2045118.72</v>
      </c>
      <c r="P81" s="31"/>
      <c r="Q81" s="31"/>
      <c r="R81" s="32">
        <f t="shared" si="23"/>
        <v>14714996.42</v>
      </c>
      <c r="S81" s="26" t="s">
        <v>300</v>
      </c>
      <c r="T81" s="27" t="s">
        <v>1191</v>
      </c>
    </row>
    <row r="82" spans="1:23" ht="12.05" customHeight="1">
      <c r="A82" s="30" t="s">
        <v>95</v>
      </c>
      <c r="B82" s="31">
        <v>0</v>
      </c>
      <c r="C82" s="31"/>
      <c r="D82" s="31">
        <f>'[13]PRC JA list'!F14</f>
        <v>25490463.609999999</v>
      </c>
      <c r="E82" s="31"/>
      <c r="F82" s="31"/>
      <c r="G82" s="31">
        <f>'[13]PRC JA list'!F29</f>
        <v>0</v>
      </c>
      <c r="H82" s="31"/>
      <c r="I82" s="31"/>
      <c r="J82" s="31"/>
      <c r="K82" s="31"/>
      <c r="L82" s="31"/>
      <c r="M82" s="31"/>
      <c r="N82" s="31"/>
      <c r="O82" s="31"/>
      <c r="P82" s="31"/>
      <c r="Q82" s="31"/>
      <c r="R82" s="32">
        <f t="shared" si="23"/>
        <v>25490463.609999999</v>
      </c>
      <c r="S82" s="26"/>
      <c r="T82" s="27"/>
    </row>
    <row r="83" spans="1:23" ht="12.7" customHeight="1">
      <c r="A83" s="30" t="s">
        <v>1390</v>
      </c>
      <c r="B83" s="31">
        <v>0</v>
      </c>
      <c r="C83" s="31"/>
      <c r="D83" s="31"/>
      <c r="E83" s="31"/>
      <c r="F83" s="31"/>
      <c r="G83" s="31"/>
      <c r="H83" s="31"/>
      <c r="I83" s="31"/>
      <c r="J83" s="31"/>
      <c r="K83" s="31"/>
      <c r="L83" s="31"/>
      <c r="M83" s="31"/>
      <c r="N83" s="31"/>
      <c r="O83" s="31"/>
      <c r="P83" s="31"/>
      <c r="Q83" s="31"/>
      <c r="R83" s="32">
        <f t="shared" si="23"/>
        <v>0</v>
      </c>
      <c r="S83" s="26"/>
      <c r="T83" s="27"/>
    </row>
    <row r="84" spans="1:23" ht="12.7" customHeight="1">
      <c r="A84" s="30" t="s">
        <v>1391</v>
      </c>
      <c r="B84" s="32">
        <v>-8934424.2799999993</v>
      </c>
      <c r="C84" s="31"/>
      <c r="D84" s="31"/>
      <c r="E84" s="32"/>
      <c r="F84" s="32"/>
      <c r="G84" s="32"/>
      <c r="H84" s="32"/>
      <c r="I84" s="32"/>
      <c r="J84" s="32"/>
      <c r="K84" s="32"/>
      <c r="L84" s="32"/>
      <c r="M84" s="32"/>
      <c r="N84" s="32"/>
      <c r="O84" s="32">
        <f>'[13]PRC JA list'!F65</f>
        <v>2045118.72</v>
      </c>
      <c r="P84" s="32"/>
      <c r="Q84" s="32"/>
      <c r="R84" s="32">
        <f t="shared" si="23"/>
        <v>-6889305.5599999996</v>
      </c>
      <c r="S84" s="26" t="s">
        <v>301</v>
      </c>
      <c r="T84" s="27" t="s">
        <v>1191</v>
      </c>
    </row>
    <row r="85" spans="1:23" ht="12.7" customHeight="1">
      <c r="A85" s="16" t="s">
        <v>23</v>
      </c>
      <c r="B85" s="48">
        <f>SUBTOTAL(9,B72:B84)</f>
        <v>-34614990.489999965</v>
      </c>
      <c r="C85" s="48">
        <f t="shared" ref="C85:Q85" si="24">SUBTOTAL(9,C72:C84)</f>
        <v>131000</v>
      </c>
      <c r="D85" s="48">
        <f t="shared" si="24"/>
        <v>0</v>
      </c>
      <c r="E85" s="48">
        <f t="shared" si="24"/>
        <v>-2130.2500000000005</v>
      </c>
      <c r="F85" s="48">
        <f t="shared" si="24"/>
        <v>0</v>
      </c>
      <c r="G85" s="48">
        <f t="shared" si="24"/>
        <v>-383616.17</v>
      </c>
      <c r="H85" s="48">
        <f t="shared" si="24"/>
        <v>0</v>
      </c>
      <c r="I85" s="48">
        <f t="shared" si="24"/>
        <v>0</v>
      </c>
      <c r="J85" s="48">
        <f t="shared" si="24"/>
        <v>0</v>
      </c>
      <c r="K85" s="48">
        <f t="shared" si="24"/>
        <v>0</v>
      </c>
      <c r="L85" s="48">
        <f t="shared" si="24"/>
        <v>0</v>
      </c>
      <c r="M85" s="48">
        <f t="shared" si="24"/>
        <v>0</v>
      </c>
      <c r="N85" s="48">
        <f t="shared" si="24"/>
        <v>0</v>
      </c>
      <c r="O85" s="48">
        <f t="shared" si="24"/>
        <v>0</v>
      </c>
      <c r="P85" s="48">
        <f t="shared" si="24"/>
        <v>0</v>
      </c>
      <c r="Q85" s="48">
        <f t="shared" si="24"/>
        <v>0</v>
      </c>
      <c r="R85" s="48">
        <f>SUBTOTAL(9,R72:R84)</f>
        <v>-34869736.910000026</v>
      </c>
      <c r="S85" s="26"/>
      <c r="T85" s="27"/>
    </row>
    <row r="86" spans="1:23" ht="12.7" customHeight="1">
      <c r="A86" s="16"/>
      <c r="B86" s="39"/>
      <c r="C86" s="39"/>
      <c r="D86" s="39"/>
      <c r="E86" s="39"/>
      <c r="F86" s="39"/>
      <c r="G86" s="39"/>
      <c r="H86" s="39"/>
      <c r="I86" s="39"/>
      <c r="J86" s="39"/>
      <c r="K86" s="39"/>
      <c r="L86" s="39"/>
      <c r="M86" s="39"/>
      <c r="N86" s="39"/>
      <c r="O86" s="39"/>
      <c r="P86" s="39"/>
      <c r="Q86" s="39"/>
      <c r="R86" s="39"/>
      <c r="S86" s="26"/>
      <c r="T86" s="27"/>
    </row>
    <row r="87" spans="1:23" ht="12.7" customHeight="1">
      <c r="A87" s="30" t="s">
        <v>24</v>
      </c>
      <c r="B87" s="32">
        <v>-824417.21</v>
      </c>
      <c r="C87" s="31"/>
      <c r="D87" s="31"/>
      <c r="E87" s="32"/>
      <c r="F87" s="32"/>
      <c r="G87" s="32">
        <f>'[13]PRC JA list'!F30</f>
        <v>0</v>
      </c>
      <c r="H87" s="32"/>
      <c r="I87" s="32"/>
      <c r="J87" s="32"/>
      <c r="K87" s="32"/>
      <c r="L87" s="32"/>
      <c r="M87" s="32"/>
      <c r="N87" s="32"/>
      <c r="O87" s="32"/>
      <c r="P87" s="32"/>
      <c r="Q87" s="32"/>
      <c r="R87" s="32">
        <f>SUM(B87:Q87)</f>
        <v>-824417.21</v>
      </c>
      <c r="S87" s="26" t="s">
        <v>302</v>
      </c>
      <c r="T87" s="27" t="s">
        <v>1191</v>
      </c>
    </row>
    <row r="88" spans="1:23" ht="12.7" customHeight="1">
      <c r="A88" s="30" t="s">
        <v>25</v>
      </c>
      <c r="B88" s="32">
        <v>487164.9</v>
      </c>
      <c r="C88" s="31"/>
      <c r="D88" s="31"/>
      <c r="E88" s="32"/>
      <c r="F88" s="32"/>
      <c r="G88" s="32">
        <f>'[13]PRC JA list'!F31</f>
        <v>383616.17</v>
      </c>
      <c r="H88" s="32"/>
      <c r="I88" s="32"/>
      <c r="J88" s="32"/>
      <c r="K88" s="32"/>
      <c r="L88" s="32"/>
      <c r="M88" s="32"/>
      <c r="N88" s="32"/>
      <c r="O88" s="32"/>
      <c r="P88" s="32"/>
      <c r="Q88" s="32"/>
      <c r="R88" s="32">
        <f>SUM(B88:Q88)</f>
        <v>870781.07000000007</v>
      </c>
      <c r="S88" s="26" t="s">
        <v>303</v>
      </c>
      <c r="T88" s="27" t="s">
        <v>1191</v>
      </c>
    </row>
    <row r="89" spans="1:23" ht="12.7" customHeight="1">
      <c r="A89" s="16" t="s">
        <v>1392</v>
      </c>
      <c r="B89" s="48">
        <f t="shared" ref="B89:Q89" si="25">SUBTOTAL(9,B72:B88)</f>
        <v>-34952242.799999967</v>
      </c>
      <c r="C89" s="48">
        <f t="shared" si="25"/>
        <v>131000</v>
      </c>
      <c r="D89" s="48">
        <f t="shared" si="25"/>
        <v>0</v>
      </c>
      <c r="E89" s="48">
        <f t="shared" si="25"/>
        <v>-2130.2500000000005</v>
      </c>
      <c r="F89" s="48">
        <f t="shared" si="25"/>
        <v>0</v>
      </c>
      <c r="G89" s="48">
        <f t="shared" si="25"/>
        <v>0</v>
      </c>
      <c r="H89" s="48">
        <f t="shared" si="25"/>
        <v>0</v>
      </c>
      <c r="I89" s="48">
        <f t="shared" si="25"/>
        <v>0</v>
      </c>
      <c r="J89" s="48">
        <f t="shared" si="25"/>
        <v>0</v>
      </c>
      <c r="K89" s="48">
        <f t="shared" si="25"/>
        <v>0</v>
      </c>
      <c r="L89" s="48">
        <f t="shared" si="25"/>
        <v>0</v>
      </c>
      <c r="M89" s="48">
        <f t="shared" si="25"/>
        <v>0</v>
      </c>
      <c r="N89" s="48">
        <f t="shared" si="25"/>
        <v>0</v>
      </c>
      <c r="O89" s="48">
        <f t="shared" si="25"/>
        <v>0</v>
      </c>
      <c r="P89" s="48">
        <f t="shared" si="25"/>
        <v>0</v>
      </c>
      <c r="Q89" s="48">
        <f t="shared" si="25"/>
        <v>0</v>
      </c>
      <c r="R89" s="48">
        <f>SUBTOTAL(9,R72:R88)</f>
        <v>-34823373.050000027</v>
      </c>
      <c r="S89" s="26"/>
      <c r="T89" s="176"/>
    </row>
    <row r="90" spans="1:23" ht="12.7" customHeight="1">
      <c r="B90" s="39"/>
      <c r="C90" s="39"/>
      <c r="D90" s="39"/>
      <c r="E90" s="39"/>
      <c r="F90" s="39"/>
      <c r="G90" s="39"/>
      <c r="H90" s="39"/>
      <c r="I90" s="39"/>
      <c r="J90" s="39"/>
      <c r="K90" s="39"/>
      <c r="L90" s="39"/>
      <c r="M90" s="39"/>
      <c r="N90" s="39"/>
      <c r="O90" s="39"/>
      <c r="P90" s="39"/>
      <c r="Q90" s="39"/>
      <c r="R90" s="39"/>
      <c r="S90" s="26"/>
      <c r="T90" s="27"/>
    </row>
    <row r="91" spans="1:23" ht="12.7" customHeight="1">
      <c r="A91" s="30" t="s">
        <v>26</v>
      </c>
      <c r="B91" s="32">
        <v>9637000</v>
      </c>
      <c r="C91" s="31">
        <f>'[13]PRC JA list'!F10</f>
        <v>-2238871.6899999995</v>
      </c>
      <c r="D91" s="31"/>
      <c r="E91" s="32"/>
      <c r="F91" s="32"/>
      <c r="G91" s="32"/>
      <c r="H91" s="32"/>
      <c r="I91" s="32"/>
      <c r="J91" s="32"/>
      <c r="K91" s="32"/>
      <c r="L91" s="32"/>
      <c r="M91" s="32"/>
      <c r="N91" s="32"/>
      <c r="O91" s="32"/>
      <c r="P91" s="32"/>
      <c r="Q91" s="32"/>
      <c r="R91" s="32">
        <f>SUM(B91:Q91)</f>
        <v>7398128.3100000005</v>
      </c>
      <c r="S91" s="26" t="s">
        <v>304</v>
      </c>
      <c r="T91" s="27" t="s">
        <v>1047</v>
      </c>
    </row>
    <row r="92" spans="1:23" ht="12.7" customHeight="1">
      <c r="B92" s="39"/>
      <c r="C92" s="39"/>
      <c r="D92" s="39"/>
      <c r="E92" s="39"/>
      <c r="F92" s="39"/>
      <c r="G92" s="39"/>
      <c r="H92" s="39"/>
      <c r="I92" s="39"/>
      <c r="J92" s="39"/>
      <c r="K92" s="39"/>
      <c r="L92" s="39"/>
      <c r="M92" s="39"/>
      <c r="N92" s="39"/>
      <c r="O92" s="39"/>
      <c r="P92" s="39"/>
      <c r="Q92" s="39"/>
      <c r="R92" s="39"/>
      <c r="S92" s="26"/>
      <c r="T92" s="27"/>
    </row>
    <row r="93" spans="1:23" ht="13.5" customHeight="1" thickBot="1">
      <c r="A93" s="16" t="s">
        <v>1393</v>
      </c>
      <c r="B93" s="46">
        <f>SUM(B91,B89)</f>
        <v>-25315242.799999967</v>
      </c>
      <c r="C93" s="46">
        <f t="shared" ref="C93:Q93" si="26">SUM(C91,C89)</f>
        <v>-2107871.6899999995</v>
      </c>
      <c r="D93" s="46">
        <f t="shared" si="26"/>
        <v>0</v>
      </c>
      <c r="E93" s="46">
        <f>SUM(E91,E89)</f>
        <v>-2130.2500000000005</v>
      </c>
      <c r="F93" s="46">
        <f t="shared" si="26"/>
        <v>0</v>
      </c>
      <c r="G93" s="46">
        <f t="shared" si="26"/>
        <v>0</v>
      </c>
      <c r="H93" s="46">
        <f t="shared" si="26"/>
        <v>0</v>
      </c>
      <c r="I93" s="46">
        <f t="shared" si="26"/>
        <v>0</v>
      </c>
      <c r="J93" s="46">
        <f>SUM(J91,J89)</f>
        <v>0</v>
      </c>
      <c r="K93" s="46">
        <f>SUM(K91,K89)</f>
        <v>0</v>
      </c>
      <c r="L93" s="46">
        <f t="shared" ref="L93:P93" si="27">SUM(L91,L89)</f>
        <v>0</v>
      </c>
      <c r="M93" s="46">
        <f t="shared" si="27"/>
        <v>0</v>
      </c>
      <c r="N93" s="46">
        <f t="shared" si="27"/>
        <v>0</v>
      </c>
      <c r="O93" s="46">
        <f t="shared" si="27"/>
        <v>0</v>
      </c>
      <c r="P93" s="46">
        <f t="shared" si="27"/>
        <v>0</v>
      </c>
      <c r="Q93" s="46">
        <f t="shared" si="26"/>
        <v>0</v>
      </c>
      <c r="R93" s="46">
        <f>SUM(R91,R89)</f>
        <v>-27425244.740000024</v>
      </c>
      <c r="S93" s="26"/>
      <c r="T93" s="27"/>
    </row>
    <row r="94" spans="1:23" ht="12.7" customHeight="1" thickTop="1">
      <c r="B94" s="39"/>
      <c r="C94" s="39"/>
      <c r="D94" s="39"/>
      <c r="E94" s="39"/>
      <c r="F94" s="39"/>
      <c r="G94" s="39"/>
      <c r="H94" s="39"/>
      <c r="I94" s="39"/>
      <c r="J94" s="39"/>
      <c r="K94" s="39"/>
      <c r="L94" s="39"/>
      <c r="M94" s="39"/>
      <c r="N94" s="39"/>
      <c r="O94" s="39"/>
      <c r="P94" s="39"/>
      <c r="Q94" s="39"/>
      <c r="R94" s="39">
        <f>SUM(B94:Q94)</f>
        <v>0</v>
      </c>
      <c r="S94" s="26"/>
      <c r="T94" s="27"/>
      <c r="U94" s="312"/>
      <c r="V94"/>
      <c r="W94" s="313"/>
    </row>
    <row r="95" spans="1:23" ht="12.7" customHeight="1">
      <c r="A95" s="54" t="s">
        <v>1394</v>
      </c>
      <c r="B95" s="31">
        <f>'[13]PRC Spreadsheet-2018.12.31'!B114</f>
        <v>24210170.74000001</v>
      </c>
      <c r="C95" s="31">
        <f>'[13]PRC JA list'!E11</f>
        <v>1793080.83</v>
      </c>
      <c r="D95" s="31"/>
      <c r="E95" s="31">
        <f>'[13]PRC JA list'!E20</f>
        <v>2130.2500000000005</v>
      </c>
      <c r="F95" s="31"/>
      <c r="G95" s="31"/>
      <c r="H95" s="31"/>
      <c r="I95" s="31"/>
      <c r="J95" s="31"/>
      <c r="K95" s="31"/>
      <c r="L95" s="31"/>
      <c r="M95" s="31"/>
      <c r="N95" s="31"/>
      <c r="O95" s="31"/>
      <c r="P95" s="31"/>
      <c r="Q95" s="31"/>
      <c r="R95" s="31">
        <f>SUM(B95:Q95)</f>
        <v>26005381.820000008</v>
      </c>
      <c r="S95" s="26"/>
      <c r="T95" s="286"/>
    </row>
    <row r="96" spans="1:23" ht="12.7" customHeight="1">
      <c r="A96" s="54" t="s">
        <v>1395</v>
      </c>
      <c r="B96" s="31"/>
      <c r="C96" s="31"/>
      <c r="D96" s="31"/>
      <c r="E96" s="31"/>
      <c r="F96" s="31"/>
      <c r="G96" s="31"/>
      <c r="H96" s="31"/>
      <c r="I96" s="31"/>
      <c r="J96" s="31"/>
      <c r="K96" s="31"/>
      <c r="L96" s="31"/>
      <c r="M96" s="31"/>
      <c r="N96" s="31"/>
      <c r="O96" s="31"/>
      <c r="P96" s="31"/>
      <c r="Q96" s="31"/>
      <c r="R96" s="31">
        <f>SUM(B96:Q96)</f>
        <v>0</v>
      </c>
      <c r="S96" s="26"/>
      <c r="T96" s="27"/>
    </row>
    <row r="97" spans="1:20" ht="12.7" customHeight="1">
      <c r="A97" s="54"/>
      <c r="B97" s="39"/>
      <c r="C97" s="39"/>
      <c r="D97" s="39"/>
      <c r="E97" s="39"/>
      <c r="F97" s="39"/>
      <c r="G97" s="39"/>
      <c r="H97" s="39"/>
      <c r="I97" s="39"/>
      <c r="J97" s="39"/>
      <c r="K97" s="39"/>
      <c r="L97" s="39"/>
      <c r="M97" s="39"/>
      <c r="N97" s="39"/>
      <c r="O97" s="39"/>
      <c r="P97" s="39"/>
      <c r="Q97" s="39"/>
      <c r="R97" s="39">
        <f>SUM(B97:Q97)</f>
        <v>0</v>
      </c>
      <c r="S97" s="182"/>
      <c r="T97" s="27"/>
    </row>
    <row r="98" spans="1:20" ht="13.5" customHeight="1" thickBot="1">
      <c r="A98" s="16" t="s">
        <v>1396</v>
      </c>
      <c r="B98" s="46">
        <f t="shared" ref="B98:R98" si="28">B93+B95</f>
        <v>-1105072.0599999577</v>
      </c>
      <c r="C98" s="46">
        <f t="shared" si="28"/>
        <v>-314790.8599999994</v>
      </c>
      <c r="D98" s="46">
        <f t="shared" si="28"/>
        <v>0</v>
      </c>
      <c r="E98" s="46">
        <f t="shared" si="28"/>
        <v>0</v>
      </c>
      <c r="F98" s="46">
        <f t="shared" si="28"/>
        <v>0</v>
      </c>
      <c r="G98" s="46">
        <f t="shared" si="28"/>
        <v>0</v>
      </c>
      <c r="H98" s="46">
        <f t="shared" si="28"/>
        <v>0</v>
      </c>
      <c r="I98" s="46">
        <f t="shared" si="28"/>
        <v>0</v>
      </c>
      <c r="J98" s="46">
        <f t="shared" si="28"/>
        <v>0</v>
      </c>
      <c r="K98" s="46">
        <f t="shared" si="28"/>
        <v>0</v>
      </c>
      <c r="L98" s="46">
        <f t="shared" si="28"/>
        <v>0</v>
      </c>
      <c r="M98" s="46">
        <f t="shared" si="28"/>
        <v>0</v>
      </c>
      <c r="N98" s="46">
        <f t="shared" si="28"/>
        <v>0</v>
      </c>
      <c r="O98" s="46">
        <f t="shared" si="28"/>
        <v>0</v>
      </c>
      <c r="P98" s="46">
        <f t="shared" si="28"/>
        <v>0</v>
      </c>
      <c r="Q98" s="46">
        <f t="shared" si="28"/>
        <v>0</v>
      </c>
      <c r="R98" s="46">
        <f t="shared" si="28"/>
        <v>-1419862.9200000167</v>
      </c>
      <c r="S98" s="182"/>
      <c r="T98" s="27"/>
    </row>
    <row r="99" spans="1:20" ht="13.8" thickTop="1">
      <c r="B99" s="39"/>
      <c r="C99" s="39"/>
      <c r="D99" s="39"/>
      <c r="E99" s="39"/>
      <c r="F99" s="39"/>
      <c r="G99" s="39"/>
      <c r="H99" s="39"/>
      <c r="I99" s="39"/>
      <c r="J99" s="39"/>
      <c r="K99" s="39"/>
      <c r="L99" s="39"/>
      <c r="M99" s="39"/>
      <c r="N99" s="39"/>
      <c r="O99" s="39"/>
      <c r="P99" s="39"/>
      <c r="Q99" s="39"/>
      <c r="R99" s="39"/>
      <c r="S99" s="26"/>
      <c r="T99" s="27"/>
    </row>
    <row r="100" spans="1:20">
      <c r="A100" s="30" t="s">
        <v>1397</v>
      </c>
      <c r="B100" s="39"/>
      <c r="C100" s="39"/>
      <c r="D100" s="39"/>
      <c r="E100" s="39"/>
      <c r="F100" s="39"/>
      <c r="G100" s="39"/>
      <c r="H100" s="39"/>
      <c r="I100" s="39"/>
      <c r="J100" s="39"/>
      <c r="K100" s="39"/>
      <c r="L100" s="39"/>
      <c r="M100" s="39"/>
      <c r="N100" s="39"/>
      <c r="O100" s="39"/>
      <c r="P100" s="39"/>
      <c r="Q100" s="39"/>
      <c r="R100" s="39"/>
      <c r="S100" s="26"/>
      <c r="T100" s="27"/>
    </row>
    <row r="101" spans="1:20">
      <c r="A101" s="42" t="s">
        <v>1398</v>
      </c>
      <c r="B101" s="50"/>
      <c r="C101" s="50"/>
      <c r="D101" s="50"/>
      <c r="E101" s="50"/>
      <c r="F101" s="50"/>
      <c r="G101" s="50"/>
      <c r="H101" s="50"/>
      <c r="I101" s="50"/>
      <c r="J101" s="50"/>
      <c r="K101" s="50"/>
      <c r="L101" s="50"/>
      <c r="M101" s="50"/>
      <c r="N101" s="50"/>
      <c r="O101" s="50"/>
      <c r="P101" s="50">
        <f>'[13]PRC JA list'!E70</f>
        <v>141986.29200000167</v>
      </c>
      <c r="Q101" s="50"/>
      <c r="R101" s="31">
        <f t="shared" ref="R101:R103" si="29">SUM(B101:Q101)</f>
        <v>141986.29200000167</v>
      </c>
      <c r="S101" s="26"/>
      <c r="T101" s="27"/>
    </row>
    <row r="102" spans="1:20">
      <c r="A102" s="42" t="s">
        <v>1399</v>
      </c>
      <c r="B102" s="50"/>
      <c r="C102" s="50"/>
      <c r="D102" s="50"/>
      <c r="E102" s="50"/>
      <c r="F102" s="50"/>
      <c r="G102" s="50"/>
      <c r="H102" s="50"/>
      <c r="I102" s="50"/>
      <c r="J102" s="50"/>
      <c r="K102" s="50"/>
      <c r="L102" s="50"/>
      <c r="M102" s="50"/>
      <c r="N102" s="50"/>
      <c r="O102" s="50"/>
      <c r="P102" s="50"/>
      <c r="Q102" s="50"/>
      <c r="R102" s="31">
        <f t="shared" si="29"/>
        <v>0</v>
      </c>
      <c r="S102" s="26"/>
      <c r="T102" s="27"/>
    </row>
    <row r="103" spans="1:20">
      <c r="A103" s="42" t="s">
        <v>1400</v>
      </c>
      <c r="B103" s="50"/>
      <c r="C103" s="50"/>
      <c r="D103" s="50"/>
      <c r="E103" s="50"/>
      <c r="F103" s="50"/>
      <c r="G103" s="50"/>
      <c r="H103" s="50"/>
      <c r="I103" s="50"/>
      <c r="J103" s="50"/>
      <c r="K103" s="50"/>
      <c r="L103" s="50"/>
      <c r="M103" s="50"/>
      <c r="N103" s="50"/>
      <c r="O103" s="50"/>
      <c r="P103" s="50"/>
      <c r="Q103" s="50"/>
      <c r="R103" s="31">
        <f t="shared" si="29"/>
        <v>0</v>
      </c>
      <c r="S103" s="26"/>
      <c r="T103" s="27"/>
    </row>
    <row r="104" spans="1:20">
      <c r="B104" s="43"/>
      <c r="C104" s="43"/>
      <c r="D104" s="43"/>
      <c r="E104" s="43"/>
      <c r="F104" s="43"/>
      <c r="G104" s="43"/>
      <c r="H104" s="43"/>
      <c r="I104" s="43"/>
      <c r="J104" s="43"/>
      <c r="K104" s="43"/>
      <c r="L104" s="43"/>
      <c r="M104" s="43"/>
      <c r="N104" s="43"/>
      <c r="O104" s="43"/>
      <c r="P104" s="43"/>
      <c r="Q104" s="43"/>
      <c r="R104" s="43"/>
      <c r="S104" s="26"/>
      <c r="T104" s="27"/>
    </row>
    <row r="105" spans="1:20">
      <c r="A105" s="30" t="s">
        <v>1401</v>
      </c>
      <c r="B105" s="31"/>
      <c r="C105" s="31"/>
      <c r="D105" s="31"/>
      <c r="E105" s="31"/>
      <c r="F105" s="31"/>
      <c r="G105" s="31"/>
      <c r="H105" s="31"/>
      <c r="I105" s="31"/>
      <c r="J105" s="31"/>
      <c r="K105" s="31"/>
      <c r="L105" s="31"/>
      <c r="M105" s="31"/>
      <c r="N105" s="31"/>
      <c r="O105" s="31"/>
      <c r="P105" s="31"/>
      <c r="Q105" s="31"/>
      <c r="R105" s="31"/>
      <c r="S105" s="26"/>
      <c r="T105" s="27"/>
    </row>
    <row r="106" spans="1:20">
      <c r="A106" s="16" t="s">
        <v>110</v>
      </c>
      <c r="B106" s="47">
        <f>SUM(B100:B105,B98)</f>
        <v>-1105072.0599999577</v>
      </c>
      <c r="C106" s="47">
        <f t="shared" ref="C106:Q106" si="30">SUM(C100:C105,C98)</f>
        <v>-314790.8599999994</v>
      </c>
      <c r="D106" s="47">
        <f t="shared" si="30"/>
        <v>0</v>
      </c>
      <c r="E106" s="47">
        <f>SUM(E100:E105,E98)</f>
        <v>0</v>
      </c>
      <c r="F106" s="47">
        <f t="shared" si="30"/>
        <v>0</v>
      </c>
      <c r="G106" s="47">
        <f t="shared" si="30"/>
        <v>0</v>
      </c>
      <c r="H106" s="47">
        <f t="shared" si="30"/>
        <v>0</v>
      </c>
      <c r="I106" s="47">
        <f t="shared" si="30"/>
        <v>0</v>
      </c>
      <c r="J106" s="47">
        <f>SUM(J100:J105,J98)</f>
        <v>0</v>
      </c>
      <c r="K106" s="47">
        <f>SUM(K100:K105,K98)</f>
        <v>0</v>
      </c>
      <c r="L106" s="47">
        <f t="shared" ref="L106:O106" si="31">SUM(L100:L105,L98)</f>
        <v>0</v>
      </c>
      <c r="M106" s="47">
        <f t="shared" si="31"/>
        <v>0</v>
      </c>
      <c r="N106" s="47">
        <f t="shared" si="31"/>
        <v>0</v>
      </c>
      <c r="O106" s="47">
        <f t="shared" si="31"/>
        <v>0</v>
      </c>
      <c r="P106" s="47">
        <f>SUM(P100:P105,P98)</f>
        <v>141986.29200000167</v>
      </c>
      <c r="Q106" s="47">
        <f t="shared" si="30"/>
        <v>0</v>
      </c>
      <c r="R106" s="47">
        <f>SUM(R100:R105,R98)</f>
        <v>-1277876.6280000149</v>
      </c>
      <c r="S106" s="26"/>
      <c r="T106" s="27"/>
    </row>
    <row r="107" spans="1:20">
      <c r="B107" s="39"/>
      <c r="C107" s="39"/>
      <c r="D107" s="39"/>
      <c r="E107" s="39"/>
      <c r="F107" s="39"/>
      <c r="G107" s="39"/>
      <c r="H107" s="39"/>
      <c r="I107" s="39"/>
      <c r="J107" s="39"/>
      <c r="K107" s="39"/>
      <c r="L107" s="39"/>
      <c r="M107" s="39"/>
      <c r="N107" s="39"/>
      <c r="O107" s="39"/>
      <c r="P107" s="39"/>
      <c r="Q107" s="39"/>
      <c r="R107" s="39">
        <f>SUM(B107:Q107)</f>
        <v>0</v>
      </c>
      <c r="S107" s="26"/>
      <c r="T107" s="27"/>
    </row>
    <row r="108" spans="1:20">
      <c r="A108" s="30" t="s">
        <v>111</v>
      </c>
      <c r="B108" s="31"/>
      <c r="C108" s="31"/>
      <c r="D108" s="31"/>
      <c r="E108" s="31"/>
      <c r="F108" s="31"/>
      <c r="G108" s="31"/>
      <c r="H108" s="31"/>
      <c r="I108" s="31"/>
      <c r="J108" s="31"/>
      <c r="K108" s="31"/>
      <c r="L108" s="31"/>
      <c r="M108" s="31"/>
      <c r="N108" s="31"/>
      <c r="O108" s="31"/>
      <c r="P108" s="31"/>
      <c r="Q108" s="31"/>
      <c r="R108" s="31">
        <f>SUM(B108:Q108)</f>
        <v>0</v>
      </c>
      <c r="S108" s="26"/>
      <c r="T108" s="27"/>
    </row>
    <row r="109" spans="1:20">
      <c r="A109" s="30" t="s">
        <v>1402</v>
      </c>
      <c r="B109" s="31"/>
      <c r="C109" s="31"/>
      <c r="D109" s="31"/>
      <c r="E109" s="31"/>
      <c r="F109" s="31"/>
      <c r="G109" s="31"/>
      <c r="H109" s="31"/>
      <c r="I109" s="31"/>
      <c r="J109" s="31"/>
      <c r="K109" s="31"/>
      <c r="L109" s="31"/>
      <c r="M109" s="31"/>
      <c r="N109" s="31"/>
      <c r="O109" s="31"/>
      <c r="P109" s="31"/>
      <c r="Q109" s="31"/>
      <c r="R109" s="31">
        <f>SUM(B109:Q109)</f>
        <v>0</v>
      </c>
      <c r="S109" s="26"/>
      <c r="T109" s="27"/>
    </row>
    <row r="110" spans="1:20">
      <c r="B110" s="39"/>
      <c r="C110" s="39"/>
      <c r="D110" s="39"/>
      <c r="E110" s="39"/>
      <c r="F110" s="39"/>
      <c r="G110" s="39"/>
      <c r="H110" s="39"/>
      <c r="I110" s="39"/>
      <c r="J110" s="39"/>
      <c r="K110" s="39"/>
      <c r="L110" s="39"/>
      <c r="M110" s="39"/>
      <c r="N110" s="39"/>
      <c r="O110" s="39"/>
      <c r="P110" s="39"/>
      <c r="Q110" s="39"/>
      <c r="R110" s="39">
        <f>SUM(B110:Q110)</f>
        <v>0</v>
      </c>
      <c r="S110" s="26"/>
      <c r="T110" s="27"/>
    </row>
    <row r="111" spans="1:20" ht="26.95" thickBot="1">
      <c r="A111" s="55" t="s">
        <v>1403</v>
      </c>
      <c r="B111" s="45">
        <f t="shared" ref="B111:R111" si="32">SUM(B108:B109,B106)</f>
        <v>-1105072.0599999577</v>
      </c>
      <c r="C111" s="45">
        <f t="shared" si="32"/>
        <v>-314790.8599999994</v>
      </c>
      <c r="D111" s="45">
        <f t="shared" si="32"/>
        <v>0</v>
      </c>
      <c r="E111" s="45">
        <f t="shared" si="32"/>
        <v>0</v>
      </c>
      <c r="F111" s="45">
        <f t="shared" si="32"/>
        <v>0</v>
      </c>
      <c r="G111" s="45">
        <f t="shared" si="32"/>
        <v>0</v>
      </c>
      <c r="H111" s="45">
        <f t="shared" si="32"/>
        <v>0</v>
      </c>
      <c r="I111" s="45">
        <f t="shared" si="32"/>
        <v>0</v>
      </c>
      <c r="J111" s="45">
        <f t="shared" si="32"/>
        <v>0</v>
      </c>
      <c r="K111" s="45">
        <f t="shared" si="32"/>
        <v>0</v>
      </c>
      <c r="L111" s="45">
        <f t="shared" si="32"/>
        <v>0</v>
      </c>
      <c r="M111" s="45">
        <f t="shared" si="32"/>
        <v>0</v>
      </c>
      <c r="N111" s="45">
        <f t="shared" si="32"/>
        <v>0</v>
      </c>
      <c r="O111" s="45">
        <f t="shared" si="32"/>
        <v>0</v>
      </c>
      <c r="P111" s="45">
        <f t="shared" si="32"/>
        <v>141986.29200000167</v>
      </c>
      <c r="Q111" s="45">
        <f t="shared" si="32"/>
        <v>0</v>
      </c>
      <c r="R111" s="45">
        <f t="shared" si="32"/>
        <v>-1277876.6280000149</v>
      </c>
      <c r="S111" s="26"/>
      <c r="T111" s="27"/>
    </row>
    <row r="112" spans="1:20" ht="13.8" thickTop="1">
      <c r="A112" s="56"/>
      <c r="B112" s="57"/>
      <c r="C112" s="57"/>
      <c r="D112" s="57"/>
      <c r="E112" s="57"/>
      <c r="F112" s="57"/>
      <c r="G112" s="57"/>
      <c r="H112" s="57"/>
      <c r="I112" s="57"/>
      <c r="J112" s="57"/>
      <c r="K112" s="57"/>
      <c r="L112" s="57"/>
      <c r="M112" s="57"/>
      <c r="N112" s="57"/>
      <c r="O112" s="57"/>
      <c r="P112" s="57"/>
      <c r="Q112" s="57"/>
      <c r="R112" s="57"/>
    </row>
    <row r="113" spans="1:22" s="180" customFormat="1">
      <c r="A113" s="42" t="s">
        <v>946</v>
      </c>
      <c r="B113" s="173">
        <f>B95-'[13]PRC Spreadsheet-2018.12.31'!B114</f>
        <v>0</v>
      </c>
      <c r="C113" s="173"/>
      <c r="D113" s="173"/>
      <c r="E113" s="173"/>
      <c r="F113" s="173"/>
      <c r="G113" s="173"/>
      <c r="H113" s="173"/>
      <c r="I113" s="173"/>
      <c r="J113" s="173"/>
      <c r="K113" s="173"/>
      <c r="L113" s="173"/>
      <c r="M113" s="173"/>
      <c r="N113" s="173"/>
      <c r="O113" s="173"/>
      <c r="P113" s="173"/>
      <c r="Q113" s="173"/>
      <c r="R113" s="173">
        <f>R95-'[13]PRC Spreadsheet-2018.12.31'!O114</f>
        <v>-2.9802322387695313E-8</v>
      </c>
      <c r="S113" s="177"/>
      <c r="T113" s="178"/>
      <c r="U113" s="179"/>
      <c r="V113" s="179"/>
    </row>
    <row r="115" spans="1:22">
      <c r="B115" s="34"/>
      <c r="C115" s="34"/>
      <c r="D115" s="34"/>
      <c r="E115" s="34"/>
      <c r="F115" s="34"/>
      <c r="G115" s="34"/>
      <c r="H115" s="34"/>
      <c r="I115" s="34"/>
      <c r="J115" s="34"/>
      <c r="K115" s="34"/>
      <c r="L115" s="34"/>
      <c r="M115" s="34"/>
      <c r="N115" s="34"/>
      <c r="O115" s="34"/>
      <c r="P115" s="34"/>
      <c r="Q115" s="34"/>
      <c r="R115" s="34"/>
    </row>
  </sheetData>
  <mergeCells count="1">
    <mergeCell ref="C7:Q7"/>
  </mergeCells>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5"/>
  <sheetViews>
    <sheetView workbookViewId="0">
      <selection activeCell="A39" sqref="A39"/>
    </sheetView>
  </sheetViews>
  <sheetFormatPr defaultColWidth="9" defaultRowHeight="13.15" outlineLevelRow="1"/>
  <cols>
    <col min="1" max="1" width="8.33203125" style="166" customWidth="1"/>
    <col min="2" max="2" width="9.33203125" style="141" bestFit="1" customWidth="1"/>
    <col min="3" max="3" width="9.33203125" style="141" customWidth="1"/>
    <col min="4" max="4" width="26.6640625" style="13" customWidth="1"/>
    <col min="5" max="7" width="17.88671875" style="13" customWidth="1"/>
    <col min="8" max="8" width="1.88671875" style="13" customWidth="1"/>
    <col min="9" max="10" width="13.6640625" style="12" bestFit="1" customWidth="1"/>
    <col min="11" max="11" width="12.88671875" style="13" bestFit="1" customWidth="1"/>
    <col min="12" max="12" width="1.33203125" style="13" hidden="1" customWidth="1"/>
    <col min="13" max="13" width="4.6640625" style="13" hidden="1" customWidth="1"/>
    <col min="14" max="14" width="11.77734375" style="13" hidden="1" customWidth="1"/>
    <col min="15" max="15" width="1.33203125" style="13" customWidth="1"/>
    <col min="16" max="16384" width="9" style="13"/>
  </cols>
  <sheetData>
    <row r="1" spans="1:15">
      <c r="A1" s="153" t="s">
        <v>117</v>
      </c>
    </row>
    <row r="2" spans="1:15">
      <c r="A2" s="139" t="s">
        <v>271</v>
      </c>
    </row>
    <row r="3" spans="1:15">
      <c r="A3" s="140" t="str">
        <f>'PRC JA list'!A3</f>
        <v>For the Period ended 30 June 2020 ("the Period")</v>
      </c>
    </row>
    <row r="4" spans="1:15">
      <c r="A4" s="140"/>
    </row>
    <row r="5" spans="1:15" ht="13.8" thickBot="1">
      <c r="A5" s="154"/>
      <c r="B5" s="155"/>
      <c r="C5" s="155"/>
      <c r="D5" s="156"/>
      <c r="E5" s="325">
        <v>43830</v>
      </c>
      <c r="F5" s="325"/>
      <c r="G5" s="325"/>
      <c r="H5" s="156"/>
      <c r="I5" s="325">
        <v>43830</v>
      </c>
      <c r="J5" s="325"/>
      <c r="K5" s="325"/>
      <c r="L5" s="156"/>
      <c r="M5" s="325">
        <v>42916</v>
      </c>
      <c r="N5" s="325"/>
      <c r="O5" s="156"/>
    </row>
    <row r="6" spans="1:15">
      <c r="A6" s="235"/>
      <c r="B6" s="158"/>
      <c r="C6" s="158"/>
      <c r="D6" s="159"/>
      <c r="E6" s="190" t="s">
        <v>57</v>
      </c>
      <c r="F6" s="190" t="s">
        <v>58</v>
      </c>
      <c r="G6" s="160" t="s">
        <v>59</v>
      </c>
      <c r="H6" s="159"/>
      <c r="I6" s="190" t="s">
        <v>57</v>
      </c>
      <c r="J6" s="190" t="s">
        <v>58</v>
      </c>
      <c r="K6" s="160" t="s">
        <v>59</v>
      </c>
      <c r="L6" s="159"/>
      <c r="M6" s="155" t="s">
        <v>57</v>
      </c>
      <c r="N6" s="160" t="s">
        <v>58</v>
      </c>
      <c r="O6" s="159"/>
    </row>
    <row r="7" spans="1:15">
      <c r="A7" s="157"/>
      <c r="B7" s="161" t="s">
        <v>118</v>
      </c>
      <c r="C7" s="161" t="s">
        <v>1435</v>
      </c>
      <c r="D7" s="13" t="s">
        <v>1436</v>
      </c>
      <c r="I7" s="13"/>
      <c r="J7" s="13"/>
    </row>
    <row r="8" spans="1:15" ht="12.7" hidden="1" customHeight="1" outlineLevel="1">
      <c r="A8" s="191"/>
      <c r="B8" s="108" t="s">
        <v>962</v>
      </c>
      <c r="C8" s="108"/>
      <c r="D8" s="13" t="s">
        <v>972</v>
      </c>
      <c r="E8" s="148"/>
      <c r="F8" s="148"/>
      <c r="G8" s="148"/>
      <c r="I8" s="148"/>
      <c r="J8" s="148"/>
      <c r="K8" s="148"/>
    </row>
    <row r="9" spans="1:15" ht="12.7" hidden="1" customHeight="1" outlineLevel="1">
      <c r="B9" s="108"/>
      <c r="C9" s="108"/>
      <c r="D9" s="13" t="s">
        <v>971</v>
      </c>
      <c r="E9" s="148"/>
      <c r="F9" s="148"/>
      <c r="G9" s="148"/>
      <c r="I9" s="148"/>
      <c r="J9" s="148"/>
      <c r="K9" s="148"/>
    </row>
    <row r="10" spans="1:15" ht="12.7" hidden="1" customHeight="1" outlineLevel="1">
      <c r="B10" s="108"/>
      <c r="C10" s="108"/>
      <c r="D10" s="184" t="s">
        <v>973</v>
      </c>
      <c r="E10" s="148"/>
      <c r="F10" s="148"/>
      <c r="G10" s="148"/>
      <c r="H10" s="183"/>
      <c r="I10" s="148"/>
      <c r="J10" s="148"/>
      <c r="K10" s="148"/>
    </row>
    <row r="11" spans="1:15" ht="12.7" hidden="1" customHeight="1" outlineLevel="1">
      <c r="B11" s="108"/>
      <c r="C11" s="108"/>
      <c r="D11" s="184"/>
      <c r="E11" s="148"/>
      <c r="F11" s="148"/>
      <c r="G11" s="148"/>
      <c r="H11" s="183"/>
      <c r="I11" s="148"/>
      <c r="J11" s="148"/>
      <c r="K11" s="148"/>
    </row>
    <row r="12" spans="1:15" ht="12.05" hidden="1" customHeight="1" outlineLevel="1">
      <c r="A12" s="191"/>
      <c r="B12" s="108" t="s">
        <v>275</v>
      </c>
      <c r="C12" s="108"/>
      <c r="D12" s="151" t="s">
        <v>948</v>
      </c>
      <c r="E12" s="148" t="s">
        <v>1262</v>
      </c>
      <c r="F12" s="148"/>
      <c r="G12" s="148"/>
      <c r="H12" s="168"/>
      <c r="I12" s="148" t="s">
        <v>1262</v>
      </c>
      <c r="J12" s="148"/>
      <c r="K12" s="148"/>
      <c r="L12" s="168"/>
      <c r="M12" s="144"/>
    </row>
    <row r="13" spans="1:15" ht="12.05" hidden="1" customHeight="1" outlineLevel="1">
      <c r="A13" s="146"/>
      <c r="B13" s="108"/>
      <c r="C13" s="108"/>
      <c r="D13" s="151" t="s">
        <v>3</v>
      </c>
      <c r="E13" s="148"/>
      <c r="F13" s="148"/>
      <c r="G13" s="148"/>
      <c r="H13" s="168"/>
      <c r="I13" s="148"/>
      <c r="J13" s="148"/>
      <c r="K13" s="148"/>
      <c r="L13" s="168"/>
      <c r="M13" s="144"/>
    </row>
    <row r="14" spans="1:15" ht="12.05" hidden="1" customHeight="1" outlineLevel="1">
      <c r="A14" s="146"/>
      <c r="B14" s="108"/>
      <c r="C14" s="108"/>
      <c r="D14" s="151" t="s">
        <v>949</v>
      </c>
      <c r="E14" s="148"/>
      <c r="F14" s="148"/>
      <c r="G14" s="148"/>
      <c r="H14" s="168"/>
      <c r="I14" s="148"/>
      <c r="J14" s="148"/>
      <c r="K14" s="148"/>
      <c r="L14" s="168"/>
      <c r="M14" s="144"/>
    </row>
    <row r="15" spans="1:15" ht="12.05" hidden="1" customHeight="1" outlineLevel="1">
      <c r="A15" s="146"/>
      <c r="B15" s="108"/>
      <c r="C15" s="108"/>
      <c r="D15" s="151" t="s">
        <v>950</v>
      </c>
      <c r="E15" s="148"/>
      <c r="F15" s="148"/>
      <c r="G15" s="148"/>
      <c r="H15" s="168"/>
      <c r="I15" s="148"/>
      <c r="J15" s="148"/>
      <c r="K15" s="148"/>
      <c r="L15" s="168"/>
      <c r="M15" s="144"/>
    </row>
    <row r="16" spans="1:15" ht="12.05" hidden="1" customHeight="1" outlineLevel="1">
      <c r="A16" s="146"/>
      <c r="B16" s="108"/>
      <c r="C16" s="108"/>
      <c r="D16" s="151" t="s">
        <v>229</v>
      </c>
      <c r="E16" s="148"/>
      <c r="F16" s="148"/>
      <c r="G16" s="148"/>
      <c r="H16" s="168"/>
      <c r="I16" s="148"/>
      <c r="J16" s="148"/>
      <c r="K16" s="148"/>
      <c r="L16" s="168"/>
      <c r="M16" s="144"/>
    </row>
    <row r="17" spans="1:13" ht="12.05" hidden="1" customHeight="1" outlineLevel="1">
      <c r="A17" s="146"/>
      <c r="B17" s="108"/>
      <c r="C17" s="108"/>
      <c r="D17" s="266" t="s">
        <v>951</v>
      </c>
      <c r="E17" s="148"/>
      <c r="F17" s="168"/>
      <c r="G17" s="168"/>
      <c r="H17" s="168"/>
      <c r="I17" s="148"/>
      <c r="J17" s="168"/>
      <c r="K17" s="168"/>
      <c r="L17" s="168"/>
      <c r="M17" s="144"/>
    </row>
    <row r="18" spans="1:13" ht="12.05" customHeight="1" collapsed="1">
      <c r="A18" s="146"/>
      <c r="B18" s="108"/>
      <c r="C18" s="108"/>
      <c r="D18" s="151"/>
      <c r="E18" s="148"/>
      <c r="F18" s="168"/>
      <c r="G18" s="168"/>
      <c r="H18" s="168"/>
      <c r="I18" s="148"/>
      <c r="J18" s="168"/>
      <c r="K18" s="168"/>
      <c r="L18" s="168"/>
      <c r="M18" s="144"/>
    </row>
    <row r="19" spans="1:13">
      <c r="A19" s="191" t="s">
        <v>240</v>
      </c>
      <c r="B19" s="108" t="s">
        <v>1314</v>
      </c>
      <c r="D19" s="13" t="s">
        <v>966</v>
      </c>
      <c r="G19" s="148">
        <v>1307141.9453758805</v>
      </c>
      <c r="I19" s="13"/>
      <c r="J19" s="13"/>
      <c r="K19" s="148">
        <v>531468.11</v>
      </c>
    </row>
    <row r="20" spans="1:13">
      <c r="B20" s="108"/>
      <c r="C20" s="334" t="s">
        <v>1437</v>
      </c>
      <c r="D20" s="13" t="s">
        <v>3</v>
      </c>
      <c r="E20" s="148">
        <f>-G19</f>
        <v>-1307141.9453758805</v>
      </c>
      <c r="I20" s="148">
        <f>-K19</f>
        <v>-531468.11</v>
      </c>
      <c r="J20" s="13"/>
    </row>
    <row r="21" spans="1:13">
      <c r="B21" s="108"/>
      <c r="C21" s="108"/>
      <c r="D21" s="266" t="s">
        <v>1317</v>
      </c>
      <c r="I21" s="13"/>
      <c r="J21" s="13"/>
    </row>
    <row r="22" spans="1:13">
      <c r="B22" s="108"/>
      <c r="C22" s="108"/>
      <c r="I22" s="13"/>
      <c r="J22" s="13"/>
    </row>
    <row r="23" spans="1:13">
      <c r="A23" s="191" t="s">
        <v>1359</v>
      </c>
      <c r="B23" s="108" t="s">
        <v>1314</v>
      </c>
      <c r="C23" s="108"/>
      <c r="D23" s="13" t="s">
        <v>1361</v>
      </c>
      <c r="E23" s="12" t="s">
        <v>1429</v>
      </c>
      <c r="F23" s="12"/>
      <c r="G23" s="148"/>
      <c r="K23" s="148">
        <v>126817.15741702632</v>
      </c>
    </row>
    <row r="24" spans="1:13">
      <c r="B24" s="108"/>
      <c r="C24" s="108"/>
      <c r="D24" s="13" t="s">
        <v>60</v>
      </c>
      <c r="E24" s="148"/>
      <c r="F24" s="12"/>
      <c r="G24" s="12"/>
      <c r="I24" s="148"/>
      <c r="K24" s="12">
        <v>370497.95570982638</v>
      </c>
    </row>
    <row r="25" spans="1:13">
      <c r="B25" s="108"/>
      <c r="C25" s="108"/>
      <c r="D25" s="13" t="s">
        <v>1360</v>
      </c>
      <c r="E25" s="148"/>
      <c r="F25" s="12"/>
      <c r="G25" s="12"/>
      <c r="I25" s="148"/>
      <c r="K25" s="12">
        <v>166993.37687314645</v>
      </c>
    </row>
    <row r="26" spans="1:13">
      <c r="B26" s="108"/>
      <c r="C26" s="108"/>
      <c r="D26" s="13" t="s">
        <v>15</v>
      </c>
      <c r="E26" s="148"/>
      <c r="F26" s="12"/>
      <c r="G26" s="12"/>
      <c r="I26" s="148">
        <f>-SUM(K23:K26)</f>
        <v>-664308.48999999906</v>
      </c>
      <c r="K26" s="12"/>
    </row>
    <row r="27" spans="1:13">
      <c r="B27" s="108"/>
      <c r="C27" s="108"/>
      <c r="D27" s="266" t="s">
        <v>1358</v>
      </c>
      <c r="E27" s="12"/>
      <c r="F27" s="12"/>
      <c r="G27" s="12"/>
      <c r="K27" s="12"/>
    </row>
    <row r="28" spans="1:13">
      <c r="B28" s="108"/>
      <c r="C28" s="108"/>
    </row>
    <row r="29" spans="1:13">
      <c r="A29" s="191" t="s">
        <v>1428</v>
      </c>
      <c r="B29" s="108" t="s">
        <v>1314</v>
      </c>
      <c r="C29" s="108"/>
      <c r="D29" s="13" t="s">
        <v>1263</v>
      </c>
      <c r="E29" s="12">
        <f>-G30</f>
        <v>-2671939.2200000002</v>
      </c>
      <c r="F29" s="12"/>
      <c r="G29" s="148"/>
      <c r="K29" s="148"/>
    </row>
    <row r="30" spans="1:13">
      <c r="B30" s="108"/>
      <c r="C30" s="108"/>
      <c r="D30" s="13" t="s">
        <v>1431</v>
      </c>
      <c r="E30" s="148"/>
      <c r="F30" s="12"/>
      <c r="G30" s="12">
        <v>2671939.2200000002</v>
      </c>
      <c r="I30" s="148"/>
      <c r="K30" s="12"/>
    </row>
    <row r="31" spans="1:13">
      <c r="B31" s="108"/>
      <c r="C31" s="108"/>
      <c r="D31" s="266" t="s">
        <v>1430</v>
      </c>
      <c r="E31" s="12"/>
      <c r="F31" s="12"/>
      <c r="G31" s="12"/>
      <c r="K31" s="12"/>
    </row>
    <row r="32" spans="1:13">
      <c r="B32" s="108"/>
      <c r="C32" s="108"/>
    </row>
    <row r="33" spans="1:11">
      <c r="B33" s="108"/>
      <c r="C33" s="108"/>
    </row>
    <row r="34" spans="1:11" s="8" customFormat="1">
      <c r="A34" s="192"/>
      <c r="B34" s="108"/>
      <c r="C34" s="108"/>
      <c r="D34" s="8" t="s">
        <v>61</v>
      </c>
      <c r="E34" s="100">
        <f>SUM(E8:E33)</f>
        <v>-3979081.1653758809</v>
      </c>
      <c r="F34" s="100">
        <f>SUM(F8:F33)</f>
        <v>0</v>
      </c>
      <c r="G34" s="100">
        <f>SUM(G8:G33)</f>
        <v>3979081.1653758809</v>
      </c>
      <c r="I34" s="100">
        <f>SUM(I8:I33)</f>
        <v>-1195776.5999999992</v>
      </c>
      <c r="J34" s="100">
        <f>SUM(J8:J33)</f>
        <v>0</v>
      </c>
      <c r="K34" s="100">
        <f>SUM(K8:K33)</f>
        <v>1195776.5999999992</v>
      </c>
    </row>
    <row r="35" spans="1:11" s="180" customFormat="1">
      <c r="A35" s="193"/>
      <c r="B35" s="189"/>
      <c r="C35" s="189"/>
      <c r="D35" s="180" t="s">
        <v>946</v>
      </c>
      <c r="G35" s="179">
        <f>SUM(E34:G34)</f>
        <v>0</v>
      </c>
      <c r="I35" s="179"/>
      <c r="J35" s="179"/>
      <c r="K35" s="179">
        <f>SUM(I34:K34)</f>
        <v>0</v>
      </c>
    </row>
  </sheetData>
  <mergeCells count="3">
    <mergeCell ref="M5:N5"/>
    <mergeCell ref="I5:K5"/>
    <mergeCell ref="E5:G5"/>
  </mergeCells>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32"/>
  <sheetViews>
    <sheetView workbookViewId="0">
      <pane xSplit="2" ySplit="9" topLeftCell="P40" activePane="bottomRight" state="frozen"/>
      <selection activeCell="D24" sqref="D24"/>
      <selection pane="topRight" activeCell="D24" sqref="D24"/>
      <selection pane="bottomLeft" activeCell="D24" sqref="D24"/>
      <selection pane="bottomRight" activeCell="P128" sqref="P128"/>
    </sheetView>
  </sheetViews>
  <sheetFormatPr defaultColWidth="9.109375" defaultRowHeight="13.15" outlineLevelCol="1"/>
  <cols>
    <col min="1" max="1" width="26.33203125" style="76" customWidth="1"/>
    <col min="2" max="2" width="15.6640625" style="76" bestFit="1" customWidth="1"/>
    <col min="3" max="4" width="11.109375" style="76" hidden="1" customWidth="1" outlineLevel="1"/>
    <col min="5" max="5" width="12.6640625" style="76" hidden="1" customWidth="1" outlineLevel="1"/>
    <col min="6" max="6" width="13.21875" style="76" hidden="1" customWidth="1" outlineLevel="1"/>
    <col min="7" max="7" width="15.109375" style="76" hidden="1" customWidth="1" outlineLevel="1"/>
    <col min="8" max="8" width="9.21875" style="76" hidden="1" customWidth="1" outlineLevel="1"/>
    <col min="9" max="9" width="11.109375" style="76" hidden="1" customWidth="1" outlineLevel="1"/>
    <col min="10" max="12" width="12.6640625" style="76" hidden="1" customWidth="1" outlineLevel="1"/>
    <col min="13" max="13" width="11.109375" style="76" hidden="1" customWidth="1" outlineLevel="1"/>
    <col min="14" max="14" width="13.33203125" style="76" hidden="1" customWidth="1" outlineLevel="1"/>
    <col min="15" max="15" width="14.6640625" style="76" hidden="1" customWidth="1" outlineLevel="1"/>
    <col min="16" max="16" width="16.77734375" style="77" customWidth="1" collapsed="1"/>
    <col min="17" max="17" width="9.109375" style="76"/>
    <col min="18" max="18" width="16.88671875" style="76" bestFit="1" customWidth="1"/>
    <col min="19" max="16384" width="9.109375" style="76"/>
  </cols>
  <sheetData>
    <row r="1" spans="1:18">
      <c r="A1" s="8" t="s">
        <v>237</v>
      </c>
      <c r="B1" s="9"/>
      <c r="C1" s="9"/>
      <c r="D1" s="9"/>
      <c r="E1" s="9"/>
      <c r="F1" s="9"/>
      <c r="G1" s="9"/>
      <c r="H1" s="9"/>
      <c r="I1" s="9"/>
      <c r="J1" s="9"/>
      <c r="K1" s="9"/>
      <c r="L1" s="9"/>
      <c r="M1" s="9"/>
      <c r="N1" s="9"/>
      <c r="O1" s="9"/>
      <c r="P1" s="37"/>
      <c r="Q1" s="11"/>
      <c r="R1" s="13"/>
    </row>
    <row r="2" spans="1:18">
      <c r="A2" s="14" t="s">
        <v>305</v>
      </c>
      <c r="B2" s="15"/>
      <c r="C2" s="15"/>
      <c r="D2" s="15"/>
      <c r="E2" s="15"/>
      <c r="F2" s="15"/>
      <c r="G2" s="37"/>
      <c r="H2" s="15"/>
      <c r="I2" s="15"/>
      <c r="J2" s="15"/>
      <c r="K2" s="15"/>
      <c r="L2" s="15"/>
      <c r="M2" s="15"/>
      <c r="N2" s="15"/>
      <c r="O2" s="15"/>
      <c r="P2" s="37"/>
      <c r="Q2" s="11"/>
      <c r="R2" s="13"/>
    </row>
    <row r="3" spans="1:18">
      <c r="A3" s="16" t="s">
        <v>1</v>
      </c>
      <c r="B3" s="17"/>
      <c r="C3" s="17"/>
      <c r="D3" s="17"/>
      <c r="E3" s="17"/>
      <c r="F3" s="17"/>
      <c r="G3" s="68"/>
      <c r="H3" s="17"/>
      <c r="I3" s="17"/>
      <c r="J3" s="17"/>
      <c r="K3" s="17"/>
      <c r="L3" s="17"/>
      <c r="M3" s="17"/>
      <c r="N3" s="17"/>
      <c r="O3" s="17"/>
      <c r="P3" s="68"/>
      <c r="Q3" s="11"/>
      <c r="R3" s="13"/>
    </row>
    <row r="4" spans="1:18">
      <c r="A4" s="16" t="s">
        <v>2</v>
      </c>
      <c r="B4" s="9"/>
      <c r="C4" s="9"/>
      <c r="D4" s="9"/>
      <c r="E4" s="9"/>
      <c r="F4" s="37"/>
      <c r="G4" s="37"/>
      <c r="H4" s="9"/>
      <c r="I4" s="9"/>
      <c r="J4" s="9"/>
      <c r="K4" s="9"/>
      <c r="L4" s="9"/>
      <c r="M4" s="9"/>
      <c r="N4" s="9"/>
      <c r="O4" s="9"/>
      <c r="P4" s="37">
        <f>COLUMN()</f>
        <v>16</v>
      </c>
      <c r="Q4" s="11"/>
      <c r="R4" s="13"/>
    </row>
    <row r="5" spans="1:18">
      <c r="A5" s="16"/>
      <c r="B5" s="9"/>
      <c r="C5" s="9"/>
      <c r="D5" s="9"/>
      <c r="E5" s="9"/>
      <c r="F5" s="9"/>
      <c r="G5" s="37"/>
      <c r="H5" s="9"/>
      <c r="I5" s="9"/>
      <c r="J5" s="9"/>
      <c r="K5" s="9"/>
      <c r="L5" s="9"/>
      <c r="M5" s="9"/>
      <c r="N5" s="9"/>
      <c r="O5" s="9"/>
      <c r="P5" s="37"/>
      <c r="Q5" s="11"/>
      <c r="R5" s="13"/>
    </row>
    <row r="6" spans="1:18">
      <c r="A6" s="18" t="s">
        <v>166</v>
      </c>
      <c r="B6" s="19"/>
      <c r="C6" s="19"/>
      <c r="D6" s="19"/>
      <c r="E6" s="19"/>
      <c r="F6" s="19"/>
      <c r="G6" s="19"/>
      <c r="H6" s="19"/>
      <c r="I6" s="19"/>
      <c r="J6" s="19"/>
      <c r="K6" s="19"/>
      <c r="L6" s="19"/>
      <c r="M6" s="19"/>
      <c r="N6" s="19"/>
      <c r="O6" s="19"/>
      <c r="P6" s="39"/>
      <c r="Q6" s="11"/>
      <c r="R6" s="13"/>
    </row>
    <row r="7" spans="1:18">
      <c r="A7" s="20"/>
      <c r="B7" s="229">
        <v>43100</v>
      </c>
      <c r="C7" s="229"/>
      <c r="D7" s="229"/>
      <c r="E7" s="229"/>
      <c r="F7" s="229"/>
      <c r="G7" s="229"/>
      <c r="H7" s="229"/>
      <c r="I7" s="229"/>
      <c r="J7" s="229"/>
      <c r="K7" s="229"/>
      <c r="L7" s="229"/>
      <c r="M7" s="229"/>
      <c r="N7" s="229"/>
      <c r="O7" s="229"/>
      <c r="P7" s="223">
        <v>43100</v>
      </c>
      <c r="Q7" s="11"/>
      <c r="R7" s="13"/>
    </row>
    <row r="8" spans="1:18" ht="26.3">
      <c r="A8" s="22"/>
      <c r="B8" s="23" t="s">
        <v>62</v>
      </c>
      <c r="C8" s="24" t="s">
        <v>29</v>
      </c>
      <c r="D8" s="24" t="s">
        <v>63</v>
      </c>
      <c r="E8" s="25" t="s">
        <v>30</v>
      </c>
      <c r="F8" s="25" t="s">
        <v>186</v>
      </c>
      <c r="G8" s="25" t="s">
        <v>187</v>
      </c>
      <c r="H8" s="25" t="s">
        <v>188</v>
      </c>
      <c r="I8" s="25" t="s">
        <v>189</v>
      </c>
      <c r="J8" s="25" t="s">
        <v>230</v>
      </c>
      <c r="K8" s="25" t="s">
        <v>231</v>
      </c>
      <c r="L8" s="25" t="s">
        <v>236</v>
      </c>
      <c r="M8" s="25" t="s">
        <v>238</v>
      </c>
      <c r="N8" s="25" t="s">
        <v>1037</v>
      </c>
      <c r="O8" s="25" t="s">
        <v>1038</v>
      </c>
      <c r="P8" s="221" t="s">
        <v>31</v>
      </c>
      <c r="Q8" s="27" t="s">
        <v>64</v>
      </c>
      <c r="R8" s="13"/>
    </row>
    <row r="9" spans="1:18">
      <c r="A9" s="28"/>
      <c r="B9" s="29"/>
      <c r="C9" s="29"/>
      <c r="D9" s="29"/>
      <c r="E9" s="29"/>
      <c r="F9" s="29"/>
      <c r="G9" s="29"/>
      <c r="H9" s="29"/>
      <c r="I9" s="29"/>
      <c r="J9" s="29"/>
      <c r="K9" s="29"/>
      <c r="L9" s="29"/>
      <c r="M9" s="29"/>
      <c r="N9" s="29"/>
      <c r="O9" s="29"/>
      <c r="P9" s="222"/>
      <c r="Q9" s="11"/>
      <c r="R9" s="13"/>
    </row>
    <row r="10" spans="1:18">
      <c r="A10" s="30" t="s">
        <v>65</v>
      </c>
      <c r="B10" s="31">
        <v>17037464.82</v>
      </c>
      <c r="C10" s="31"/>
      <c r="D10" s="31"/>
      <c r="E10" s="31"/>
      <c r="F10" s="31"/>
      <c r="G10" s="31"/>
      <c r="H10" s="31"/>
      <c r="I10" s="31"/>
      <c r="J10" s="31"/>
      <c r="K10" s="31"/>
      <c r="L10" s="31"/>
      <c r="M10" s="31"/>
      <c r="N10" s="31"/>
      <c r="O10" s="31"/>
      <c r="P10" s="31">
        <f>SUM(B10:O10)</f>
        <v>17037464.82</v>
      </c>
      <c r="Q10" s="27" t="s">
        <v>178</v>
      </c>
      <c r="R10" s="13"/>
    </row>
    <row r="11" spans="1:18">
      <c r="A11" s="30" t="s">
        <v>66</v>
      </c>
      <c r="B11" s="31"/>
      <c r="C11" s="31"/>
      <c r="D11" s="31"/>
      <c r="E11" s="31"/>
      <c r="F11" s="31"/>
      <c r="G11" s="31"/>
      <c r="H11" s="31"/>
      <c r="I11" s="31"/>
      <c r="J11" s="31"/>
      <c r="K11" s="31"/>
      <c r="L11" s="31"/>
      <c r="M11" s="31"/>
      <c r="N11" s="31"/>
      <c r="O11" s="31"/>
      <c r="P11" s="31">
        <f t="shared" ref="P11:P32" si="0">SUM(B11:O11)</f>
        <v>0</v>
      </c>
      <c r="Q11" s="11"/>
      <c r="R11" s="13"/>
    </row>
    <row r="12" spans="1:18">
      <c r="A12" s="30" t="s">
        <v>67</v>
      </c>
      <c r="B12" s="31">
        <v>22009455.039999999</v>
      </c>
      <c r="C12" s="31"/>
      <c r="D12" s="31"/>
      <c r="E12" s="31"/>
      <c r="F12" s="31"/>
      <c r="G12" s="31"/>
      <c r="H12" s="31"/>
      <c r="I12" s="31"/>
      <c r="J12" s="31"/>
      <c r="K12" s="31"/>
      <c r="L12" s="31"/>
      <c r="M12" s="31"/>
      <c r="N12" s="31"/>
      <c r="O12" s="31"/>
      <c r="P12" s="31">
        <f t="shared" si="0"/>
        <v>22009455.039999999</v>
      </c>
      <c r="Q12" s="27" t="s">
        <v>178</v>
      </c>
      <c r="R12" s="13"/>
    </row>
    <row r="13" spans="1:18">
      <c r="A13" s="30" t="s">
        <v>33</v>
      </c>
      <c r="B13" s="31"/>
      <c r="C13" s="31"/>
      <c r="D13" s="31"/>
      <c r="E13" s="31"/>
      <c r="F13" s="31"/>
      <c r="G13" s="31"/>
      <c r="H13" s="31"/>
      <c r="I13" s="31"/>
      <c r="J13" s="31"/>
      <c r="K13" s="31"/>
      <c r="L13" s="31"/>
      <c r="M13" s="31"/>
      <c r="N13" s="31"/>
      <c r="O13" s="31"/>
      <c r="P13" s="31">
        <f t="shared" si="0"/>
        <v>0</v>
      </c>
      <c r="Q13" s="27"/>
      <c r="R13" s="13"/>
    </row>
    <row r="14" spans="1:18">
      <c r="A14" s="33" t="s">
        <v>3</v>
      </c>
      <c r="B14" s="31">
        <v>58766268.719999999</v>
      </c>
      <c r="C14" s="31"/>
      <c r="D14" s="31"/>
      <c r="E14" s="31"/>
      <c r="F14" s="31"/>
      <c r="G14" s="31"/>
      <c r="H14" s="31"/>
      <c r="I14" s="31"/>
      <c r="J14" s="31"/>
      <c r="K14" s="31"/>
      <c r="L14" s="31"/>
      <c r="M14" s="31"/>
      <c r="N14" s="31"/>
      <c r="O14" s="31"/>
      <c r="P14" s="31">
        <f t="shared" si="0"/>
        <v>58766268.719999999</v>
      </c>
      <c r="Q14" s="27" t="s">
        <v>179</v>
      </c>
      <c r="R14" s="12">
        <f>P14+P15</f>
        <v>58388006.460000001</v>
      </c>
    </row>
    <row r="15" spans="1:18">
      <c r="A15" s="30" t="s">
        <v>4</v>
      </c>
      <c r="B15" s="31">
        <v>-378262.26</v>
      </c>
      <c r="C15" s="31"/>
      <c r="D15" s="31"/>
      <c r="E15" s="31"/>
      <c r="F15" s="31"/>
      <c r="G15" s="31"/>
      <c r="H15" s="31"/>
      <c r="I15" s="31"/>
      <c r="J15" s="31"/>
      <c r="K15" s="31"/>
      <c r="L15" s="31"/>
      <c r="M15" s="31"/>
      <c r="N15" s="31"/>
      <c r="O15" s="31"/>
      <c r="P15" s="31">
        <f t="shared" si="0"/>
        <v>-378262.26</v>
      </c>
      <c r="Q15" s="27" t="s">
        <v>179</v>
      </c>
      <c r="R15" s="12">
        <f>R14+P12</f>
        <v>80397461.5</v>
      </c>
    </row>
    <row r="16" spans="1:18">
      <c r="A16" s="30" t="s">
        <v>5</v>
      </c>
      <c r="B16" s="31">
        <v>10536372.949999999</v>
      </c>
      <c r="C16" s="31"/>
      <c r="D16" s="31"/>
      <c r="E16" s="31"/>
      <c r="F16" s="31"/>
      <c r="G16" s="31"/>
      <c r="H16" s="31"/>
      <c r="I16" s="31"/>
      <c r="J16" s="31"/>
      <c r="K16" s="31"/>
      <c r="L16" s="31"/>
      <c r="M16" s="31"/>
      <c r="N16" s="31"/>
      <c r="O16" s="31"/>
      <c r="P16" s="31">
        <f t="shared" si="0"/>
        <v>10536372.949999999</v>
      </c>
      <c r="Q16" s="27" t="s">
        <v>179</v>
      </c>
      <c r="R16" s="13"/>
    </row>
    <row r="17" spans="1:18">
      <c r="A17" s="30" t="s">
        <v>34</v>
      </c>
      <c r="B17" s="31">
        <v>8033495.4699999997</v>
      </c>
      <c r="C17" s="31"/>
      <c r="D17" s="31"/>
      <c r="E17" s="31"/>
      <c r="F17" s="31">
        <v>-2638400</v>
      </c>
      <c r="G17" s="31"/>
      <c r="H17" s="31"/>
      <c r="I17" s="31"/>
      <c r="J17" s="31"/>
      <c r="K17" s="31"/>
      <c r="L17" s="31"/>
      <c r="M17" s="31"/>
      <c r="N17" s="31"/>
      <c r="O17" s="31"/>
      <c r="P17" s="31">
        <f t="shared" si="0"/>
        <v>5395095.4699999997</v>
      </c>
      <c r="Q17" s="27" t="s">
        <v>179</v>
      </c>
      <c r="R17" s="13"/>
    </row>
    <row r="18" spans="1:18">
      <c r="A18" s="30" t="s">
        <v>68</v>
      </c>
      <c r="B18" s="31"/>
      <c r="C18" s="31"/>
      <c r="D18" s="31"/>
      <c r="E18" s="31"/>
      <c r="F18" s="31"/>
      <c r="G18" s="31"/>
      <c r="H18" s="31"/>
      <c r="I18" s="31"/>
      <c r="J18" s="31"/>
      <c r="K18" s="31"/>
      <c r="L18" s="31"/>
      <c r="M18" s="31"/>
      <c r="N18" s="31"/>
      <c r="O18" s="31"/>
      <c r="P18" s="31">
        <f t="shared" si="0"/>
        <v>0</v>
      </c>
      <c r="Q18" s="27"/>
      <c r="R18" s="13"/>
    </row>
    <row r="19" spans="1:18">
      <c r="A19" s="30" t="s">
        <v>35</v>
      </c>
      <c r="B19" s="31">
        <v>96152437.199999988</v>
      </c>
      <c r="C19" s="31"/>
      <c r="D19" s="31"/>
      <c r="E19" s="31"/>
      <c r="F19" s="31"/>
      <c r="G19" s="31">
        <v>560965.28</v>
      </c>
      <c r="H19" s="31"/>
      <c r="I19" s="31"/>
      <c r="J19" s="31"/>
      <c r="K19" s="31">
        <v>-2784221.28</v>
      </c>
      <c r="L19" s="31"/>
      <c r="M19" s="31"/>
      <c r="N19" s="31"/>
      <c r="O19" s="31"/>
      <c r="P19" s="31">
        <f>SUM(B19:O19)</f>
        <v>93929181.199999988</v>
      </c>
      <c r="Q19" s="27" t="s">
        <v>180</v>
      </c>
      <c r="R19" s="12">
        <v>91133304.819999993</v>
      </c>
    </row>
    <row r="20" spans="1:18">
      <c r="A20" s="30" t="s">
        <v>36</v>
      </c>
      <c r="B20" s="31">
        <v>-2795876.38</v>
      </c>
      <c r="C20" s="31"/>
      <c r="D20" s="31"/>
      <c r="E20" s="31"/>
      <c r="F20" s="31"/>
      <c r="G20" s="31"/>
      <c r="H20" s="31"/>
      <c r="I20" s="31"/>
      <c r="J20" s="31"/>
      <c r="K20" s="31"/>
      <c r="L20" s="31"/>
      <c r="M20" s="31"/>
      <c r="N20" s="31"/>
      <c r="O20" s="31"/>
      <c r="P20" s="31">
        <f t="shared" si="0"/>
        <v>-2795876.38</v>
      </c>
      <c r="Q20" s="27" t="s">
        <v>180</v>
      </c>
      <c r="R20" s="13"/>
    </row>
    <row r="21" spans="1:18">
      <c r="A21" s="30" t="s">
        <v>6</v>
      </c>
      <c r="B21" s="31">
        <v>1012478.63</v>
      </c>
      <c r="C21" s="31"/>
      <c r="D21" s="31"/>
      <c r="E21" s="31"/>
      <c r="F21" s="31"/>
      <c r="G21" s="31"/>
      <c r="H21" s="31"/>
      <c r="I21" s="31"/>
      <c r="J21" s="31"/>
      <c r="K21" s="31"/>
      <c r="L21" s="31"/>
      <c r="M21" s="31"/>
      <c r="N21" s="31">
        <f>'PRC JA list'!H82</f>
        <v>0</v>
      </c>
      <c r="O21" s="31"/>
      <c r="P21" s="31">
        <f t="shared" si="0"/>
        <v>1012478.63</v>
      </c>
      <c r="Q21" s="27" t="s">
        <v>179</v>
      </c>
      <c r="R21" s="13"/>
    </row>
    <row r="22" spans="1:18">
      <c r="A22" s="16" t="s">
        <v>7</v>
      </c>
      <c r="B22" s="35">
        <v>210373834.19</v>
      </c>
      <c r="C22" s="35">
        <v>0</v>
      </c>
      <c r="D22" s="35">
        <v>0</v>
      </c>
      <c r="E22" s="35">
        <v>0</v>
      </c>
      <c r="F22" s="35">
        <v>-2638400</v>
      </c>
      <c r="G22" s="35">
        <v>560965.28</v>
      </c>
      <c r="H22" s="35">
        <v>0</v>
      </c>
      <c r="I22" s="35">
        <v>0</v>
      </c>
      <c r="J22" s="35">
        <v>0</v>
      </c>
      <c r="K22" s="35">
        <v>-2784221.28</v>
      </c>
      <c r="L22" s="35">
        <v>0</v>
      </c>
      <c r="M22" s="35">
        <v>0</v>
      </c>
      <c r="N22" s="35">
        <v>0</v>
      </c>
      <c r="O22" s="35">
        <v>0</v>
      </c>
      <c r="P22" s="35">
        <f>SUM(P10:P21)</f>
        <v>205512178.19</v>
      </c>
      <c r="Q22" s="27"/>
      <c r="R22" s="13"/>
    </row>
    <row r="23" spans="1:18">
      <c r="A23" s="16"/>
      <c r="B23" s="37"/>
      <c r="C23" s="37"/>
      <c r="D23" s="37"/>
      <c r="E23" s="37"/>
      <c r="F23" s="37"/>
      <c r="G23" s="37"/>
      <c r="H23" s="37"/>
      <c r="I23" s="37"/>
      <c r="J23" s="37"/>
      <c r="K23" s="37"/>
      <c r="L23" s="37"/>
      <c r="M23" s="37"/>
      <c r="N23" s="37"/>
      <c r="O23" s="37"/>
      <c r="P23" s="37">
        <v>0</v>
      </c>
      <c r="Q23" s="27"/>
      <c r="R23" s="13"/>
    </row>
    <row r="24" spans="1:18">
      <c r="A24" s="30" t="s">
        <v>71</v>
      </c>
      <c r="B24" s="31"/>
      <c r="C24" s="31"/>
      <c r="D24" s="31"/>
      <c r="E24" s="31"/>
      <c r="F24" s="31"/>
      <c r="G24" s="31"/>
      <c r="H24" s="31"/>
      <c r="I24" s="31"/>
      <c r="J24" s="31"/>
      <c r="K24" s="31"/>
      <c r="L24" s="31"/>
      <c r="M24" s="31"/>
      <c r="N24" s="31"/>
      <c r="O24" s="31"/>
      <c r="P24" s="31">
        <f t="shared" si="0"/>
        <v>0</v>
      </c>
      <c r="Q24" s="27"/>
      <c r="R24" s="13"/>
    </row>
    <row r="25" spans="1:18">
      <c r="A25" s="30" t="s">
        <v>37</v>
      </c>
      <c r="B25" s="31"/>
      <c r="C25" s="31"/>
      <c r="D25" s="31"/>
      <c r="E25" s="31"/>
      <c r="F25" s="31"/>
      <c r="G25" s="31"/>
      <c r="H25" s="31"/>
      <c r="I25" s="31"/>
      <c r="J25" s="31"/>
      <c r="K25" s="31"/>
      <c r="L25" s="31"/>
      <c r="M25" s="31"/>
      <c r="N25" s="31"/>
      <c r="O25" s="31"/>
      <c r="P25" s="31">
        <f t="shared" si="0"/>
        <v>0</v>
      </c>
      <c r="Q25" s="27"/>
      <c r="R25" s="13"/>
    </row>
    <row r="26" spans="1:18">
      <c r="A26" s="16" t="s">
        <v>38</v>
      </c>
      <c r="B26" s="38"/>
      <c r="C26" s="38"/>
      <c r="D26" s="38"/>
      <c r="E26" s="38"/>
      <c r="F26" s="38"/>
      <c r="G26" s="38"/>
      <c r="H26" s="38"/>
      <c r="I26" s="38"/>
      <c r="J26" s="38"/>
      <c r="K26" s="38"/>
      <c r="L26" s="38"/>
      <c r="M26" s="38"/>
      <c r="N26" s="38"/>
      <c r="O26" s="38"/>
      <c r="P26" s="38">
        <f t="shared" si="0"/>
        <v>0</v>
      </c>
      <c r="Q26" s="27"/>
      <c r="R26" s="13"/>
    </row>
    <row r="27" spans="1:18">
      <c r="A27" s="30"/>
      <c r="B27" s="39"/>
      <c r="C27" s="39"/>
      <c r="D27" s="39"/>
      <c r="E27" s="39"/>
      <c r="F27" s="39"/>
      <c r="G27" s="39"/>
      <c r="H27" s="39"/>
      <c r="I27" s="39"/>
      <c r="J27" s="39"/>
      <c r="K27" s="39"/>
      <c r="L27" s="39"/>
      <c r="M27" s="39"/>
      <c r="N27" s="39"/>
      <c r="O27" s="39"/>
      <c r="P27" s="39">
        <v>0</v>
      </c>
      <c r="Q27" s="27"/>
      <c r="R27" s="13"/>
    </row>
    <row r="28" spans="1:18">
      <c r="A28" s="30" t="s">
        <v>8</v>
      </c>
      <c r="B28" s="31">
        <v>370198943.54000008</v>
      </c>
      <c r="C28" s="31"/>
      <c r="D28" s="31"/>
      <c r="E28" s="31"/>
      <c r="F28" s="31"/>
      <c r="G28" s="31"/>
      <c r="H28" s="31"/>
      <c r="I28" s="31"/>
      <c r="J28" s="31"/>
      <c r="K28" s="31"/>
      <c r="L28" s="31"/>
      <c r="M28" s="31"/>
      <c r="N28" s="31"/>
      <c r="O28" s="31"/>
      <c r="P28" s="31">
        <f t="shared" si="0"/>
        <v>370198943.54000008</v>
      </c>
      <c r="Q28" s="27" t="s">
        <v>178</v>
      </c>
      <c r="R28" s="13"/>
    </row>
    <row r="29" spans="1:18">
      <c r="A29" s="30" t="s">
        <v>74</v>
      </c>
      <c r="B29" s="40">
        <v>-30980486.400000013</v>
      </c>
      <c r="C29" s="40"/>
      <c r="D29" s="40"/>
      <c r="E29" s="40"/>
      <c r="F29" s="40"/>
      <c r="G29" s="40"/>
      <c r="H29" s="40"/>
      <c r="I29" s="40"/>
      <c r="J29" s="40"/>
      <c r="K29" s="40"/>
      <c r="L29" s="40"/>
      <c r="M29" s="40"/>
      <c r="N29" s="40"/>
      <c r="O29" s="40"/>
      <c r="P29" s="40">
        <f t="shared" si="0"/>
        <v>-30980486.400000013</v>
      </c>
      <c r="Q29" s="27" t="s">
        <v>178</v>
      </c>
      <c r="R29" s="13"/>
    </row>
    <row r="30" spans="1:18">
      <c r="A30" s="42" t="s">
        <v>40</v>
      </c>
      <c r="B30" s="43">
        <v>339218457.14000005</v>
      </c>
      <c r="C30" s="43"/>
      <c r="D30" s="43"/>
      <c r="E30" s="43"/>
      <c r="F30" s="43"/>
      <c r="G30" s="43"/>
      <c r="H30" s="43"/>
      <c r="I30" s="43"/>
      <c r="J30" s="43"/>
      <c r="K30" s="43"/>
      <c r="L30" s="43"/>
      <c r="M30" s="43"/>
      <c r="N30" s="43"/>
      <c r="O30" s="43"/>
      <c r="P30" s="43">
        <f>SUM(B30:O30)</f>
        <v>339218457.14000005</v>
      </c>
      <c r="Q30" s="27"/>
      <c r="R30" s="12"/>
    </row>
    <row r="31" spans="1:18">
      <c r="A31" s="30" t="s">
        <v>76</v>
      </c>
      <c r="B31" s="40"/>
      <c r="C31" s="40"/>
      <c r="D31" s="40"/>
      <c r="E31" s="40"/>
      <c r="F31" s="40"/>
      <c r="G31" s="40"/>
      <c r="H31" s="40"/>
      <c r="I31" s="40"/>
      <c r="J31" s="40"/>
      <c r="K31" s="40"/>
      <c r="L31" s="40"/>
      <c r="M31" s="40"/>
      <c r="N31" s="40"/>
      <c r="O31" s="40"/>
      <c r="P31" s="40">
        <v>0</v>
      </c>
      <c r="Q31" s="27"/>
      <c r="R31" s="13"/>
    </row>
    <row r="32" spans="1:18">
      <c r="A32" s="30" t="s">
        <v>41</v>
      </c>
      <c r="B32" s="39">
        <v>339218457.14000005</v>
      </c>
      <c r="C32" s="39"/>
      <c r="D32" s="39"/>
      <c r="E32" s="39"/>
      <c r="F32" s="39"/>
      <c r="G32" s="39"/>
      <c r="H32" s="39"/>
      <c r="I32" s="39"/>
      <c r="J32" s="39"/>
      <c r="K32" s="39"/>
      <c r="L32" s="39"/>
      <c r="M32" s="39"/>
      <c r="N32" s="39"/>
      <c r="O32" s="39"/>
      <c r="P32" s="39">
        <f t="shared" si="0"/>
        <v>339218457.14000005</v>
      </c>
      <c r="Q32" s="27"/>
      <c r="R32" s="13"/>
    </row>
    <row r="33" spans="1:18">
      <c r="A33" s="16"/>
      <c r="B33" s="37"/>
      <c r="C33" s="37"/>
      <c r="D33" s="37"/>
      <c r="E33" s="37"/>
      <c r="F33" s="37"/>
      <c r="G33" s="37"/>
      <c r="H33" s="37"/>
      <c r="I33" s="37"/>
      <c r="J33" s="37"/>
      <c r="K33" s="37"/>
      <c r="L33" s="37"/>
      <c r="M33" s="37"/>
      <c r="N33" s="37"/>
      <c r="O33" s="37"/>
      <c r="P33" s="37"/>
      <c r="Q33" s="27"/>
      <c r="R33" s="13"/>
    </row>
    <row r="34" spans="1:18">
      <c r="A34" s="30" t="s">
        <v>9</v>
      </c>
      <c r="B34" s="39"/>
      <c r="C34" s="39"/>
      <c r="D34" s="39"/>
      <c r="E34" s="39"/>
      <c r="F34" s="39"/>
      <c r="G34" s="39"/>
      <c r="H34" s="39"/>
      <c r="I34" s="39"/>
      <c r="J34" s="39"/>
      <c r="K34" s="39"/>
      <c r="L34" s="39"/>
      <c r="M34" s="39"/>
      <c r="N34" s="39"/>
      <c r="O34" s="39"/>
      <c r="P34" s="39">
        <f>SUM(B34:O34)</f>
        <v>0</v>
      </c>
      <c r="Q34" s="27"/>
      <c r="R34" s="13"/>
    </row>
    <row r="35" spans="1:18">
      <c r="A35" s="30" t="s">
        <v>10</v>
      </c>
      <c r="B35" s="31">
        <v>25808706.789999999</v>
      </c>
      <c r="C35" s="31"/>
      <c r="D35" s="31"/>
      <c r="E35" s="31"/>
      <c r="F35" s="31">
        <v>2638400</v>
      </c>
      <c r="G35" s="31"/>
      <c r="H35" s="31"/>
      <c r="I35" s="31"/>
      <c r="J35" s="31"/>
      <c r="K35" s="31"/>
      <c r="L35" s="31"/>
      <c r="M35" s="31"/>
      <c r="N35" s="31"/>
      <c r="O35" s="31"/>
      <c r="P35" s="31">
        <f>SUM(B35:O35)</f>
        <v>28447106.789999999</v>
      </c>
      <c r="Q35" s="27" t="s">
        <v>178</v>
      </c>
      <c r="R35" s="13"/>
    </row>
    <row r="36" spans="1:18">
      <c r="A36" s="30"/>
      <c r="B36" s="40"/>
      <c r="C36" s="40"/>
      <c r="D36" s="40"/>
      <c r="E36" s="40"/>
      <c r="F36" s="40"/>
      <c r="G36" s="40"/>
      <c r="H36" s="40"/>
      <c r="I36" s="40"/>
      <c r="J36" s="40"/>
      <c r="K36" s="40"/>
      <c r="L36" s="40"/>
      <c r="M36" s="40"/>
      <c r="N36" s="40"/>
      <c r="O36" s="40"/>
      <c r="P36" s="40">
        <f>SUM(B36:O36)</f>
        <v>0</v>
      </c>
      <c r="Q36" s="27"/>
      <c r="R36" s="13"/>
    </row>
    <row r="37" spans="1:18">
      <c r="A37" s="16" t="s">
        <v>42</v>
      </c>
      <c r="B37" s="35">
        <v>365027163.93000001</v>
      </c>
      <c r="C37" s="35">
        <v>0</v>
      </c>
      <c r="D37" s="35">
        <v>0</v>
      </c>
      <c r="E37" s="35">
        <v>0</v>
      </c>
      <c r="F37" s="35">
        <v>2638400</v>
      </c>
      <c r="G37" s="35">
        <v>0</v>
      </c>
      <c r="H37" s="35">
        <v>0</v>
      </c>
      <c r="I37" s="35">
        <v>0</v>
      </c>
      <c r="J37" s="35">
        <v>0</v>
      </c>
      <c r="K37" s="35">
        <v>0</v>
      </c>
      <c r="L37" s="35">
        <v>0</v>
      </c>
      <c r="M37" s="35">
        <v>0</v>
      </c>
      <c r="N37" s="35">
        <v>0</v>
      </c>
      <c r="O37" s="35">
        <v>0</v>
      </c>
      <c r="P37" s="35">
        <f>SUM(B37:O37)</f>
        <v>367665563.93000001</v>
      </c>
      <c r="Q37" s="27"/>
      <c r="R37" s="13">
        <f>P32+P35+P39+P46</f>
        <v>433312092.81650007</v>
      </c>
    </row>
    <row r="38" spans="1:18">
      <c r="A38" s="30"/>
      <c r="B38" s="39"/>
      <c r="C38" s="39"/>
      <c r="D38" s="39"/>
      <c r="E38" s="39"/>
      <c r="F38" s="39"/>
      <c r="G38" s="39"/>
      <c r="H38" s="39"/>
      <c r="I38" s="39"/>
      <c r="J38" s="39"/>
      <c r="K38" s="39"/>
      <c r="L38" s="39"/>
      <c r="M38" s="39"/>
      <c r="N38" s="39"/>
      <c r="O38" s="39"/>
      <c r="P38" s="39">
        <v>0</v>
      </c>
      <c r="Q38" s="27"/>
      <c r="R38" s="13"/>
    </row>
    <row r="39" spans="1:18">
      <c r="A39" s="30" t="s">
        <v>78</v>
      </c>
      <c r="B39" s="31">
        <v>50751422.380000003</v>
      </c>
      <c r="C39" s="31"/>
      <c r="D39" s="31"/>
      <c r="E39" s="31"/>
      <c r="F39" s="31"/>
      <c r="G39" s="31"/>
      <c r="H39" s="31"/>
      <c r="I39" s="31"/>
      <c r="J39" s="31"/>
      <c r="K39" s="31"/>
      <c r="L39" s="31"/>
      <c r="M39" s="31"/>
      <c r="N39" s="31"/>
      <c r="O39" s="31"/>
      <c r="P39" s="31">
        <f>SUM(B39:O39)</f>
        <v>50751422.380000003</v>
      </c>
      <c r="Q39" s="27" t="s">
        <v>178</v>
      </c>
      <c r="R39" s="13"/>
    </row>
    <row r="40" spans="1:18">
      <c r="A40" s="30" t="s">
        <v>11</v>
      </c>
      <c r="B40" s="39"/>
      <c r="C40" s="39"/>
      <c r="D40" s="39"/>
      <c r="E40" s="39"/>
      <c r="F40" s="39"/>
      <c r="G40" s="39"/>
      <c r="H40" s="39"/>
      <c r="I40" s="39"/>
      <c r="J40" s="39"/>
      <c r="K40" s="39"/>
      <c r="L40" s="39"/>
      <c r="M40" s="39"/>
      <c r="N40" s="39"/>
      <c r="O40" s="39"/>
      <c r="P40" s="39">
        <f>SUM(B40:O40)</f>
        <v>0</v>
      </c>
      <c r="Q40" s="27"/>
      <c r="R40" s="34"/>
    </row>
    <row r="41" spans="1:18">
      <c r="A41" s="30" t="s">
        <v>43</v>
      </c>
      <c r="B41" s="40"/>
      <c r="C41" s="40"/>
      <c r="D41" s="40"/>
      <c r="E41" s="40"/>
      <c r="F41" s="40"/>
      <c r="G41" s="40"/>
      <c r="H41" s="40"/>
      <c r="I41" s="40"/>
      <c r="J41" s="40"/>
      <c r="K41" s="40"/>
      <c r="L41" s="40"/>
      <c r="M41" s="40"/>
      <c r="N41" s="40"/>
      <c r="O41" s="40"/>
      <c r="P41" s="40">
        <f>SUM(B41:O41)</f>
        <v>0</v>
      </c>
      <c r="Q41" s="27"/>
      <c r="R41" s="34">
        <f>R37+P22</f>
        <v>638824271.00650001</v>
      </c>
    </row>
    <row r="42" spans="1:18">
      <c r="A42" s="16" t="s">
        <v>44</v>
      </c>
      <c r="B42" s="38">
        <v>50751422.380000003</v>
      </c>
      <c r="C42" s="38">
        <v>0</v>
      </c>
      <c r="D42" s="38">
        <v>0</v>
      </c>
      <c r="E42" s="38">
        <v>0</v>
      </c>
      <c r="F42" s="38">
        <v>0</v>
      </c>
      <c r="G42" s="38">
        <v>0</v>
      </c>
      <c r="H42" s="38">
        <v>0</v>
      </c>
      <c r="I42" s="38">
        <v>0</v>
      </c>
      <c r="J42" s="38">
        <v>0</v>
      </c>
      <c r="K42" s="38">
        <v>0</v>
      </c>
      <c r="L42" s="38">
        <v>0</v>
      </c>
      <c r="M42" s="38">
        <v>0</v>
      </c>
      <c r="N42" s="38">
        <v>0</v>
      </c>
      <c r="O42" s="38">
        <v>0</v>
      </c>
      <c r="P42" s="38">
        <f>SUM(B42:O42)</f>
        <v>50751422.380000003</v>
      </c>
      <c r="Q42" s="27"/>
      <c r="R42" s="34"/>
    </row>
    <row r="43" spans="1:18">
      <c r="A43" s="30"/>
      <c r="B43" s="31"/>
      <c r="C43" s="31"/>
      <c r="D43" s="31"/>
      <c r="E43" s="31"/>
      <c r="F43" s="31"/>
      <c r="G43" s="31"/>
      <c r="H43" s="31"/>
      <c r="I43" s="31"/>
      <c r="J43" s="31"/>
      <c r="K43" s="31"/>
      <c r="L43" s="31"/>
      <c r="M43" s="31"/>
      <c r="N43" s="31"/>
      <c r="O43" s="31"/>
      <c r="P43" s="31">
        <v>0</v>
      </c>
      <c r="Q43" s="27"/>
      <c r="R43" s="13"/>
    </row>
    <row r="44" spans="1:18">
      <c r="A44" s="30" t="s">
        <v>12</v>
      </c>
      <c r="B44" s="39"/>
      <c r="C44" s="39"/>
      <c r="D44" s="39"/>
      <c r="E44" s="39"/>
      <c r="F44" s="39"/>
      <c r="G44" s="39"/>
      <c r="H44" s="39"/>
      <c r="I44" s="39"/>
      <c r="J44" s="39"/>
      <c r="K44" s="39"/>
      <c r="L44" s="39"/>
      <c r="M44" s="39"/>
      <c r="N44" s="39"/>
      <c r="O44" s="39"/>
      <c r="P44" s="39">
        <f>SUM(B44:O44)</f>
        <v>0</v>
      </c>
      <c r="Q44" s="27"/>
      <c r="R44" s="13"/>
    </row>
    <row r="45" spans="1:18">
      <c r="A45" s="30"/>
      <c r="B45" s="31"/>
      <c r="C45" s="31"/>
      <c r="D45" s="31"/>
      <c r="E45" s="31"/>
      <c r="F45" s="31"/>
      <c r="G45" s="31"/>
      <c r="H45" s="31"/>
      <c r="I45" s="31"/>
      <c r="J45" s="31"/>
      <c r="K45" s="31"/>
      <c r="L45" s="31"/>
      <c r="M45" s="31"/>
      <c r="N45" s="31"/>
      <c r="O45" s="31"/>
      <c r="P45" s="31">
        <f>SUM(B45:O45)</f>
        <v>0</v>
      </c>
      <c r="Q45" s="27"/>
      <c r="R45" s="13"/>
    </row>
    <row r="46" spans="1:18">
      <c r="A46" s="44" t="s">
        <v>45</v>
      </c>
      <c r="B46" s="31">
        <v>15483000</v>
      </c>
      <c r="C46" s="31">
        <v>-587893.49350000545</v>
      </c>
      <c r="D46" s="31"/>
      <c r="E46" s="31"/>
      <c r="F46" s="31"/>
      <c r="G46" s="31"/>
      <c r="H46" s="31"/>
      <c r="I46" s="31"/>
      <c r="J46" s="31"/>
      <c r="K46" s="31"/>
      <c r="L46" s="31"/>
      <c r="M46" s="31"/>
      <c r="N46" s="31"/>
      <c r="O46" s="31"/>
      <c r="P46" s="31">
        <f>SUM(B46:O46)</f>
        <v>14895106.506499995</v>
      </c>
      <c r="Q46" s="27" t="s">
        <v>180</v>
      </c>
      <c r="R46" s="13"/>
    </row>
    <row r="47" spans="1:18">
      <c r="A47" s="44"/>
      <c r="B47" s="31"/>
      <c r="C47" s="31"/>
      <c r="D47" s="31"/>
      <c r="E47" s="31"/>
      <c r="F47" s="31"/>
      <c r="G47" s="31"/>
      <c r="H47" s="31"/>
      <c r="I47" s="31"/>
      <c r="J47" s="31"/>
      <c r="K47" s="31"/>
      <c r="L47" s="31"/>
      <c r="M47" s="31"/>
      <c r="N47" s="31"/>
      <c r="O47" s="31"/>
      <c r="P47" s="31">
        <f>SUM(B47:O47)</f>
        <v>0</v>
      </c>
      <c r="Q47" s="27"/>
      <c r="R47" s="13"/>
    </row>
    <row r="48" spans="1:18" ht="13.8" thickBot="1">
      <c r="A48" s="16" t="s">
        <v>13</v>
      </c>
      <c r="B48" s="45">
        <v>641635420.5</v>
      </c>
      <c r="C48" s="45">
        <v>-587893.49350000545</v>
      </c>
      <c r="D48" s="45">
        <v>0</v>
      </c>
      <c r="E48" s="45">
        <v>0</v>
      </c>
      <c r="F48" s="45">
        <v>0</v>
      </c>
      <c r="G48" s="45">
        <v>560965.28</v>
      </c>
      <c r="H48" s="45">
        <v>0</v>
      </c>
      <c r="I48" s="45">
        <v>0</v>
      </c>
      <c r="J48" s="45">
        <v>0</v>
      </c>
      <c r="K48" s="45">
        <v>-2784221.28</v>
      </c>
      <c r="L48" s="45">
        <v>0</v>
      </c>
      <c r="M48" s="45">
        <v>0</v>
      </c>
      <c r="N48" s="45">
        <v>0</v>
      </c>
      <c r="O48" s="45">
        <v>0</v>
      </c>
      <c r="P48" s="45">
        <f>SUM(B48:O48)</f>
        <v>638824271.00650001</v>
      </c>
      <c r="Q48" s="27"/>
      <c r="R48" s="13"/>
    </row>
    <row r="49" spans="1:18" ht="13.8" thickTop="1">
      <c r="A49" s="30"/>
      <c r="B49" s="39"/>
      <c r="C49" s="39"/>
      <c r="D49" s="39"/>
      <c r="E49" s="39"/>
      <c r="F49" s="39"/>
      <c r="G49" s="39"/>
      <c r="H49" s="39"/>
      <c r="I49" s="39"/>
      <c r="J49" s="39"/>
      <c r="K49" s="39"/>
      <c r="L49" s="39"/>
      <c r="M49" s="39"/>
      <c r="N49" s="39"/>
      <c r="O49" s="39"/>
      <c r="P49" s="39">
        <v>0</v>
      </c>
      <c r="Q49" s="27"/>
      <c r="R49" s="13"/>
    </row>
    <row r="50" spans="1:18">
      <c r="A50" s="30" t="s">
        <v>14</v>
      </c>
      <c r="B50" s="31">
        <v>-113107093.98999999</v>
      </c>
      <c r="C50" s="31"/>
      <c r="D50" s="31"/>
      <c r="E50" s="31"/>
      <c r="F50" s="31"/>
      <c r="G50" s="31"/>
      <c r="H50" s="31"/>
      <c r="I50" s="31"/>
      <c r="J50" s="31"/>
      <c r="K50" s="31"/>
      <c r="L50" s="31"/>
      <c r="M50" s="31"/>
      <c r="N50" s="31"/>
      <c r="O50" s="31"/>
      <c r="P50" s="31">
        <f t="shared" ref="P50:P58" si="1">SUM(B50:O50)</f>
        <v>-113107093.98999999</v>
      </c>
      <c r="Q50" s="27" t="s">
        <v>178</v>
      </c>
      <c r="R50" s="13"/>
    </row>
    <row r="51" spans="1:18" ht="14.25" customHeight="1">
      <c r="A51" s="30" t="s">
        <v>46</v>
      </c>
      <c r="B51" s="31"/>
      <c r="C51" s="31"/>
      <c r="D51" s="31"/>
      <c r="E51" s="31"/>
      <c r="F51" s="31"/>
      <c r="G51" s="31"/>
      <c r="H51" s="31"/>
      <c r="I51" s="31"/>
      <c r="J51" s="31"/>
      <c r="K51" s="31"/>
      <c r="L51" s="31"/>
      <c r="M51" s="31"/>
      <c r="N51" s="31"/>
      <c r="O51" s="31"/>
      <c r="P51" s="31">
        <f t="shared" si="1"/>
        <v>0</v>
      </c>
      <c r="Q51" s="27"/>
      <c r="R51" s="13"/>
    </row>
    <row r="52" spans="1:18">
      <c r="A52" s="30" t="s">
        <v>47</v>
      </c>
      <c r="B52" s="31">
        <v>-49930815.259999998</v>
      </c>
      <c r="C52" s="31"/>
      <c r="D52" s="31"/>
      <c r="E52" s="31"/>
      <c r="F52" s="31"/>
      <c r="G52" s="31">
        <v>-560965.28</v>
      </c>
      <c r="H52" s="31"/>
      <c r="I52" s="31"/>
      <c r="J52" s="31"/>
      <c r="K52" s="31">
        <v>2784221.28</v>
      </c>
      <c r="L52" s="31"/>
      <c r="M52" s="31"/>
      <c r="N52" s="31"/>
      <c r="O52" s="31">
        <f>'PRC JA list'!H91</f>
        <v>0</v>
      </c>
      <c r="P52" s="31">
        <f t="shared" si="1"/>
        <v>-47707559.259999998</v>
      </c>
      <c r="Q52" s="27" t="s">
        <v>179</v>
      </c>
      <c r="R52" s="13"/>
    </row>
    <row r="53" spans="1:18">
      <c r="A53" s="30" t="s">
        <v>15</v>
      </c>
      <c r="B53" s="31">
        <v>-6364013.5</v>
      </c>
      <c r="C53" s="31"/>
      <c r="D53" s="31"/>
      <c r="E53" s="31"/>
      <c r="F53" s="31"/>
      <c r="G53" s="31"/>
      <c r="H53" s="31"/>
      <c r="I53" s="31"/>
      <c r="J53" s="31"/>
      <c r="K53" s="31"/>
      <c r="L53" s="31"/>
      <c r="M53" s="31"/>
      <c r="N53" s="31"/>
      <c r="O53" s="31"/>
      <c r="P53" s="31">
        <f>SUM(B53:O53)</f>
        <v>-6364013.5</v>
      </c>
      <c r="Q53" s="27" t="s">
        <v>178</v>
      </c>
      <c r="R53" s="13"/>
    </row>
    <row r="54" spans="1:18" s="104" customFormat="1">
      <c r="A54" s="227" t="s">
        <v>53</v>
      </c>
      <c r="B54" s="228">
        <v>-1898454.64</v>
      </c>
      <c r="C54" s="228"/>
      <c r="D54" s="228"/>
      <c r="E54" s="228"/>
      <c r="F54" s="228"/>
      <c r="G54" s="228"/>
      <c r="H54" s="228"/>
      <c r="I54" s="228"/>
      <c r="J54" s="228"/>
      <c r="K54" s="228"/>
      <c r="L54" s="228"/>
      <c r="M54" s="228"/>
      <c r="N54" s="228"/>
      <c r="O54" s="228"/>
      <c r="P54" s="228">
        <f t="shared" si="1"/>
        <v>-1898454.64</v>
      </c>
      <c r="Q54" s="102" t="s">
        <v>178</v>
      </c>
      <c r="R54" s="167">
        <f>P54+P58</f>
        <v>-50273229.799999997</v>
      </c>
    </row>
    <row r="55" spans="1:18">
      <c r="A55" s="30" t="s">
        <v>82</v>
      </c>
      <c r="B55" s="31">
        <v>-1726364.4</v>
      </c>
      <c r="C55" s="31"/>
      <c r="D55" s="31"/>
      <c r="E55" s="31"/>
      <c r="F55" s="31"/>
      <c r="G55" s="31"/>
      <c r="H55" s="31"/>
      <c r="I55" s="31"/>
      <c r="J55" s="31"/>
      <c r="K55" s="31"/>
      <c r="L55" s="31"/>
      <c r="M55" s="31"/>
      <c r="N55" s="31"/>
      <c r="O55" s="31"/>
      <c r="P55" s="31">
        <f t="shared" si="1"/>
        <v>-1726364.4</v>
      </c>
      <c r="Q55" s="27" t="s">
        <v>179</v>
      </c>
      <c r="R55" s="13"/>
    </row>
    <row r="56" spans="1:18">
      <c r="A56" s="30" t="s">
        <v>54</v>
      </c>
      <c r="B56" s="31">
        <v>18534524.399999999</v>
      </c>
      <c r="C56" s="31"/>
      <c r="D56" s="31"/>
      <c r="E56" s="31"/>
      <c r="F56" s="31"/>
      <c r="G56" s="31"/>
      <c r="H56" s="31"/>
      <c r="I56" s="31">
        <v>-734000</v>
      </c>
      <c r="J56" s="19"/>
      <c r="K56" s="19"/>
      <c r="L56" s="19"/>
      <c r="M56" s="19"/>
      <c r="N56" s="39">
        <f>'PRC JA list'!H83</f>
        <v>0</v>
      </c>
      <c r="O56" s="19"/>
      <c r="P56" s="39">
        <f>SUM(B56:O56)</f>
        <v>17800524.399999999</v>
      </c>
      <c r="Q56" s="27" t="s">
        <v>180</v>
      </c>
      <c r="R56" s="13"/>
    </row>
    <row r="57" spans="1:18">
      <c r="A57" s="30" t="s">
        <v>55</v>
      </c>
      <c r="B57" s="31">
        <v>-860154.06</v>
      </c>
      <c r="C57" s="31"/>
      <c r="D57" s="31"/>
      <c r="E57" s="31"/>
      <c r="F57" s="31"/>
      <c r="G57" s="31"/>
      <c r="H57" s="31"/>
      <c r="I57" s="31"/>
      <c r="J57" s="31"/>
      <c r="K57" s="31"/>
      <c r="L57" s="31"/>
      <c r="M57" s="31"/>
      <c r="N57" s="31"/>
      <c r="O57" s="31"/>
      <c r="P57" s="31">
        <f t="shared" si="1"/>
        <v>-860154.06</v>
      </c>
      <c r="Q57" s="27" t="s">
        <v>179</v>
      </c>
      <c r="R57" s="13"/>
    </row>
    <row r="58" spans="1:18" s="104" customFormat="1">
      <c r="A58" s="227" t="s">
        <v>56</v>
      </c>
      <c r="B58" s="230">
        <v>-49108775.159999996</v>
      </c>
      <c r="C58" s="230"/>
      <c r="D58" s="230"/>
      <c r="E58" s="230"/>
      <c r="F58" s="230"/>
      <c r="G58" s="230"/>
      <c r="H58" s="230"/>
      <c r="I58" s="230">
        <v>734000</v>
      </c>
      <c r="J58" s="231"/>
      <c r="K58" s="231"/>
      <c r="L58" s="231"/>
      <c r="M58" s="231"/>
      <c r="N58" s="231"/>
      <c r="O58" s="232">
        <f>'PRC JA list'!H90</f>
        <v>0</v>
      </c>
      <c r="P58" s="232">
        <f t="shared" si="1"/>
        <v>-48374775.159999996</v>
      </c>
      <c r="Q58" s="102" t="s">
        <v>179</v>
      </c>
      <c r="R58" s="103"/>
    </row>
    <row r="59" spans="1:18">
      <c r="A59" s="16" t="s">
        <v>16</v>
      </c>
      <c r="B59" s="35">
        <v>-204461146.60999998</v>
      </c>
      <c r="C59" s="35">
        <v>0</v>
      </c>
      <c r="D59" s="35">
        <v>0</v>
      </c>
      <c r="E59" s="35">
        <v>0</v>
      </c>
      <c r="F59" s="35">
        <v>0</v>
      </c>
      <c r="G59" s="35">
        <v>-560965.28</v>
      </c>
      <c r="H59" s="35">
        <v>0</v>
      </c>
      <c r="I59" s="35">
        <v>0</v>
      </c>
      <c r="J59" s="35">
        <v>0</v>
      </c>
      <c r="K59" s="35">
        <v>2784221.28</v>
      </c>
      <c r="L59" s="35">
        <v>0</v>
      </c>
      <c r="M59" s="35">
        <v>0</v>
      </c>
      <c r="N59" s="35">
        <v>0</v>
      </c>
      <c r="O59" s="35">
        <v>0</v>
      </c>
      <c r="P59" s="35">
        <f>SUM(P50:P58)</f>
        <v>-202237890.60999998</v>
      </c>
      <c r="Q59" s="27"/>
      <c r="R59" s="13"/>
    </row>
    <row r="60" spans="1:18">
      <c r="A60" s="16"/>
      <c r="B60" s="39"/>
      <c r="C60" s="39"/>
      <c r="D60" s="39"/>
      <c r="E60" s="39"/>
      <c r="F60" s="39"/>
      <c r="G60" s="39"/>
      <c r="H60" s="39"/>
      <c r="I60" s="39"/>
      <c r="J60" s="39"/>
      <c r="K60" s="39"/>
      <c r="L60" s="39"/>
      <c r="M60" s="39"/>
      <c r="N60" s="39"/>
      <c r="O60" s="39"/>
      <c r="P60" s="39">
        <v>0</v>
      </c>
      <c r="Q60" s="27"/>
      <c r="R60" s="13"/>
    </row>
    <row r="61" spans="1:18">
      <c r="A61" s="30" t="s">
        <v>48</v>
      </c>
      <c r="B61" s="31">
        <v>0</v>
      </c>
      <c r="C61" s="31"/>
      <c r="D61" s="31"/>
      <c r="E61" s="31"/>
      <c r="F61" s="31"/>
      <c r="G61" s="31"/>
      <c r="H61" s="31"/>
      <c r="I61" s="31"/>
      <c r="J61" s="31"/>
      <c r="K61" s="31"/>
      <c r="L61" s="31"/>
      <c r="M61" s="31"/>
      <c r="N61" s="31"/>
      <c r="O61" s="31"/>
      <c r="P61" s="31">
        <f>SUM(B61:O61)</f>
        <v>0</v>
      </c>
      <c r="Q61" s="27"/>
      <c r="R61" s="13"/>
    </row>
    <row r="62" spans="1:18">
      <c r="A62" s="30" t="s">
        <v>167</v>
      </c>
      <c r="B62" s="39">
        <v>-156088000</v>
      </c>
      <c r="C62" s="39"/>
      <c r="D62" s="39"/>
      <c r="E62" s="39"/>
      <c r="F62" s="39"/>
      <c r="G62" s="39"/>
      <c r="H62" s="39"/>
      <c r="I62" s="39"/>
      <c r="J62" s="39"/>
      <c r="K62" s="39"/>
      <c r="L62" s="39"/>
      <c r="M62" s="39"/>
      <c r="N62" s="39"/>
      <c r="O62" s="39"/>
      <c r="P62" s="39">
        <f>SUM(B62:O62)</f>
        <v>-156088000</v>
      </c>
      <c r="Q62" s="27" t="s">
        <v>178</v>
      </c>
      <c r="R62" s="12">
        <f>P59+P62</f>
        <v>-358325890.61000001</v>
      </c>
    </row>
    <row r="63" spans="1:18">
      <c r="A63" s="16" t="s">
        <v>17</v>
      </c>
      <c r="B63" s="35">
        <v>0</v>
      </c>
      <c r="C63" s="35"/>
      <c r="D63" s="35"/>
      <c r="E63" s="35"/>
      <c r="F63" s="35"/>
      <c r="G63" s="35"/>
      <c r="H63" s="35"/>
      <c r="I63" s="35"/>
      <c r="J63" s="35"/>
      <c r="K63" s="35"/>
      <c r="L63" s="35"/>
      <c r="M63" s="35"/>
      <c r="N63" s="35"/>
      <c r="O63" s="35"/>
      <c r="P63" s="35">
        <f>SUM(B63:O63)</f>
        <v>0</v>
      </c>
      <c r="Q63" s="27"/>
      <c r="R63" s="13"/>
    </row>
    <row r="64" spans="1:18">
      <c r="A64" s="30"/>
      <c r="B64" s="47"/>
      <c r="C64" s="47"/>
      <c r="D64" s="47"/>
      <c r="E64" s="47"/>
      <c r="F64" s="47"/>
      <c r="G64" s="47"/>
      <c r="H64" s="47"/>
      <c r="I64" s="47"/>
      <c r="J64" s="47"/>
      <c r="K64" s="47"/>
      <c r="L64" s="47"/>
      <c r="M64" s="47"/>
      <c r="N64" s="47"/>
      <c r="O64" s="47"/>
      <c r="P64" s="47">
        <v>0</v>
      </c>
      <c r="Q64" s="27"/>
      <c r="R64" s="13"/>
    </row>
    <row r="65" spans="1:18">
      <c r="A65" s="30" t="s">
        <v>49</v>
      </c>
      <c r="B65" s="49">
        <v>0</v>
      </c>
      <c r="C65" s="49"/>
      <c r="D65" s="49"/>
      <c r="E65" s="49"/>
      <c r="F65" s="49"/>
      <c r="G65" s="49"/>
      <c r="H65" s="49"/>
      <c r="I65" s="49"/>
      <c r="J65" s="49"/>
      <c r="K65" s="49"/>
      <c r="L65" s="49"/>
      <c r="M65" s="49"/>
      <c r="N65" s="49"/>
      <c r="O65" s="49"/>
      <c r="P65" s="49">
        <f>SUM(B65:O65)</f>
        <v>0</v>
      </c>
      <c r="Q65" s="27"/>
      <c r="R65" s="13"/>
    </row>
    <row r="66" spans="1:18">
      <c r="A66" s="30"/>
      <c r="B66" s="31"/>
      <c r="C66" s="31"/>
      <c r="D66" s="31"/>
      <c r="E66" s="31"/>
      <c r="F66" s="31"/>
      <c r="G66" s="31"/>
      <c r="H66" s="31"/>
      <c r="I66" s="31"/>
      <c r="J66" s="31"/>
      <c r="K66" s="31"/>
      <c r="L66" s="31"/>
      <c r="M66" s="31"/>
      <c r="N66" s="31"/>
      <c r="O66" s="31"/>
      <c r="P66" s="31">
        <v>0</v>
      </c>
      <c r="Q66" s="27"/>
      <c r="R66" s="13"/>
    </row>
    <row r="67" spans="1:18">
      <c r="A67" s="16" t="s">
        <v>18</v>
      </c>
      <c r="B67" s="51">
        <v>-360549146.61000001</v>
      </c>
      <c r="C67" s="51">
        <v>0</v>
      </c>
      <c r="D67" s="51">
        <v>0</v>
      </c>
      <c r="E67" s="51">
        <v>0</v>
      </c>
      <c r="F67" s="51">
        <v>0</v>
      </c>
      <c r="G67" s="51">
        <v>-560965.28</v>
      </c>
      <c r="H67" s="51">
        <v>0</v>
      </c>
      <c r="I67" s="51">
        <v>0</v>
      </c>
      <c r="J67" s="51">
        <v>0</v>
      </c>
      <c r="K67" s="51">
        <v>2784221.28</v>
      </c>
      <c r="L67" s="51">
        <v>0</v>
      </c>
      <c r="M67" s="51">
        <v>0</v>
      </c>
      <c r="N67" s="51">
        <v>0</v>
      </c>
      <c r="O67" s="51">
        <v>0</v>
      </c>
      <c r="P67" s="51">
        <f>SUM(B67:O67)</f>
        <v>-358325890.61000001</v>
      </c>
      <c r="Q67" s="27"/>
      <c r="R67" s="13"/>
    </row>
    <row r="68" spans="1:18">
      <c r="A68" s="30"/>
      <c r="B68" s="39"/>
      <c r="C68" s="39"/>
      <c r="D68" s="39"/>
      <c r="E68" s="39"/>
      <c r="F68" s="39"/>
      <c r="G68" s="39"/>
      <c r="H68" s="39"/>
      <c r="I68" s="39"/>
      <c r="J68" s="39"/>
      <c r="K68" s="39"/>
      <c r="L68" s="39"/>
      <c r="M68" s="39"/>
      <c r="N68" s="39"/>
      <c r="O68" s="39"/>
      <c r="P68" s="39">
        <v>0</v>
      </c>
      <c r="Q68" s="27"/>
      <c r="R68" s="13"/>
    </row>
    <row r="69" spans="1:18">
      <c r="A69" s="30" t="s">
        <v>19</v>
      </c>
      <c r="B69" s="31">
        <v>-306849861.18000001</v>
      </c>
      <c r="C69" s="31"/>
      <c r="D69" s="31"/>
      <c r="E69" s="31"/>
      <c r="F69" s="31"/>
      <c r="G69" s="31"/>
      <c r="H69" s="31"/>
      <c r="I69" s="31"/>
      <c r="J69" s="31"/>
      <c r="K69" s="31"/>
      <c r="L69" s="31"/>
      <c r="M69" s="31"/>
      <c r="N69" s="31"/>
      <c r="O69" s="31"/>
      <c r="P69" s="31">
        <f>SUM(B69:O69)</f>
        <v>-306849861.18000001</v>
      </c>
      <c r="Q69" s="27" t="s">
        <v>180</v>
      </c>
      <c r="R69" s="13"/>
    </row>
    <row r="70" spans="1:18">
      <c r="A70" s="42"/>
      <c r="B70" s="50"/>
      <c r="C70" s="50"/>
      <c r="D70" s="50"/>
      <c r="E70" s="50"/>
      <c r="F70" s="50"/>
      <c r="G70" s="50"/>
      <c r="H70" s="50"/>
      <c r="I70" s="50"/>
      <c r="J70" s="50"/>
      <c r="K70" s="50"/>
      <c r="L70" s="50"/>
      <c r="M70" s="50"/>
      <c r="N70" s="50"/>
      <c r="O70" s="50"/>
      <c r="P70" s="50">
        <f t="shared" ref="P70:P76" si="2">SUM(B70:O70)</f>
        <v>0</v>
      </c>
      <c r="Q70" s="27"/>
      <c r="R70" s="13"/>
    </row>
    <row r="71" spans="1:18">
      <c r="A71" s="30" t="s">
        <v>50</v>
      </c>
      <c r="B71" s="39">
        <v>-3671.6</v>
      </c>
      <c r="C71" s="39"/>
      <c r="D71" s="39"/>
      <c r="E71" s="39"/>
      <c r="F71" s="39"/>
      <c r="G71" s="19"/>
      <c r="H71" s="39">
        <v>3671.6</v>
      </c>
      <c r="I71" s="39"/>
      <c r="J71" s="39"/>
      <c r="K71" s="39"/>
      <c r="L71" s="39"/>
      <c r="M71" s="39"/>
      <c r="N71" s="39"/>
      <c r="O71" s="39"/>
      <c r="P71" s="39">
        <f t="shared" si="2"/>
        <v>0</v>
      </c>
      <c r="Q71" s="27" t="s">
        <v>180</v>
      </c>
      <c r="R71" s="13"/>
    </row>
    <row r="72" spans="1:18">
      <c r="A72" s="30" t="s">
        <v>51</v>
      </c>
      <c r="B72" s="39"/>
      <c r="C72" s="39"/>
      <c r="D72" s="39"/>
      <c r="E72" s="39"/>
      <c r="F72" s="39"/>
      <c r="G72" s="39"/>
      <c r="H72" s="39"/>
      <c r="I72" s="39"/>
      <c r="J72" s="39"/>
      <c r="K72" s="39"/>
      <c r="L72" s="39"/>
      <c r="M72" s="39"/>
      <c r="N72" s="39"/>
      <c r="O72" s="39"/>
      <c r="P72" s="39">
        <f t="shared" si="2"/>
        <v>0</v>
      </c>
      <c r="Q72" s="27"/>
      <c r="R72" s="13"/>
    </row>
    <row r="73" spans="1:18">
      <c r="A73" s="30" t="s">
        <v>20</v>
      </c>
      <c r="B73" s="31">
        <v>11788959.95999998</v>
      </c>
      <c r="C73" s="31">
        <v>42604.464000001433</v>
      </c>
      <c r="D73" s="31">
        <v>-228800</v>
      </c>
      <c r="E73" s="31">
        <v>-555308.41999999993</v>
      </c>
      <c r="F73" s="31"/>
      <c r="G73" s="31"/>
      <c r="H73" s="31">
        <v>-3671.6</v>
      </c>
      <c r="I73" s="31"/>
      <c r="J73" s="31"/>
      <c r="K73" s="31"/>
      <c r="L73" s="31"/>
      <c r="M73" s="31"/>
      <c r="N73" s="31"/>
      <c r="O73" s="31"/>
      <c r="P73" s="31">
        <f t="shared" si="2"/>
        <v>11043784.403999982</v>
      </c>
      <c r="Q73" s="27" t="s">
        <v>180</v>
      </c>
      <c r="R73" s="13"/>
    </row>
    <row r="74" spans="1:18">
      <c r="A74" s="30" t="s">
        <v>21</v>
      </c>
      <c r="B74" s="31">
        <v>13978298.93</v>
      </c>
      <c r="C74" s="31">
        <v>545289.02950000402</v>
      </c>
      <c r="D74" s="31">
        <v>228800</v>
      </c>
      <c r="E74" s="31">
        <v>555308.42000000004</v>
      </c>
      <c r="F74" s="31"/>
      <c r="G74" s="19"/>
      <c r="H74" s="19"/>
      <c r="I74" s="31"/>
      <c r="J74" s="31"/>
      <c r="K74" s="31"/>
      <c r="L74" s="31"/>
      <c r="M74" s="31"/>
      <c r="N74" s="31"/>
      <c r="O74" s="31"/>
      <c r="P74" s="31">
        <f t="shared" si="2"/>
        <v>15307696.379500004</v>
      </c>
      <c r="Q74" s="27" t="s">
        <v>180</v>
      </c>
      <c r="R74" s="13"/>
    </row>
    <row r="75" spans="1:18">
      <c r="A75" s="30"/>
      <c r="B75" s="39"/>
      <c r="C75" s="39"/>
      <c r="D75" s="39"/>
      <c r="E75" s="39"/>
      <c r="F75" s="39"/>
      <c r="G75" s="39"/>
      <c r="H75" s="39"/>
      <c r="I75" s="39"/>
      <c r="J75" s="39"/>
      <c r="K75" s="39"/>
      <c r="L75" s="39"/>
      <c r="M75" s="39"/>
      <c r="N75" s="39"/>
      <c r="O75" s="39"/>
      <c r="P75" s="39">
        <f t="shared" si="2"/>
        <v>0</v>
      </c>
      <c r="Q75" s="27"/>
      <c r="R75" s="13"/>
    </row>
    <row r="76" spans="1:18">
      <c r="A76" s="16" t="s">
        <v>85</v>
      </c>
      <c r="B76" s="51">
        <v>-281086273.89000005</v>
      </c>
      <c r="C76" s="51">
        <v>587893.49350000545</v>
      </c>
      <c r="D76" s="51">
        <v>0</v>
      </c>
      <c r="E76" s="51">
        <v>0</v>
      </c>
      <c r="F76" s="51">
        <v>0</v>
      </c>
      <c r="G76" s="51">
        <v>0</v>
      </c>
      <c r="H76" s="51">
        <v>0</v>
      </c>
      <c r="I76" s="51">
        <v>0</v>
      </c>
      <c r="J76" s="51">
        <v>0</v>
      </c>
      <c r="K76" s="51">
        <v>0</v>
      </c>
      <c r="L76" s="51">
        <v>0</v>
      </c>
      <c r="M76" s="51">
        <v>0</v>
      </c>
      <c r="N76" s="51">
        <v>0</v>
      </c>
      <c r="O76" s="51">
        <v>0</v>
      </c>
      <c r="P76" s="51">
        <f t="shared" si="2"/>
        <v>-280498380.39650005</v>
      </c>
      <c r="Q76" s="27"/>
      <c r="R76" s="12">
        <f>P76+R62</f>
        <v>-638824271.00650001</v>
      </c>
    </row>
    <row r="77" spans="1:18">
      <c r="A77" s="16"/>
      <c r="B77" s="47"/>
      <c r="C77" s="47"/>
      <c r="D77" s="47"/>
      <c r="E77" s="47"/>
      <c r="F77" s="47"/>
      <c r="G77" s="47"/>
      <c r="H77" s="47"/>
      <c r="I77" s="47"/>
      <c r="J77" s="47"/>
      <c r="K77" s="47"/>
      <c r="L77" s="47"/>
      <c r="M77" s="47"/>
      <c r="N77" s="47"/>
      <c r="O77" s="47"/>
      <c r="P77" s="47">
        <v>0</v>
      </c>
      <c r="Q77" s="27"/>
      <c r="R77" s="13"/>
    </row>
    <row r="78" spans="1:18" ht="13.8" thickBot="1">
      <c r="A78" s="16" t="s">
        <v>22</v>
      </c>
      <c r="B78" s="45">
        <v>-641635420.5</v>
      </c>
      <c r="C78" s="45">
        <v>587893.49350000545</v>
      </c>
      <c r="D78" s="45">
        <v>0</v>
      </c>
      <c r="E78" s="45">
        <v>0</v>
      </c>
      <c r="F78" s="45">
        <v>0</v>
      </c>
      <c r="G78" s="45">
        <v>-560965.28</v>
      </c>
      <c r="H78" s="45">
        <v>0</v>
      </c>
      <c r="I78" s="45">
        <v>0</v>
      </c>
      <c r="J78" s="45">
        <v>0</v>
      </c>
      <c r="K78" s="45">
        <v>2784221.28</v>
      </c>
      <c r="L78" s="45">
        <v>0</v>
      </c>
      <c r="M78" s="45">
        <v>0</v>
      </c>
      <c r="N78" s="45">
        <v>0</v>
      </c>
      <c r="O78" s="45">
        <v>0</v>
      </c>
      <c r="P78" s="45">
        <f>SUM(B78:O78)</f>
        <v>-638824271.00650001</v>
      </c>
      <c r="Q78" s="27"/>
      <c r="R78" s="13"/>
    </row>
    <row r="79" spans="1:18" ht="13.8" thickTop="1">
      <c r="A79" s="30"/>
      <c r="B79" s="39"/>
      <c r="C79" s="39"/>
      <c r="D79" s="39"/>
      <c r="E79" s="39"/>
      <c r="F79" s="39"/>
      <c r="G79" s="39"/>
      <c r="H79" s="39"/>
      <c r="I79" s="39"/>
      <c r="J79" s="39"/>
      <c r="K79" s="39"/>
      <c r="L79" s="39"/>
      <c r="M79" s="39"/>
      <c r="N79" s="39"/>
      <c r="O79" s="39"/>
      <c r="P79" s="39">
        <v>0</v>
      </c>
      <c r="Q79" s="27"/>
      <c r="R79" s="13"/>
    </row>
    <row r="80" spans="1:18">
      <c r="A80" s="42" t="s">
        <v>52</v>
      </c>
      <c r="B80" s="50">
        <v>0</v>
      </c>
      <c r="C80" s="50">
        <v>0</v>
      </c>
      <c r="D80" s="50">
        <v>0</v>
      </c>
      <c r="E80" s="50">
        <v>0</v>
      </c>
      <c r="F80" s="50">
        <v>0</v>
      </c>
      <c r="G80" s="50">
        <v>0</v>
      </c>
      <c r="H80" s="50">
        <v>0</v>
      </c>
      <c r="I80" s="50">
        <v>0</v>
      </c>
      <c r="J80" s="50">
        <v>0</v>
      </c>
      <c r="K80" s="50">
        <v>0</v>
      </c>
      <c r="L80" s="50">
        <v>0</v>
      </c>
      <c r="M80" s="50">
        <v>0</v>
      </c>
      <c r="N80" s="50">
        <v>0</v>
      </c>
      <c r="O80" s="50">
        <v>0</v>
      </c>
      <c r="P80" s="50">
        <v>0</v>
      </c>
      <c r="Q80" s="27"/>
      <c r="R80" s="13"/>
    </row>
    <row r="81" spans="1:18">
      <c r="A81" s="42"/>
      <c r="B81" s="50"/>
      <c r="C81" s="50"/>
      <c r="D81" s="50"/>
      <c r="E81" s="50"/>
      <c r="F81" s="50"/>
      <c r="G81" s="50"/>
      <c r="H81" s="50"/>
      <c r="I81" s="50"/>
      <c r="J81" s="50"/>
      <c r="K81" s="50"/>
      <c r="L81" s="50"/>
      <c r="M81" s="50"/>
      <c r="N81" s="50"/>
      <c r="O81" s="50"/>
      <c r="P81" s="50">
        <v>0</v>
      </c>
      <c r="Q81" s="27"/>
      <c r="R81" s="13"/>
    </row>
    <row r="82" spans="1:18">
      <c r="A82" s="30" t="s">
        <v>87</v>
      </c>
      <c r="B82" s="31">
        <v>-367295443.18000001</v>
      </c>
      <c r="C82" s="31"/>
      <c r="D82" s="31"/>
      <c r="E82" s="31"/>
      <c r="F82" s="31"/>
      <c r="G82" s="31"/>
      <c r="H82" s="31"/>
      <c r="I82" s="31"/>
      <c r="J82" s="31">
        <v>-4570907.66</v>
      </c>
      <c r="K82" s="19"/>
      <c r="L82" s="19"/>
      <c r="M82" s="19"/>
      <c r="N82" s="19"/>
      <c r="O82" s="19"/>
      <c r="P82" s="39">
        <f t="shared" ref="P82:P128" si="3">SUM(B82:O82)</f>
        <v>-371866350.84000003</v>
      </c>
      <c r="Q82" s="27" t="s">
        <v>179</v>
      </c>
      <c r="R82" s="13"/>
    </row>
    <row r="83" spans="1:18">
      <c r="A83" s="30" t="s">
        <v>88</v>
      </c>
      <c r="B83" s="31">
        <v>308963844.88999999</v>
      </c>
      <c r="C83" s="31"/>
      <c r="D83" s="31">
        <v>-228800</v>
      </c>
      <c r="E83" s="31"/>
      <c r="F83" s="31"/>
      <c r="G83" s="31"/>
      <c r="H83" s="31"/>
      <c r="I83" s="31"/>
      <c r="J83" s="31">
        <v>689481.06</v>
      </c>
      <c r="K83" s="19"/>
      <c r="L83" s="39">
        <v>1980494.15</v>
      </c>
      <c r="M83" s="39">
        <v>228800</v>
      </c>
      <c r="N83" s="39">
        <v>228800</v>
      </c>
      <c r="O83" s="39">
        <v>228800</v>
      </c>
      <c r="P83" s="39">
        <f t="shared" si="3"/>
        <v>312091420.09999996</v>
      </c>
      <c r="Q83" s="27" t="s">
        <v>179</v>
      </c>
      <c r="R83" s="13"/>
    </row>
    <row r="84" spans="1:18">
      <c r="A84" s="30" t="s">
        <v>89</v>
      </c>
      <c r="B84" s="40">
        <v>0</v>
      </c>
      <c r="C84" s="40"/>
      <c r="D84" s="40"/>
      <c r="E84" s="40">
        <v>3089759.5100000002</v>
      </c>
      <c r="F84" s="40"/>
      <c r="G84" s="40"/>
      <c r="H84" s="40"/>
      <c r="I84" s="40"/>
      <c r="J84" s="40"/>
      <c r="K84" s="40"/>
      <c r="L84" s="40"/>
      <c r="M84" s="40"/>
      <c r="N84" s="40"/>
      <c r="O84" s="40"/>
      <c r="P84" s="40">
        <f t="shared" si="3"/>
        <v>3089759.5100000002</v>
      </c>
      <c r="Q84" s="27"/>
      <c r="R84" s="13"/>
    </row>
    <row r="85" spans="1:18">
      <c r="A85" s="16" t="s">
        <v>90</v>
      </c>
      <c r="B85" s="37">
        <v>-58331598.290000021</v>
      </c>
      <c r="C85" s="37">
        <v>0</v>
      </c>
      <c r="D85" s="37">
        <v>-228800</v>
      </c>
      <c r="E85" s="37">
        <v>3089759.5100000002</v>
      </c>
      <c r="F85" s="37">
        <v>0</v>
      </c>
      <c r="G85" s="37">
        <v>0</v>
      </c>
      <c r="H85" s="37">
        <v>0</v>
      </c>
      <c r="I85" s="37">
        <v>0</v>
      </c>
      <c r="J85" s="37">
        <v>-3881426.6</v>
      </c>
      <c r="K85" s="37">
        <v>0</v>
      </c>
      <c r="L85" s="37">
        <v>1980494.15</v>
      </c>
      <c r="M85" s="37">
        <v>228800</v>
      </c>
      <c r="N85" s="37">
        <v>228800</v>
      </c>
      <c r="O85" s="37">
        <v>228800</v>
      </c>
      <c r="P85" s="37">
        <f t="shared" si="3"/>
        <v>-56685171.230000027</v>
      </c>
      <c r="Q85" s="27"/>
      <c r="R85" s="13"/>
    </row>
    <row r="86" spans="1:18">
      <c r="A86" s="16"/>
      <c r="B86" s="53"/>
      <c r="C86" s="53"/>
      <c r="D86" s="53"/>
      <c r="E86" s="53"/>
      <c r="F86" s="53"/>
      <c r="G86" s="53"/>
      <c r="H86" s="53"/>
      <c r="I86" s="53"/>
      <c r="J86" s="53"/>
      <c r="K86" s="53"/>
      <c r="L86" s="53"/>
      <c r="M86" s="53"/>
      <c r="N86" s="53"/>
      <c r="O86" s="53"/>
      <c r="P86" s="53">
        <f t="shared" si="3"/>
        <v>0</v>
      </c>
      <c r="Q86" s="27"/>
      <c r="R86" s="13"/>
    </row>
    <row r="87" spans="1:18">
      <c r="A87" s="16" t="s">
        <v>91</v>
      </c>
      <c r="B87" s="31">
        <v>-3881426.6</v>
      </c>
      <c r="C87" s="39"/>
      <c r="D87" s="39"/>
      <c r="E87" s="39"/>
      <c r="F87" s="39"/>
      <c r="G87" s="39"/>
      <c r="H87" s="39"/>
      <c r="I87" s="39"/>
      <c r="J87" s="39">
        <v>3881426.6</v>
      </c>
      <c r="K87" s="19"/>
      <c r="L87" s="19"/>
      <c r="M87" s="19"/>
      <c r="N87" s="19"/>
      <c r="O87" s="19"/>
      <c r="P87" s="39">
        <f t="shared" si="3"/>
        <v>0</v>
      </c>
      <c r="Q87" s="27"/>
      <c r="R87" s="13"/>
    </row>
    <row r="88" spans="1:18">
      <c r="A88" s="16"/>
      <c r="B88" s="31"/>
      <c r="C88" s="31"/>
      <c r="D88" s="31"/>
      <c r="E88" s="31"/>
      <c r="F88" s="31"/>
      <c r="G88" s="31"/>
      <c r="H88" s="31"/>
      <c r="I88" s="31"/>
      <c r="J88" s="31"/>
      <c r="K88" s="31"/>
      <c r="L88" s="31"/>
      <c r="M88" s="31"/>
      <c r="N88" s="31"/>
      <c r="O88" s="31"/>
      <c r="P88" s="31">
        <f t="shared" si="3"/>
        <v>0</v>
      </c>
      <c r="Q88" s="27"/>
      <c r="R88" s="13"/>
    </row>
    <row r="89" spans="1:18">
      <c r="A89" s="30" t="s">
        <v>92</v>
      </c>
      <c r="B89" s="31">
        <v>12621986.300000001</v>
      </c>
      <c r="C89" s="31"/>
      <c r="D89" s="31"/>
      <c r="E89" s="31"/>
      <c r="F89" s="31"/>
      <c r="G89" s="31"/>
      <c r="H89" s="31"/>
      <c r="I89" s="31"/>
      <c r="J89" s="31"/>
      <c r="K89" s="31"/>
      <c r="L89" s="31"/>
      <c r="M89" s="31"/>
      <c r="N89" s="31"/>
      <c r="O89" s="31"/>
      <c r="P89" s="31">
        <f t="shared" si="3"/>
        <v>12621986.300000001</v>
      </c>
      <c r="Q89" s="27" t="s">
        <v>178</v>
      </c>
      <c r="R89" s="13"/>
    </row>
    <row r="90" spans="1:18">
      <c r="A90" s="30" t="s">
        <v>93</v>
      </c>
      <c r="B90" s="31">
        <v>52181825.649999999</v>
      </c>
      <c r="C90" s="31"/>
      <c r="D90" s="31"/>
      <c r="E90" s="31">
        <v>-3645067.93</v>
      </c>
      <c r="F90" s="31"/>
      <c r="G90" s="31"/>
      <c r="H90" s="31"/>
      <c r="I90" s="19"/>
      <c r="J90" s="19"/>
      <c r="K90" s="19"/>
      <c r="L90" s="39">
        <v>1109713.2200000002</v>
      </c>
      <c r="M90" s="39"/>
      <c r="N90" s="39"/>
      <c r="O90" s="39"/>
      <c r="P90" s="39">
        <f t="shared" si="3"/>
        <v>49646470.939999998</v>
      </c>
      <c r="Q90" s="27" t="s">
        <v>178</v>
      </c>
      <c r="R90" s="13"/>
    </row>
    <row r="91" spans="1:18">
      <c r="A91" s="30" t="s">
        <v>94</v>
      </c>
      <c r="B91" s="31">
        <v>10653645.07</v>
      </c>
      <c r="C91" s="31"/>
      <c r="D91" s="31"/>
      <c r="E91" s="31"/>
      <c r="F91" s="31"/>
      <c r="G91" s="19"/>
      <c r="H91" s="31">
        <v>-3671.6</v>
      </c>
      <c r="I91" s="31"/>
      <c r="J91" s="31"/>
      <c r="K91" s="31"/>
      <c r="L91" s="31"/>
      <c r="M91" s="31">
        <v>56238.859999999986</v>
      </c>
      <c r="N91" s="31">
        <v>56238.859999999986</v>
      </c>
      <c r="O91" s="31">
        <v>56238.859999999986</v>
      </c>
      <c r="P91" s="31">
        <f t="shared" si="3"/>
        <v>10818690.049999999</v>
      </c>
      <c r="Q91" s="27" t="s">
        <v>178</v>
      </c>
      <c r="R91" s="13"/>
    </row>
    <row r="92" spans="1:18">
      <c r="A92" s="30" t="s">
        <v>95</v>
      </c>
      <c r="B92" s="31"/>
      <c r="C92" s="31"/>
      <c r="D92" s="31"/>
      <c r="E92" s="31"/>
      <c r="F92" s="31"/>
      <c r="G92" s="31"/>
      <c r="H92" s="31"/>
      <c r="I92" s="31"/>
      <c r="J92" s="31"/>
      <c r="K92" s="31"/>
      <c r="L92" s="31"/>
      <c r="M92" s="31"/>
      <c r="N92" s="31"/>
      <c r="O92" s="31"/>
      <c r="P92" s="31">
        <f t="shared" si="3"/>
        <v>0</v>
      </c>
      <c r="Q92" s="27"/>
      <c r="R92" s="13"/>
    </row>
    <row r="93" spans="1:18">
      <c r="A93" s="30" t="s">
        <v>96</v>
      </c>
      <c r="B93" s="31"/>
      <c r="C93" s="31"/>
      <c r="D93" s="31"/>
      <c r="E93" s="31"/>
      <c r="F93" s="31"/>
      <c r="G93" s="31"/>
      <c r="H93" s="31"/>
      <c r="I93" s="31"/>
      <c r="J93" s="31"/>
      <c r="K93" s="31"/>
      <c r="L93" s="31"/>
      <c r="M93" s="31"/>
      <c r="N93" s="31"/>
      <c r="O93" s="31"/>
      <c r="P93" s="31">
        <f t="shared" si="3"/>
        <v>0</v>
      </c>
      <c r="Q93" s="27"/>
      <c r="R93" s="13"/>
    </row>
    <row r="94" spans="1:18">
      <c r="A94" s="16" t="s">
        <v>23</v>
      </c>
      <c r="B94" s="47">
        <v>13244432.12999998</v>
      </c>
      <c r="C94" s="47">
        <v>0</v>
      </c>
      <c r="D94" s="47">
        <v>-228800</v>
      </c>
      <c r="E94" s="47">
        <v>-555308.41999999993</v>
      </c>
      <c r="F94" s="47">
        <v>0</v>
      </c>
      <c r="G94" s="47">
        <v>0</v>
      </c>
      <c r="H94" s="47">
        <v>-3671.6</v>
      </c>
      <c r="I94" s="47">
        <v>0</v>
      </c>
      <c r="J94" s="47">
        <v>0</v>
      </c>
      <c r="K94" s="47">
        <v>0</v>
      </c>
      <c r="L94" s="47">
        <v>3090207.37</v>
      </c>
      <c r="M94" s="47">
        <v>285038.86</v>
      </c>
      <c r="N94" s="47">
        <v>285038.86</v>
      </c>
      <c r="O94" s="47">
        <v>285038.86</v>
      </c>
      <c r="P94" s="47">
        <f t="shared" si="3"/>
        <v>16401976.05999998</v>
      </c>
      <c r="Q94" s="27"/>
      <c r="R94" s="12">
        <v>14534380.849999931</v>
      </c>
    </row>
    <row r="95" spans="1:18">
      <c r="A95" s="16"/>
      <c r="B95" s="39"/>
      <c r="C95" s="39"/>
      <c r="D95" s="39"/>
      <c r="E95" s="39"/>
      <c r="F95" s="39"/>
      <c r="G95" s="39"/>
      <c r="H95" s="39"/>
      <c r="I95" s="39"/>
      <c r="J95" s="39"/>
      <c r="K95" s="39"/>
      <c r="L95" s="39"/>
      <c r="M95" s="39"/>
      <c r="N95" s="39"/>
      <c r="O95" s="39"/>
      <c r="P95" s="39">
        <f t="shared" si="3"/>
        <v>0</v>
      </c>
      <c r="Q95" s="27"/>
      <c r="R95" s="13"/>
    </row>
    <row r="96" spans="1:18">
      <c r="A96" s="30" t="s">
        <v>97</v>
      </c>
      <c r="B96" s="31">
        <v>-1012478.63</v>
      </c>
      <c r="C96" s="31"/>
      <c r="D96" s="31"/>
      <c r="E96" s="31"/>
      <c r="F96" s="31"/>
      <c r="G96" s="31"/>
      <c r="H96" s="31"/>
      <c r="I96" s="31"/>
      <c r="J96" s="31"/>
      <c r="K96" s="31"/>
      <c r="L96" s="31"/>
      <c r="M96" s="31">
        <v>-285038.86</v>
      </c>
      <c r="N96" s="31">
        <v>-285038.86</v>
      </c>
      <c r="O96" s="31">
        <v>-285038.86</v>
      </c>
      <c r="P96" s="31">
        <f t="shared" si="3"/>
        <v>-1867595.21</v>
      </c>
      <c r="Q96" s="27" t="s">
        <v>178</v>
      </c>
      <c r="R96" s="13"/>
    </row>
    <row r="97" spans="1:18">
      <c r="A97" s="30" t="s">
        <v>24</v>
      </c>
      <c r="B97" s="31">
        <v>-96150.77</v>
      </c>
      <c r="C97" s="31"/>
      <c r="D97" s="31"/>
      <c r="E97" s="31"/>
      <c r="F97" s="31"/>
      <c r="G97" s="31"/>
      <c r="H97" s="31"/>
      <c r="I97" s="31"/>
      <c r="J97" s="31"/>
      <c r="K97" s="31"/>
      <c r="L97" s="31"/>
      <c r="M97" s="31"/>
      <c r="N97" s="31"/>
      <c r="O97" s="31"/>
      <c r="P97" s="31">
        <f t="shared" si="3"/>
        <v>-96150.77</v>
      </c>
      <c r="Q97" s="27" t="s">
        <v>178</v>
      </c>
      <c r="R97" s="13"/>
    </row>
    <row r="98" spans="1:18">
      <c r="A98" s="30" t="s">
        <v>25</v>
      </c>
      <c r="B98" s="31">
        <v>3890157.23</v>
      </c>
      <c r="C98" s="31"/>
      <c r="D98" s="31"/>
      <c r="E98" s="31"/>
      <c r="F98" s="31"/>
      <c r="G98" s="31"/>
      <c r="H98" s="31"/>
      <c r="I98" s="31"/>
      <c r="J98" s="31"/>
      <c r="K98" s="31"/>
      <c r="L98" s="31">
        <v>-3090207.37</v>
      </c>
      <c r="M98" s="31"/>
      <c r="N98" s="31"/>
      <c r="O98" s="31"/>
      <c r="P98" s="31">
        <f t="shared" si="3"/>
        <v>799949.85999999987</v>
      </c>
      <c r="Q98" s="27" t="s">
        <v>178</v>
      </c>
      <c r="R98" s="13"/>
    </row>
    <row r="99" spans="1:18">
      <c r="A99" s="30"/>
      <c r="B99" s="31"/>
      <c r="C99" s="31"/>
      <c r="D99" s="31"/>
      <c r="E99" s="31"/>
      <c r="F99" s="31"/>
      <c r="G99" s="31"/>
      <c r="H99" s="31"/>
      <c r="I99" s="31"/>
      <c r="J99" s="31"/>
      <c r="K99" s="31"/>
      <c r="L99" s="31"/>
      <c r="M99" s="31"/>
      <c r="N99" s="31"/>
      <c r="O99" s="31"/>
      <c r="P99" s="31">
        <f t="shared" si="3"/>
        <v>0</v>
      </c>
      <c r="Q99" s="27"/>
      <c r="R99" s="13"/>
    </row>
    <row r="100" spans="1:18">
      <c r="A100" s="16" t="s">
        <v>98</v>
      </c>
      <c r="B100" s="47">
        <v>16025959.95999998</v>
      </c>
      <c r="C100" s="47">
        <v>0</v>
      </c>
      <c r="D100" s="47">
        <v>-228800</v>
      </c>
      <c r="E100" s="47">
        <v>-555308.41999999993</v>
      </c>
      <c r="F100" s="47">
        <v>0</v>
      </c>
      <c r="G100" s="47">
        <v>0</v>
      </c>
      <c r="H100" s="47">
        <v>-3671.6</v>
      </c>
      <c r="I100" s="47">
        <v>0</v>
      </c>
      <c r="J100" s="47">
        <v>0</v>
      </c>
      <c r="K100" s="47">
        <v>0</v>
      </c>
      <c r="L100" s="47">
        <v>0</v>
      </c>
      <c r="M100" s="47"/>
      <c r="N100" s="47"/>
      <c r="O100" s="47"/>
      <c r="P100" s="47">
        <f t="shared" si="3"/>
        <v>15238179.939999981</v>
      </c>
      <c r="Q100" s="27"/>
      <c r="R100" s="13"/>
    </row>
    <row r="101" spans="1:18">
      <c r="A101" s="30"/>
      <c r="B101" s="39"/>
      <c r="C101" s="39"/>
      <c r="D101" s="39"/>
      <c r="E101" s="39"/>
      <c r="F101" s="39"/>
      <c r="G101" s="39"/>
      <c r="H101" s="39"/>
      <c r="I101" s="39"/>
      <c r="J101" s="39"/>
      <c r="K101" s="39"/>
      <c r="L101" s="39"/>
      <c r="M101" s="39"/>
      <c r="N101" s="39"/>
      <c r="O101" s="39"/>
      <c r="P101" s="39">
        <f t="shared" si="3"/>
        <v>0</v>
      </c>
      <c r="Q101" s="27"/>
      <c r="R101" s="13"/>
    </row>
    <row r="102" spans="1:18">
      <c r="A102" s="30" t="s">
        <v>26</v>
      </c>
      <c r="B102" s="31">
        <v>-4237000</v>
      </c>
      <c r="C102" s="31">
        <v>42604.464000001433</v>
      </c>
      <c r="D102" s="31"/>
      <c r="E102" s="31"/>
      <c r="F102" s="31"/>
      <c r="G102" s="31"/>
      <c r="H102" s="31"/>
      <c r="I102" s="31"/>
      <c r="J102" s="31"/>
      <c r="K102" s="31"/>
      <c r="L102" s="31"/>
      <c r="M102" s="31"/>
      <c r="N102" s="31"/>
      <c r="O102" s="31"/>
      <c r="P102" s="31">
        <f t="shared" si="3"/>
        <v>-4194395.5359999985</v>
      </c>
      <c r="Q102" s="27" t="s">
        <v>180</v>
      </c>
      <c r="R102" s="13"/>
    </row>
    <row r="103" spans="1:18">
      <c r="A103" s="30"/>
      <c r="B103" s="39"/>
      <c r="C103" s="39"/>
      <c r="D103" s="39"/>
      <c r="E103" s="39"/>
      <c r="F103" s="39"/>
      <c r="G103" s="39"/>
      <c r="H103" s="39"/>
      <c r="I103" s="39"/>
      <c r="J103" s="39"/>
      <c r="K103" s="39"/>
      <c r="L103" s="39"/>
      <c r="M103" s="39"/>
      <c r="N103" s="39"/>
      <c r="O103" s="39"/>
      <c r="P103" s="39">
        <f t="shared" si="3"/>
        <v>0</v>
      </c>
      <c r="Q103" s="27"/>
      <c r="R103" s="13"/>
    </row>
    <row r="104" spans="1:18" ht="13.8" thickBot="1">
      <c r="A104" s="16" t="s">
        <v>99</v>
      </c>
      <c r="B104" s="45">
        <v>11788959.95999998</v>
      </c>
      <c r="C104" s="45">
        <v>42604.464000001433</v>
      </c>
      <c r="D104" s="45">
        <v>-228800</v>
      </c>
      <c r="E104" s="45">
        <v>-555308.41999999993</v>
      </c>
      <c r="F104" s="45">
        <v>0</v>
      </c>
      <c r="G104" s="45">
        <v>0</v>
      </c>
      <c r="H104" s="45">
        <v>-3671.6</v>
      </c>
      <c r="I104" s="45">
        <v>0</v>
      </c>
      <c r="J104" s="45">
        <v>0</v>
      </c>
      <c r="K104" s="45">
        <v>0</v>
      </c>
      <c r="L104" s="45">
        <v>0</v>
      </c>
      <c r="M104" s="45">
        <v>0</v>
      </c>
      <c r="N104" s="45">
        <v>0</v>
      </c>
      <c r="O104" s="45">
        <v>0</v>
      </c>
      <c r="P104" s="45">
        <f t="shared" si="3"/>
        <v>11043784.403999982</v>
      </c>
      <c r="Q104" s="27"/>
      <c r="R104" s="13"/>
    </row>
    <row r="105" spans="1:18" ht="13.8" thickTop="1">
      <c r="A105" s="30"/>
      <c r="B105" s="39"/>
      <c r="C105" s="39"/>
      <c r="D105" s="39"/>
      <c r="E105" s="39"/>
      <c r="F105" s="39"/>
      <c r="G105" s="39"/>
      <c r="H105" s="39"/>
      <c r="I105" s="39"/>
      <c r="J105" s="39"/>
      <c r="K105" s="39"/>
      <c r="L105" s="39"/>
      <c r="M105" s="39"/>
      <c r="N105" s="39"/>
      <c r="O105" s="39"/>
      <c r="P105" s="39">
        <f t="shared" si="3"/>
        <v>0</v>
      </c>
      <c r="Q105" s="27"/>
      <c r="R105" s="13"/>
    </row>
    <row r="106" spans="1:18">
      <c r="A106" s="54" t="s">
        <v>100</v>
      </c>
      <c r="B106" s="31">
        <v>13978298.93</v>
      </c>
      <c r="C106" s="31">
        <v>545289.02950000402</v>
      </c>
      <c r="D106" s="31">
        <v>228800</v>
      </c>
      <c r="E106" s="31">
        <v>555308.42000000004</v>
      </c>
      <c r="F106" s="31"/>
      <c r="G106" s="31"/>
      <c r="H106" s="31"/>
      <c r="I106" s="19"/>
      <c r="J106" s="19"/>
      <c r="K106" s="19"/>
      <c r="L106" s="19"/>
      <c r="M106" s="19"/>
      <c r="N106" s="19"/>
      <c r="O106" s="19"/>
      <c r="P106" s="39">
        <f t="shared" si="3"/>
        <v>15307696.379500004</v>
      </c>
      <c r="Q106" s="27"/>
      <c r="R106" s="13"/>
    </row>
    <row r="107" spans="1:18">
      <c r="A107" s="54" t="s">
        <v>101</v>
      </c>
      <c r="B107" s="39"/>
      <c r="C107" s="39"/>
      <c r="D107" s="39"/>
      <c r="E107" s="39"/>
      <c r="F107" s="39"/>
      <c r="G107" s="39"/>
      <c r="H107" s="39"/>
      <c r="I107" s="39"/>
      <c r="J107" s="39"/>
      <c r="K107" s="39"/>
      <c r="L107" s="39"/>
      <c r="M107" s="39"/>
      <c r="N107" s="39"/>
      <c r="O107" s="39"/>
      <c r="P107" s="39">
        <f t="shared" si="3"/>
        <v>0</v>
      </c>
      <c r="Q107" s="27"/>
      <c r="R107" s="13"/>
    </row>
    <row r="108" spans="1:18">
      <c r="A108" s="54"/>
      <c r="B108" s="39"/>
      <c r="C108" s="39"/>
      <c r="D108" s="39"/>
      <c r="E108" s="39"/>
      <c r="F108" s="39"/>
      <c r="G108" s="39"/>
      <c r="H108" s="39"/>
      <c r="I108" s="39"/>
      <c r="J108" s="39"/>
      <c r="K108" s="39"/>
      <c r="L108" s="39"/>
      <c r="M108" s="39"/>
      <c r="N108" s="39"/>
      <c r="O108" s="39"/>
      <c r="P108" s="39">
        <f t="shared" si="3"/>
        <v>0</v>
      </c>
      <c r="Q108" s="27"/>
      <c r="R108" s="13"/>
    </row>
    <row r="109" spans="1:18">
      <c r="A109" s="54" t="s">
        <v>102</v>
      </c>
      <c r="B109" s="39"/>
      <c r="C109" s="39"/>
      <c r="D109" s="39"/>
      <c r="E109" s="39"/>
      <c r="F109" s="39"/>
      <c r="G109" s="39"/>
      <c r="H109" s="39"/>
      <c r="I109" s="39"/>
      <c r="J109" s="39"/>
      <c r="K109" s="39"/>
      <c r="L109" s="39"/>
      <c r="M109" s="39"/>
      <c r="N109" s="39"/>
      <c r="O109" s="39"/>
      <c r="P109" s="39">
        <f t="shared" si="3"/>
        <v>0</v>
      </c>
      <c r="Q109" s="27"/>
      <c r="R109" s="13"/>
    </row>
    <row r="110" spans="1:18">
      <c r="A110" s="54"/>
      <c r="B110" s="39"/>
      <c r="C110" s="39"/>
      <c r="D110" s="39"/>
      <c r="E110" s="39"/>
      <c r="F110" s="39"/>
      <c r="G110" s="39"/>
      <c r="H110" s="39"/>
      <c r="I110" s="39"/>
      <c r="J110" s="39"/>
      <c r="K110" s="39"/>
      <c r="L110" s="39"/>
      <c r="M110" s="39"/>
      <c r="N110" s="39"/>
      <c r="O110" s="39"/>
      <c r="P110" s="39">
        <f t="shared" si="3"/>
        <v>0</v>
      </c>
      <c r="Q110" s="27"/>
      <c r="R110" s="13"/>
    </row>
    <row r="111" spans="1:18">
      <c r="A111" s="54" t="s">
        <v>27</v>
      </c>
      <c r="B111" s="39"/>
      <c r="C111" s="39"/>
      <c r="D111" s="39"/>
      <c r="E111" s="39"/>
      <c r="F111" s="39"/>
      <c r="G111" s="39"/>
      <c r="H111" s="39"/>
      <c r="I111" s="39"/>
      <c r="J111" s="39"/>
      <c r="K111" s="39"/>
      <c r="L111" s="39"/>
      <c r="M111" s="39"/>
      <c r="N111" s="39"/>
      <c r="O111" s="39"/>
      <c r="P111" s="39">
        <f t="shared" si="3"/>
        <v>0</v>
      </c>
      <c r="Q111" s="27"/>
      <c r="R111" s="13"/>
    </row>
    <row r="112" spans="1:18">
      <c r="A112" s="54"/>
      <c r="B112" s="39"/>
      <c r="C112" s="39"/>
      <c r="D112" s="39"/>
      <c r="E112" s="39"/>
      <c r="F112" s="39"/>
      <c r="G112" s="39"/>
      <c r="H112" s="39"/>
      <c r="I112" s="39"/>
      <c r="J112" s="39"/>
      <c r="K112" s="39"/>
      <c r="L112" s="39"/>
      <c r="M112" s="39"/>
      <c r="N112" s="39"/>
      <c r="O112" s="39"/>
      <c r="P112" s="39">
        <f t="shared" si="3"/>
        <v>0</v>
      </c>
      <c r="Q112" s="27"/>
      <c r="R112" s="13"/>
    </row>
    <row r="113" spans="1:18">
      <c r="A113" s="54" t="s">
        <v>103</v>
      </c>
      <c r="B113" s="31"/>
      <c r="C113" s="31"/>
      <c r="D113" s="31"/>
      <c r="E113" s="31"/>
      <c r="F113" s="31"/>
      <c r="G113" s="31"/>
      <c r="H113" s="31"/>
      <c r="I113" s="31"/>
      <c r="J113" s="31"/>
      <c r="K113" s="31"/>
      <c r="L113" s="31"/>
      <c r="M113" s="31"/>
      <c r="N113" s="31"/>
      <c r="O113" s="31"/>
      <c r="P113" s="31">
        <f t="shared" si="3"/>
        <v>0</v>
      </c>
      <c r="Q113" s="27"/>
      <c r="R113" s="13"/>
    </row>
    <row r="114" spans="1:18">
      <c r="A114" s="54"/>
      <c r="B114" s="39"/>
      <c r="C114" s="39"/>
      <c r="D114" s="39"/>
      <c r="E114" s="39"/>
      <c r="F114" s="39"/>
      <c r="G114" s="39"/>
      <c r="H114" s="39"/>
      <c r="I114" s="39"/>
      <c r="J114" s="39"/>
      <c r="K114" s="39"/>
      <c r="L114" s="39"/>
      <c r="M114" s="39"/>
      <c r="N114" s="39"/>
      <c r="O114" s="39"/>
      <c r="P114" s="39">
        <f t="shared" si="3"/>
        <v>0</v>
      </c>
      <c r="Q114" s="27"/>
      <c r="R114" s="13"/>
    </row>
    <row r="115" spans="1:18">
      <c r="A115" s="16" t="s">
        <v>104</v>
      </c>
      <c r="B115" s="47">
        <v>25767258.889999978</v>
      </c>
      <c r="C115" s="47">
        <v>587893.49350000545</v>
      </c>
      <c r="D115" s="47">
        <v>0</v>
      </c>
      <c r="E115" s="47">
        <v>1.1641532182693481E-10</v>
      </c>
      <c r="F115" s="47">
        <v>0</v>
      </c>
      <c r="G115" s="47">
        <v>0</v>
      </c>
      <c r="H115" s="47">
        <v>-3671.6</v>
      </c>
      <c r="I115" s="47">
        <v>0</v>
      </c>
      <c r="J115" s="47">
        <v>0</v>
      </c>
      <c r="K115" s="47">
        <v>0</v>
      </c>
      <c r="L115" s="47">
        <v>0</v>
      </c>
      <c r="M115" s="47"/>
      <c r="N115" s="47"/>
      <c r="O115" s="47"/>
      <c r="P115" s="47">
        <f t="shared" si="3"/>
        <v>26351480.783499982</v>
      </c>
      <c r="Q115" s="27"/>
      <c r="R115" s="13"/>
    </row>
    <row r="116" spans="1:18">
      <c r="A116" s="30"/>
      <c r="B116" s="39"/>
      <c r="C116" s="39"/>
      <c r="D116" s="39"/>
      <c r="E116" s="39"/>
      <c r="F116" s="39"/>
      <c r="G116" s="39"/>
      <c r="H116" s="39"/>
      <c r="I116" s="39"/>
      <c r="J116" s="39"/>
      <c r="K116" s="39"/>
      <c r="L116" s="39"/>
      <c r="M116" s="39"/>
      <c r="N116" s="39"/>
      <c r="O116" s="39"/>
      <c r="P116" s="39">
        <f t="shared" si="3"/>
        <v>0</v>
      </c>
      <c r="Q116" s="27"/>
      <c r="R116" s="13"/>
    </row>
    <row r="117" spans="1:18">
      <c r="A117" s="30" t="s">
        <v>105</v>
      </c>
      <c r="B117" s="39"/>
      <c r="C117" s="39"/>
      <c r="D117" s="39"/>
      <c r="E117" s="39"/>
      <c r="F117" s="39"/>
      <c r="G117" s="39"/>
      <c r="H117" s="39"/>
      <c r="I117" s="39"/>
      <c r="J117" s="39"/>
      <c r="K117" s="39"/>
      <c r="L117" s="39"/>
      <c r="M117" s="39"/>
      <c r="N117" s="39"/>
      <c r="O117" s="39"/>
      <c r="P117" s="39">
        <f t="shared" si="3"/>
        <v>0</v>
      </c>
      <c r="Q117" s="27"/>
      <c r="R117" s="13"/>
    </row>
    <row r="118" spans="1:18">
      <c r="A118" s="42" t="s">
        <v>106</v>
      </c>
      <c r="B118" s="50"/>
      <c r="C118" s="50"/>
      <c r="D118" s="50"/>
      <c r="E118" s="50"/>
      <c r="F118" s="50"/>
      <c r="G118" s="50"/>
      <c r="H118" s="50"/>
      <c r="I118" s="50"/>
      <c r="J118" s="50"/>
      <c r="K118" s="50"/>
      <c r="L118" s="50"/>
      <c r="M118" s="50"/>
      <c r="N118" s="50"/>
      <c r="O118" s="50"/>
      <c r="P118" s="50">
        <f t="shared" si="3"/>
        <v>0</v>
      </c>
      <c r="Q118" s="27"/>
      <c r="R118" s="13"/>
    </row>
    <row r="119" spans="1:18">
      <c r="A119" s="42" t="s">
        <v>107</v>
      </c>
      <c r="B119" s="50"/>
      <c r="C119" s="50"/>
      <c r="D119" s="50"/>
      <c r="E119" s="50"/>
      <c r="F119" s="50"/>
      <c r="G119" s="50"/>
      <c r="H119" s="50"/>
      <c r="I119" s="50"/>
      <c r="J119" s="50"/>
      <c r="K119" s="50"/>
      <c r="L119" s="50"/>
      <c r="M119" s="50"/>
      <c r="N119" s="50"/>
      <c r="O119" s="50"/>
      <c r="P119" s="50">
        <f t="shared" si="3"/>
        <v>0</v>
      </c>
      <c r="Q119" s="27"/>
      <c r="R119" s="13"/>
    </row>
    <row r="120" spans="1:18">
      <c r="A120" s="42" t="s">
        <v>108</v>
      </c>
      <c r="B120" s="50"/>
      <c r="C120" s="50"/>
      <c r="D120" s="50"/>
      <c r="E120" s="50"/>
      <c r="F120" s="50"/>
      <c r="G120" s="50"/>
      <c r="H120" s="50"/>
      <c r="I120" s="50"/>
      <c r="J120" s="50"/>
      <c r="K120" s="50"/>
      <c r="L120" s="50"/>
      <c r="M120" s="50"/>
      <c r="N120" s="50"/>
      <c r="O120" s="50"/>
      <c r="P120" s="50">
        <f t="shared" si="3"/>
        <v>0</v>
      </c>
      <c r="Q120" s="27"/>
      <c r="R120" s="13"/>
    </row>
    <row r="121" spans="1:18">
      <c r="A121" s="30"/>
      <c r="B121" s="43"/>
      <c r="C121" s="43"/>
      <c r="D121" s="43"/>
      <c r="E121" s="43"/>
      <c r="F121" s="43"/>
      <c r="G121" s="43"/>
      <c r="H121" s="43"/>
      <c r="I121" s="43"/>
      <c r="J121" s="43"/>
      <c r="K121" s="43"/>
      <c r="L121" s="43"/>
      <c r="M121" s="43"/>
      <c r="N121" s="43"/>
      <c r="O121" s="43"/>
      <c r="P121" s="43">
        <f t="shared" si="3"/>
        <v>0</v>
      </c>
      <c r="Q121" s="27"/>
      <c r="R121" s="13"/>
    </row>
    <row r="122" spans="1:18">
      <c r="A122" s="30" t="s">
        <v>109</v>
      </c>
      <c r="B122" s="40"/>
      <c r="C122" s="47"/>
      <c r="D122" s="47"/>
      <c r="E122" s="47"/>
      <c r="F122" s="47"/>
      <c r="G122" s="47"/>
      <c r="H122" s="47"/>
      <c r="I122" s="47"/>
      <c r="J122" s="47"/>
      <c r="K122" s="47"/>
      <c r="L122" s="47"/>
      <c r="M122" s="47"/>
      <c r="N122" s="47"/>
      <c r="O122" s="47"/>
      <c r="P122" s="47">
        <f t="shared" si="3"/>
        <v>0</v>
      </c>
      <c r="Q122" s="27"/>
      <c r="R122" s="13"/>
    </row>
    <row r="123" spans="1:18">
      <c r="A123" s="16" t="s">
        <v>110</v>
      </c>
      <c r="B123" s="47">
        <v>25767258.889999978</v>
      </c>
      <c r="C123" s="47">
        <v>587893.49350000545</v>
      </c>
      <c r="D123" s="47">
        <v>0</v>
      </c>
      <c r="E123" s="47">
        <v>1.1641532182693481E-10</v>
      </c>
      <c r="F123" s="47">
        <v>0</v>
      </c>
      <c r="G123" s="47">
        <v>0</v>
      </c>
      <c r="H123" s="47">
        <v>-3671.6</v>
      </c>
      <c r="I123" s="47">
        <v>0</v>
      </c>
      <c r="J123" s="47">
        <v>0</v>
      </c>
      <c r="K123" s="47">
        <v>0</v>
      </c>
      <c r="L123" s="47">
        <v>0</v>
      </c>
      <c r="M123" s="47"/>
      <c r="N123" s="47"/>
      <c r="O123" s="47"/>
      <c r="P123" s="47">
        <f t="shared" si="3"/>
        <v>26351480.783499982</v>
      </c>
      <c r="Q123" s="27"/>
      <c r="R123" s="13"/>
    </row>
    <row r="124" spans="1:18">
      <c r="A124" s="30"/>
      <c r="B124" s="39"/>
      <c r="C124" s="39"/>
      <c r="D124" s="39"/>
      <c r="E124" s="39"/>
      <c r="F124" s="39"/>
      <c r="G124" s="39"/>
      <c r="H124" s="39"/>
      <c r="I124" s="39"/>
      <c r="J124" s="39"/>
      <c r="K124" s="39"/>
      <c r="L124" s="39"/>
      <c r="M124" s="39"/>
      <c r="N124" s="39"/>
      <c r="O124" s="39"/>
      <c r="P124" s="39">
        <f t="shared" si="3"/>
        <v>0</v>
      </c>
      <c r="Q124" s="27"/>
      <c r="R124" s="13"/>
    </row>
    <row r="125" spans="1:18">
      <c r="A125" s="30" t="s">
        <v>111</v>
      </c>
      <c r="B125" s="31"/>
      <c r="C125" s="31"/>
      <c r="D125" s="31"/>
      <c r="E125" s="31"/>
      <c r="F125" s="31"/>
      <c r="G125" s="31"/>
      <c r="H125" s="31"/>
      <c r="I125" s="31"/>
      <c r="J125" s="31"/>
      <c r="K125" s="31"/>
      <c r="L125" s="31"/>
      <c r="M125" s="31"/>
      <c r="N125" s="31"/>
      <c r="O125" s="31"/>
      <c r="P125" s="31">
        <f t="shared" si="3"/>
        <v>0</v>
      </c>
      <c r="Q125" s="27"/>
      <c r="R125" s="13"/>
    </row>
    <row r="126" spans="1:18">
      <c r="A126" s="30" t="s">
        <v>112</v>
      </c>
      <c r="B126" s="31"/>
      <c r="C126" s="31"/>
      <c r="D126" s="31"/>
      <c r="E126" s="31"/>
      <c r="F126" s="31"/>
      <c r="G126" s="31"/>
      <c r="H126" s="31"/>
      <c r="I126" s="31"/>
      <c r="J126" s="31"/>
      <c r="K126" s="31"/>
      <c r="L126" s="31"/>
      <c r="M126" s="31"/>
      <c r="N126" s="31"/>
      <c r="O126" s="31"/>
      <c r="P126" s="31">
        <f t="shared" si="3"/>
        <v>0</v>
      </c>
      <c r="Q126" s="27"/>
      <c r="R126" s="13"/>
    </row>
    <row r="127" spans="1:18">
      <c r="A127" s="30"/>
      <c r="B127" s="39"/>
      <c r="C127" s="39"/>
      <c r="D127" s="39"/>
      <c r="E127" s="39"/>
      <c r="F127" s="39"/>
      <c r="G127" s="39"/>
      <c r="H127" s="39"/>
      <c r="I127" s="39"/>
      <c r="J127" s="39"/>
      <c r="K127" s="39"/>
      <c r="L127" s="39"/>
      <c r="M127" s="39"/>
      <c r="N127" s="39"/>
      <c r="O127" s="39"/>
      <c r="P127" s="39">
        <f t="shared" si="3"/>
        <v>0</v>
      </c>
      <c r="Q127" s="27"/>
      <c r="R127" s="13"/>
    </row>
    <row r="128" spans="1:18" ht="40.1" thickBot="1">
      <c r="A128" s="55" t="s">
        <v>113</v>
      </c>
      <c r="B128" s="45">
        <v>25767258.889999978</v>
      </c>
      <c r="C128" s="45">
        <v>587893.49350000545</v>
      </c>
      <c r="D128" s="45">
        <v>0</v>
      </c>
      <c r="E128" s="45">
        <v>1.1641532182693481E-10</v>
      </c>
      <c r="F128" s="45">
        <v>0</v>
      </c>
      <c r="G128" s="45">
        <v>0</v>
      </c>
      <c r="H128" s="45">
        <v>-3671.6</v>
      </c>
      <c r="I128" s="45">
        <v>0</v>
      </c>
      <c r="J128" s="45">
        <v>0</v>
      </c>
      <c r="K128" s="45">
        <v>0</v>
      </c>
      <c r="L128" s="45">
        <v>0</v>
      </c>
      <c r="M128" s="45"/>
      <c r="N128" s="45"/>
      <c r="O128" s="45"/>
      <c r="P128" s="45">
        <f t="shared" si="3"/>
        <v>26351480.783499982</v>
      </c>
      <c r="Q128" s="27"/>
      <c r="R128" s="13"/>
    </row>
    <row r="129" spans="1:18" ht="13.8" thickTop="1">
      <c r="A129" s="56"/>
      <c r="B129" s="57"/>
      <c r="C129" s="57"/>
      <c r="D129" s="57"/>
      <c r="E129" s="57"/>
      <c r="F129" s="57"/>
      <c r="G129" s="57"/>
      <c r="H129" s="57"/>
      <c r="I129" s="57"/>
      <c r="J129" s="57"/>
      <c r="K129" s="57"/>
      <c r="L129" s="57"/>
      <c r="M129" s="57"/>
      <c r="N129" s="57"/>
      <c r="O129" s="57"/>
      <c r="P129" s="57"/>
      <c r="Q129" s="11"/>
      <c r="R129" s="13"/>
    </row>
    <row r="130" spans="1:18">
      <c r="A130" s="55"/>
      <c r="B130" s="47"/>
      <c r="C130" s="47"/>
      <c r="D130" s="47"/>
      <c r="E130" s="47"/>
      <c r="F130" s="47"/>
      <c r="G130" s="47"/>
      <c r="H130" s="47"/>
      <c r="I130" s="47"/>
      <c r="J130" s="47"/>
      <c r="K130" s="47"/>
      <c r="L130" s="47"/>
      <c r="M130" s="47"/>
      <c r="N130" s="47"/>
      <c r="O130" s="47"/>
      <c r="P130" s="47"/>
      <c r="Q130" s="11"/>
      <c r="R130" s="13"/>
    </row>
    <row r="131" spans="1:18">
      <c r="A131" s="30"/>
      <c r="B131" s="39"/>
      <c r="C131" s="39"/>
      <c r="D131" s="39"/>
      <c r="E131" s="39"/>
      <c r="F131" s="39"/>
      <c r="G131" s="39"/>
      <c r="H131" s="39"/>
      <c r="I131" s="39"/>
      <c r="J131" s="39"/>
      <c r="K131" s="39"/>
      <c r="L131" s="39"/>
      <c r="M131" s="39"/>
      <c r="N131" s="39"/>
      <c r="O131" s="39"/>
      <c r="P131" s="39"/>
      <c r="Q131" s="11"/>
      <c r="R131" s="13"/>
    </row>
    <row r="132" spans="1:18">
      <c r="A132" s="42" t="s">
        <v>114</v>
      </c>
      <c r="B132" s="39">
        <v>-1.862645149230957E-9</v>
      </c>
      <c r="C132" s="39">
        <v>0</v>
      </c>
      <c r="D132" s="39">
        <v>0</v>
      </c>
      <c r="E132" s="39">
        <v>1.1641532182693481E-10</v>
      </c>
      <c r="F132" s="39">
        <v>0</v>
      </c>
      <c r="G132" s="39">
        <v>0</v>
      </c>
      <c r="H132" s="39">
        <v>0</v>
      </c>
      <c r="I132" s="39">
        <v>0</v>
      </c>
      <c r="J132" s="39">
        <v>0</v>
      </c>
      <c r="K132" s="39">
        <v>0</v>
      </c>
      <c r="L132" s="39">
        <v>0</v>
      </c>
      <c r="M132" s="39"/>
      <c r="N132" s="39"/>
      <c r="O132" s="39"/>
      <c r="P132" s="39">
        <v>-3.7252902984619141E-9</v>
      </c>
      <c r="Q132" s="11"/>
      <c r="R132" s="13"/>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tint="0.14999847407452621"/>
  </sheetPr>
  <dimension ref="A1:G111"/>
  <sheetViews>
    <sheetView workbookViewId="0">
      <selection activeCell="D31" sqref="D31"/>
    </sheetView>
  </sheetViews>
  <sheetFormatPr defaultColWidth="38.109375" defaultRowHeight="13.15"/>
  <cols>
    <col min="1" max="1" width="29.109375" style="30" customWidth="1"/>
    <col min="2" max="4" width="16.88671875" style="19" bestFit="1" customWidth="1" collapsed="1"/>
    <col min="5" max="5" width="11.33203125" style="62" customWidth="1" collapsed="1"/>
    <col min="6" max="6" width="9.21875" style="64" bestFit="1" customWidth="1"/>
    <col min="7" max="16384" width="38.109375" style="30"/>
  </cols>
  <sheetData>
    <row r="1" spans="1:6" s="8" customFormat="1">
      <c r="A1" s="8" t="s">
        <v>0</v>
      </c>
      <c r="B1" s="9"/>
      <c r="C1" s="9"/>
      <c r="D1" s="9"/>
      <c r="E1" s="59"/>
      <c r="F1" s="108"/>
    </row>
    <row r="2" spans="1:6" s="14" customFormat="1">
      <c r="A2" s="14" t="str">
        <f>'PRC JA list'!A3</f>
        <v>For the Period ended 30 June 2020 ("the Period")</v>
      </c>
      <c r="B2" s="15"/>
      <c r="C2" s="15"/>
      <c r="D2" s="15"/>
      <c r="E2" s="59"/>
      <c r="F2" s="109"/>
    </row>
    <row r="3" spans="1:6" s="16" customFormat="1">
      <c r="A3" s="16" t="s">
        <v>1</v>
      </c>
      <c r="B3" s="17"/>
      <c r="C3" s="17"/>
      <c r="D3" s="17"/>
      <c r="E3" s="61"/>
      <c r="F3" s="64"/>
    </row>
    <row r="4" spans="1:6" s="16" customFormat="1">
      <c r="A4" s="16" t="s">
        <v>2</v>
      </c>
      <c r="B4" s="9"/>
      <c r="C4" s="9"/>
      <c r="D4" s="9"/>
      <c r="E4" s="59"/>
      <c r="F4" s="64"/>
    </row>
    <row r="5" spans="1:6" s="16" customFormat="1">
      <c r="B5" s="9"/>
      <c r="C5" s="9"/>
      <c r="D5" s="9"/>
      <c r="E5" s="59"/>
      <c r="F5" s="64"/>
    </row>
    <row r="6" spans="1:6" s="18" customFormat="1">
      <c r="A6" s="18" t="s">
        <v>308</v>
      </c>
      <c r="B6" s="116"/>
      <c r="C6" s="19"/>
      <c r="D6" s="19"/>
      <c r="E6" s="62"/>
      <c r="F6" s="110"/>
    </row>
    <row r="7" spans="1:6" s="20" customFormat="1">
      <c r="B7" s="181">
        <v>43830</v>
      </c>
      <c r="C7" s="234">
        <v>43465</v>
      </c>
      <c r="D7" s="181"/>
      <c r="E7" s="63"/>
      <c r="F7" s="64"/>
    </row>
    <row r="8" spans="1:6" s="22" customFormat="1" ht="26.3">
      <c r="B8" s="23" t="s">
        <v>31</v>
      </c>
      <c r="C8" s="23" t="s">
        <v>31</v>
      </c>
      <c r="D8" s="23" t="s">
        <v>116</v>
      </c>
      <c r="E8" s="65" t="s">
        <v>115</v>
      </c>
      <c r="F8" s="65" t="s">
        <v>944</v>
      </c>
    </row>
    <row r="9" spans="1:6" s="28" customFormat="1">
      <c r="B9" s="66" t="s">
        <v>164</v>
      </c>
      <c r="C9" s="66" t="s">
        <v>165</v>
      </c>
      <c r="D9" s="66"/>
      <c r="E9" s="67"/>
      <c r="F9" s="64"/>
    </row>
    <row r="10" spans="1:6">
      <c r="A10" s="30" t="s">
        <v>32</v>
      </c>
      <c r="B10" s="32">
        <f>VLOOKUP(A10,'PRC Spreadsheet-2020.06.30'!$B$8:$S$113,18,0)</f>
        <v>18233680.629999999</v>
      </c>
      <c r="C10" s="32">
        <f>VLOOKUP(A10,'PRC Spreadsheet-2019.12.31'!A8:Q114,15,0)</f>
        <v>0</v>
      </c>
      <c r="D10" s="32">
        <f>B10-C10</f>
        <v>18233680.629999999</v>
      </c>
      <c r="E10" s="61">
        <f>IFERROR(D10/C10,0)</f>
        <v>0</v>
      </c>
      <c r="F10" s="111" t="s">
        <v>311</v>
      </c>
    </row>
    <row r="11" spans="1:6">
      <c r="A11" s="30" t="s">
        <v>161</v>
      </c>
      <c r="B11" s="32">
        <f>VLOOKUP(A11,'PRC Spreadsheet-2020.06.30'!$B$8:$S$113,18,0)</f>
        <v>9758624.9000000004</v>
      </c>
      <c r="C11" s="32">
        <f>VLOOKUP(A11,'PRC Spreadsheet-2019.12.31'!A9:Q115,15,0)</f>
        <v>0</v>
      </c>
      <c r="D11" s="32">
        <f t="shared" ref="D11:D66" si="0">B11-C11</f>
        <v>9758624.9000000004</v>
      </c>
      <c r="E11" s="61">
        <f t="shared" ref="E11:E20" si="1">IFERROR(D11/C11,0)</f>
        <v>0</v>
      </c>
      <c r="F11" s="111" t="s">
        <v>313</v>
      </c>
    </row>
    <row r="12" spans="1:6">
      <c r="A12" s="30" t="s">
        <v>243</v>
      </c>
      <c r="B12" s="32">
        <f>VLOOKUP(A12,'PRC Spreadsheet-2020.06.30'!$B$8:$S$113,18,0)</f>
        <v>100479502.38462412</v>
      </c>
      <c r="C12" s="32">
        <f>VLOOKUP(A12,'PRC Spreadsheet-2019.12.31'!A10:Q116,15,0)</f>
        <v>0</v>
      </c>
      <c r="D12" s="32">
        <f t="shared" si="0"/>
        <v>100479502.38462412</v>
      </c>
      <c r="E12" s="61">
        <f t="shared" si="1"/>
        <v>0</v>
      </c>
      <c r="F12" s="111" t="s">
        <v>314</v>
      </c>
    </row>
    <row r="13" spans="1:6">
      <c r="A13" s="30" t="s">
        <v>244</v>
      </c>
      <c r="B13" s="32">
        <f>VLOOKUP(A13,'PRC Spreadsheet-2020.06.30'!$B$8:$S$113,18,0)</f>
        <v>-1492139.23</v>
      </c>
      <c r="C13" s="32">
        <f>VLOOKUP(A13,'PRC Spreadsheet-2019.12.31'!A11:Q117,15,0)</f>
        <v>0</v>
      </c>
      <c r="D13" s="32">
        <f t="shared" si="0"/>
        <v>-1492139.23</v>
      </c>
      <c r="E13" s="61">
        <f t="shared" si="1"/>
        <v>0</v>
      </c>
      <c r="F13" s="111" t="s">
        <v>314</v>
      </c>
    </row>
    <row r="14" spans="1:6">
      <c r="A14" s="30" t="s">
        <v>162</v>
      </c>
      <c r="B14" s="32">
        <f>VLOOKUP(A14,'PRC Spreadsheet-2020.06.30'!$B$8:$S$113,18,0)</f>
        <v>28370261.780000001</v>
      </c>
      <c r="C14" s="32">
        <f>VLOOKUP(A14,'PRC Spreadsheet-2019.12.31'!A12:Q118,15,0)</f>
        <v>0</v>
      </c>
      <c r="D14" s="32">
        <f t="shared" si="0"/>
        <v>28370261.780000001</v>
      </c>
      <c r="E14" s="61">
        <f t="shared" si="1"/>
        <v>0</v>
      </c>
      <c r="F14" s="111" t="s">
        <v>314</v>
      </c>
    </row>
    <row r="15" spans="1:6">
      <c r="A15" s="30" t="s">
        <v>34</v>
      </c>
      <c r="B15" s="32">
        <f>VLOOKUP(A15,'PRC Spreadsheet-2020.06.30'!$B$8:$S$113,18,0)</f>
        <v>10976447.130000001</v>
      </c>
      <c r="C15" s="32">
        <f>VLOOKUP(A15,'PRC Spreadsheet-2019.12.31'!A13:Q119,15,0)</f>
        <v>0</v>
      </c>
      <c r="D15" s="32">
        <f t="shared" si="0"/>
        <v>10976447.130000001</v>
      </c>
      <c r="E15" s="61">
        <f t="shared" si="1"/>
        <v>0</v>
      </c>
      <c r="F15" s="111"/>
    </row>
    <row r="16" spans="1:6">
      <c r="A16" s="30" t="s">
        <v>68</v>
      </c>
      <c r="B16" s="32">
        <f>VLOOKUP(A16,'PRC Spreadsheet-2020.06.30'!$B$8:$S$113,18,0)</f>
        <v>15138.28</v>
      </c>
      <c r="C16" s="32">
        <f>VLOOKUP(A16,'PRC Spreadsheet-2019.12.31'!A14:Q120,15,0)</f>
        <v>0</v>
      </c>
      <c r="D16" s="32">
        <f t="shared" si="0"/>
        <v>15138.28</v>
      </c>
      <c r="E16" s="61">
        <f t="shared" si="1"/>
        <v>0</v>
      </c>
      <c r="F16" s="111"/>
    </row>
    <row r="17" spans="1:7">
      <c r="A17" s="30" t="s">
        <v>1229</v>
      </c>
      <c r="B17" s="32">
        <f>VLOOKUP(A17,'PRC Spreadsheet-2020.06.30'!$B$8:$S$113,18,0)</f>
        <v>24058623.5</v>
      </c>
      <c r="C17" s="32">
        <f>VLOOKUP(A17,'PRC Spreadsheet-2019.12.31'!A15:Q121,15,0)</f>
        <v>0</v>
      </c>
      <c r="D17" s="32">
        <f>B17-C17</f>
        <v>24058623.5</v>
      </c>
      <c r="E17" s="61">
        <f>IFERROR(D17/C17,0)</f>
        <v>0</v>
      </c>
      <c r="F17" s="111" t="s">
        <v>315</v>
      </c>
    </row>
    <row r="18" spans="1:7">
      <c r="A18" s="30" t="s">
        <v>312</v>
      </c>
      <c r="B18" s="32">
        <f>VLOOKUP(A18,'PRC Spreadsheet-2020.06.30'!$B$8:$S$113,18,0)</f>
        <v>175010863.44</v>
      </c>
      <c r="C18" s="32">
        <f>VLOOKUP(A18,'PRC Spreadsheet-2019.12.31'!A16:Q122,15,0)</f>
        <v>0</v>
      </c>
      <c r="D18" s="32">
        <f t="shared" si="0"/>
        <v>175010863.44</v>
      </c>
      <c r="E18" s="61">
        <f t="shared" si="1"/>
        <v>0</v>
      </c>
      <c r="F18" s="111" t="s">
        <v>316</v>
      </c>
    </row>
    <row r="19" spans="1:7">
      <c r="A19" s="30" t="s">
        <v>36</v>
      </c>
      <c r="B19" s="32">
        <f>VLOOKUP(A19,'PRC Spreadsheet-2020.06.30'!$B$8:$S$113,18,0)</f>
        <v>-31308759.649999999</v>
      </c>
      <c r="C19" s="32">
        <f>VLOOKUP(A19,'PRC Spreadsheet-2019.12.31'!A17:Q123,15,0)</f>
        <v>0</v>
      </c>
      <c r="D19" s="32">
        <f t="shared" si="0"/>
        <v>-31308759.649999999</v>
      </c>
      <c r="E19" s="61">
        <f t="shared" si="1"/>
        <v>0</v>
      </c>
      <c r="F19" s="111"/>
    </row>
    <row r="20" spans="1:7">
      <c r="A20" s="30" t="s">
        <v>163</v>
      </c>
      <c r="B20" s="32">
        <f>VLOOKUP(A20,'PRC Spreadsheet-2020.06.30'!$B$8:$S$113,18,0)</f>
        <v>7612123.9400000004</v>
      </c>
      <c r="C20" s="32">
        <f>VLOOKUP(A20,'PRC Spreadsheet-2019.12.31'!A18:Q124,15,0)</f>
        <v>0</v>
      </c>
      <c r="D20" s="32">
        <f t="shared" si="0"/>
        <v>7612123.9400000004</v>
      </c>
      <c r="E20" s="61">
        <f t="shared" si="1"/>
        <v>0</v>
      </c>
      <c r="F20" s="111" t="s">
        <v>317</v>
      </c>
    </row>
    <row r="21" spans="1:7" s="16" customFormat="1">
      <c r="A21" s="16" t="s">
        <v>7</v>
      </c>
      <c r="B21" s="70">
        <f>SUBTOTAL(9,B10:B20)</f>
        <v>341714367.10462409</v>
      </c>
      <c r="C21" s="70">
        <f>SUBTOTAL(9,C10:C20)</f>
        <v>0</v>
      </c>
      <c r="D21" s="70">
        <f t="shared" si="0"/>
        <v>341714367.10462409</v>
      </c>
      <c r="E21" s="71">
        <f>IFERROR(D21/C21,0)</f>
        <v>0</v>
      </c>
      <c r="F21" s="111"/>
      <c r="G21" s="30"/>
    </row>
    <row r="22" spans="1:7" s="16" customFormat="1">
      <c r="B22" s="70"/>
      <c r="C22" s="70"/>
      <c r="D22" s="70"/>
      <c r="E22" s="71"/>
      <c r="F22" s="111"/>
    </row>
    <row r="23" spans="1:7">
      <c r="A23" s="30" t="s">
        <v>8</v>
      </c>
      <c r="B23" s="32">
        <f>VLOOKUP(A23,'PRC Spreadsheet-2020.06.30'!$B$8:$S$113,18,0)</f>
        <v>401541269.69999999</v>
      </c>
      <c r="C23" s="32">
        <f>VLOOKUP(A23,'PRC Spreadsheet-2019.12.31'!A21:Q127,15,0)</f>
        <v>0</v>
      </c>
      <c r="D23" s="32">
        <f>B23-C23</f>
        <v>401541269.69999999</v>
      </c>
      <c r="E23" s="61">
        <f>IFERROR(D23/C23,0)</f>
        <v>0</v>
      </c>
      <c r="F23" s="242"/>
    </row>
    <row r="24" spans="1:7">
      <c r="A24" s="30" t="s">
        <v>39</v>
      </c>
      <c r="B24" s="32">
        <f>VLOOKUP(A24,'PRC Spreadsheet-2020.06.30'!$B$8:$S$113,18,0)</f>
        <v>-98340826.659999996</v>
      </c>
      <c r="C24" s="32">
        <f>VLOOKUP(A24,'PRC Spreadsheet-2019.12.31'!A22:Q128,15,0)</f>
        <v>0</v>
      </c>
      <c r="D24" s="32">
        <f>B24-C24</f>
        <v>-98340826.659999996</v>
      </c>
      <c r="E24" s="61">
        <f>IFERROR(D24/C24,0)</f>
        <v>0</v>
      </c>
      <c r="F24" s="111"/>
    </row>
    <row r="25" spans="1:7" s="105" customFormat="1">
      <c r="A25" s="105" t="s">
        <v>40</v>
      </c>
      <c r="B25" s="106">
        <f>SUBTOTAL(9,B23:B24)</f>
        <v>303200443.03999996</v>
      </c>
      <c r="C25" s="106">
        <f>SUBTOTAL(9,C23:C24)</f>
        <v>0</v>
      </c>
      <c r="D25" s="106">
        <f t="shared" si="0"/>
        <v>303200443.03999996</v>
      </c>
      <c r="E25" s="107">
        <f>IFERROR(D25/C25,0)</f>
        <v>0</v>
      </c>
      <c r="F25" s="112"/>
    </row>
    <row r="26" spans="1:7">
      <c r="A26" s="30" t="s">
        <v>76</v>
      </c>
      <c r="B26" s="32">
        <f>VLOOKUP(A26,'PRC Spreadsheet-2020.06.30'!$B$8:$S$113,18,0)</f>
        <v>0</v>
      </c>
      <c r="C26" s="32">
        <f>VLOOKUP(A26,'PRC Spreadsheet-2019.12.31'!A24:Q130,14,0)</f>
        <v>0</v>
      </c>
      <c r="D26" s="68">
        <f t="shared" si="0"/>
        <v>0</v>
      </c>
      <c r="E26" s="61">
        <f>IFERROR(D26/C26,0)</f>
        <v>0</v>
      </c>
      <c r="F26" s="111"/>
    </row>
    <row r="27" spans="1:7" s="16" customFormat="1">
      <c r="A27" s="16" t="s">
        <v>41</v>
      </c>
      <c r="B27" s="48">
        <f>SUBTOTAL(9,B23:B26)</f>
        <v>303200443.03999996</v>
      </c>
      <c r="C27" s="48">
        <f>SUBTOTAL(9,C23:C26)</f>
        <v>0</v>
      </c>
      <c r="D27" s="48">
        <f t="shared" si="0"/>
        <v>303200443.03999996</v>
      </c>
      <c r="E27" s="71">
        <f>IFERROR(D27/C27,0)</f>
        <v>0</v>
      </c>
      <c r="F27" s="111"/>
    </row>
    <row r="28" spans="1:7" s="16" customFormat="1">
      <c r="B28" s="32"/>
      <c r="C28" s="32"/>
      <c r="D28" s="32"/>
      <c r="E28" s="71"/>
      <c r="F28" s="111"/>
    </row>
    <row r="29" spans="1:7">
      <c r="A29" s="30" t="s">
        <v>10</v>
      </c>
      <c r="B29" s="32">
        <f>VLOOKUP(A29,'PRC Spreadsheet-2020.06.30'!$B$8:$S$113,18,0)</f>
        <v>733827.72</v>
      </c>
      <c r="C29" s="32">
        <f>VLOOKUP(A29,'PRC Spreadsheet-2019.12.31'!A27:Q133,15,0)</f>
        <v>0</v>
      </c>
      <c r="D29" s="32">
        <f t="shared" si="0"/>
        <v>733827.72</v>
      </c>
      <c r="E29" s="61">
        <f>IFERROR(D29/C29,0)</f>
        <v>0</v>
      </c>
      <c r="F29" s="111" t="s">
        <v>320</v>
      </c>
    </row>
    <row r="30" spans="1:7">
      <c r="B30" s="32"/>
      <c r="C30" s="32"/>
      <c r="D30" s="32"/>
      <c r="E30" s="61"/>
      <c r="F30" s="111"/>
    </row>
    <row r="31" spans="1:7" s="16" customFormat="1">
      <c r="A31" s="16" t="s">
        <v>42</v>
      </c>
      <c r="B31" s="70">
        <f>SUBTOTAL(9,B10:B29)</f>
        <v>645648637.86462414</v>
      </c>
      <c r="C31" s="70">
        <f>SUBTOTAL(9,C10:C29)</f>
        <v>0</v>
      </c>
      <c r="D31" s="70">
        <f t="shared" si="0"/>
        <v>645648637.86462414</v>
      </c>
      <c r="E31" s="71">
        <f>IFERROR(D31/C31,0)</f>
        <v>0</v>
      </c>
      <c r="F31" s="111"/>
    </row>
    <row r="32" spans="1:7">
      <c r="B32" s="32"/>
      <c r="C32" s="68"/>
      <c r="D32" s="68"/>
      <c r="E32" s="61"/>
      <c r="F32" s="111"/>
    </row>
    <row r="33" spans="1:6">
      <c r="A33" s="30" t="s">
        <v>78</v>
      </c>
      <c r="B33" s="32">
        <f>VLOOKUP(A33,'PRC Spreadsheet-2020.06.30'!$B$8:$S$113,18,0)</f>
        <v>47817924.460000001</v>
      </c>
      <c r="C33" s="32">
        <f>VLOOKUP(A33,'PRC Spreadsheet-2019.12.31'!A31:Q137,15,0)</f>
        <v>0</v>
      </c>
      <c r="D33" s="32">
        <f t="shared" si="0"/>
        <v>47817924.460000001</v>
      </c>
      <c r="E33" s="61">
        <f>IFERROR(D33/C33,0)</f>
        <v>0</v>
      </c>
      <c r="F33" s="111"/>
    </row>
    <row r="34" spans="1:6">
      <c r="A34" s="30" t="s">
        <v>43</v>
      </c>
      <c r="B34" s="32">
        <f>VLOOKUP(A34,'PRC Spreadsheet-2020.06.30'!$B$8:$S$113,18,0)</f>
        <v>0</v>
      </c>
      <c r="C34" s="32">
        <f>VLOOKUP(A34,'PRC Spreadsheet-2019.12.31'!A32:Q138,14,0)</f>
        <v>0</v>
      </c>
      <c r="D34" s="32">
        <f>B34-C34</f>
        <v>0</v>
      </c>
      <c r="E34" s="61">
        <f>IFERROR(D34/C34,0)</f>
        <v>0</v>
      </c>
      <c r="F34" s="111"/>
    </row>
    <row r="35" spans="1:6" s="16" customFormat="1">
      <c r="A35" s="16" t="s">
        <v>44</v>
      </c>
      <c r="B35" s="70">
        <f>SUBTOTAL(9,B33:B34)</f>
        <v>47817924.460000001</v>
      </c>
      <c r="C35" s="70">
        <f>SUBTOTAL(9,C33:C34)</f>
        <v>0</v>
      </c>
      <c r="D35" s="70">
        <f t="shared" si="0"/>
        <v>47817924.460000001</v>
      </c>
      <c r="E35" s="71">
        <f>IFERROR(D35/C35,0)</f>
        <v>0</v>
      </c>
      <c r="F35" s="111"/>
    </row>
    <row r="36" spans="1:6">
      <c r="B36" s="68"/>
      <c r="C36" s="68"/>
      <c r="D36" s="68"/>
      <c r="E36" s="61"/>
      <c r="F36" s="111"/>
    </row>
    <row r="37" spans="1:6">
      <c r="A37" s="30" t="s">
        <v>12</v>
      </c>
      <c r="B37" s="32">
        <f>VLOOKUP(A37,'PRC Spreadsheet-2020.06.30'!$B$8:$S$113,18,0)</f>
        <v>0</v>
      </c>
      <c r="C37" s="32">
        <f>VLOOKUP(A37,'PRC Spreadsheet-2019.12.31'!A35:Q141,15,0)</f>
        <v>0</v>
      </c>
      <c r="D37" s="68">
        <f t="shared" si="0"/>
        <v>0</v>
      </c>
      <c r="E37" s="61">
        <f>IFERROR(D37/C37,0)</f>
        <v>0</v>
      </c>
      <c r="F37" s="111"/>
    </row>
    <row r="38" spans="1:6" s="44" customFormat="1">
      <c r="A38" s="44" t="s">
        <v>45</v>
      </c>
      <c r="B38" s="32">
        <f>VLOOKUP(A38,'PRC Spreadsheet-2020.06.30'!$B$8:$S$113,18,0)</f>
        <v>17470000</v>
      </c>
      <c r="C38" s="32">
        <f>VLOOKUP(A38,'PRC Spreadsheet-2019.12.31'!A36:Q142,15,0)</f>
        <v>0</v>
      </c>
      <c r="D38" s="68">
        <f t="shared" si="0"/>
        <v>17470000</v>
      </c>
      <c r="E38" s="75">
        <f>IFERROR(D38/C38,0)</f>
        <v>0</v>
      </c>
      <c r="F38" s="113"/>
    </row>
    <row r="39" spans="1:6" s="44" customFormat="1">
      <c r="B39" s="74"/>
      <c r="C39" s="74"/>
      <c r="D39" s="74"/>
      <c r="E39" s="75"/>
      <c r="F39" s="113"/>
    </row>
    <row r="40" spans="1:6" s="16" customFormat="1">
      <c r="A40" s="16" t="s">
        <v>13</v>
      </c>
      <c r="B40" s="70">
        <f>SUBTOTAL(9,B10:B39)</f>
        <v>710936562.32462418</v>
      </c>
      <c r="C40" s="70">
        <f>SUBTOTAL(9,C10:C39)</f>
        <v>0</v>
      </c>
      <c r="D40" s="70">
        <f t="shared" si="0"/>
        <v>710936562.32462418</v>
      </c>
      <c r="E40" s="71">
        <f>IFERROR(D40/C40,0)</f>
        <v>0</v>
      </c>
      <c r="F40" s="111"/>
    </row>
    <row r="41" spans="1:6">
      <c r="B41" s="68"/>
      <c r="C41" s="68"/>
      <c r="D41" s="68"/>
      <c r="E41" s="61"/>
      <c r="F41" s="111"/>
    </row>
    <row r="42" spans="1:6">
      <c r="A42" s="30" t="s">
        <v>14</v>
      </c>
      <c r="B42" s="32">
        <f>VLOOKUP(A42,'PRC Spreadsheet-2020.06.30'!$B$8:$S$113,18,0)</f>
        <v>0</v>
      </c>
      <c r="C42" s="32">
        <f>VLOOKUP(A42,'PRC Spreadsheet-2019.12.31'!A40:Q146,15,0)</f>
        <v>0</v>
      </c>
      <c r="D42" s="32">
        <f t="shared" si="0"/>
        <v>0</v>
      </c>
      <c r="E42" s="61">
        <f t="shared" ref="E42:E51" si="2">IFERROR(D42/C42,0)</f>
        <v>0</v>
      </c>
      <c r="F42" s="111" t="s">
        <v>315</v>
      </c>
    </row>
    <row r="43" spans="1:6">
      <c r="A43" s="30" t="s">
        <v>47</v>
      </c>
      <c r="B43" s="32">
        <f>VLOOKUP(A43,'PRC Spreadsheet-2020.06.30'!$B$8:$S$113,18,0)</f>
        <v>-132779994.89</v>
      </c>
      <c r="C43" s="32">
        <f>VLOOKUP(A43,'PRC Spreadsheet-2019.12.31'!A41:Q147,15,0)</f>
        <v>0</v>
      </c>
      <c r="D43" s="32">
        <f t="shared" si="0"/>
        <v>-132779994.89</v>
      </c>
      <c r="E43" s="61">
        <f t="shared" si="2"/>
        <v>0</v>
      </c>
      <c r="F43" s="64" t="s">
        <v>1309</v>
      </c>
    </row>
    <row r="44" spans="1:6">
      <c r="A44" s="30" t="s">
        <v>15</v>
      </c>
      <c r="B44" s="32">
        <f>VLOOKUP(A44,'PRC Spreadsheet-2020.06.30'!$B$8:$S$113,18,0)</f>
        <v>-4828747.88</v>
      </c>
      <c r="C44" s="32">
        <f>VLOOKUP(A44,'PRC Spreadsheet-2019.12.31'!A42:Q148,15,0)</f>
        <v>0</v>
      </c>
      <c r="D44" s="32">
        <f t="shared" si="0"/>
        <v>-4828747.88</v>
      </c>
      <c r="E44" s="61">
        <f t="shared" si="2"/>
        <v>0</v>
      </c>
      <c r="F44" s="111"/>
    </row>
    <row r="45" spans="1:6">
      <c r="A45" s="30" t="s">
        <v>53</v>
      </c>
      <c r="B45" s="32">
        <f>VLOOKUP(A45,'PRC Spreadsheet-2020.06.30'!$B$8:$S$113,18,0)</f>
        <v>-1275050.8700000001</v>
      </c>
      <c r="C45" s="32">
        <f>VLOOKUP(A45,'PRC Spreadsheet-2019.12.31'!A43:Q149,15,0)</f>
        <v>0</v>
      </c>
      <c r="D45" s="32">
        <f t="shared" si="0"/>
        <v>-1275050.8700000001</v>
      </c>
      <c r="E45" s="61">
        <f t="shared" si="2"/>
        <v>0</v>
      </c>
      <c r="F45" s="111"/>
    </row>
    <row r="46" spans="1:6">
      <c r="A46" s="30" t="s">
        <v>82</v>
      </c>
      <c r="B46" s="32">
        <f>VLOOKUP(A46,'PRC Spreadsheet-2020.06.30'!$B$8:$S$113,18,0)</f>
        <v>-5765045.46</v>
      </c>
      <c r="C46" s="32">
        <f>VLOOKUP(A46,'PRC Spreadsheet-2019.12.31'!A44:Q150,15,0)</f>
        <v>0</v>
      </c>
      <c r="D46" s="32">
        <f t="shared" si="0"/>
        <v>-5765045.46</v>
      </c>
      <c r="E46" s="61">
        <f t="shared" si="2"/>
        <v>0</v>
      </c>
    </row>
    <row r="47" spans="1:6">
      <c r="A47" s="30" t="s">
        <v>54</v>
      </c>
      <c r="B47" s="32">
        <f>VLOOKUP(A47,'PRC Spreadsheet-2020.06.30'!$B$8:$S$113,18,0)</f>
        <v>-18972397.410000201</v>
      </c>
      <c r="C47" s="32">
        <f>VLOOKUP(A47,'PRC Spreadsheet-2019.12.31'!A45:Q151,15,0)</f>
        <v>0</v>
      </c>
      <c r="D47" s="32">
        <f t="shared" si="0"/>
        <v>-18972397.410000201</v>
      </c>
      <c r="E47" s="61">
        <f t="shared" si="2"/>
        <v>0</v>
      </c>
      <c r="F47" s="111"/>
    </row>
    <row r="48" spans="1:6">
      <c r="A48" s="30" t="s">
        <v>55</v>
      </c>
      <c r="B48" s="32">
        <f>VLOOKUP(A48,'PRC Spreadsheet-2020.06.30'!$B$8:$S$113,18,0)</f>
        <v>-1055111.53</v>
      </c>
      <c r="C48" s="32">
        <f>VLOOKUP(A48,'PRC Spreadsheet-2019.12.31'!A46:Q152,15,0)</f>
        <v>0</v>
      </c>
      <c r="D48" s="32">
        <f t="shared" si="0"/>
        <v>-1055111.53</v>
      </c>
      <c r="E48" s="61">
        <f t="shared" si="2"/>
        <v>0</v>
      </c>
      <c r="F48" s="111"/>
    </row>
    <row r="49" spans="1:6">
      <c r="A49" s="30" t="s">
        <v>56</v>
      </c>
      <c r="B49" s="32">
        <f>VLOOKUP(A49,'PRC Spreadsheet-2020.06.30'!$B$8:$S$113,18,0)</f>
        <v>-53531337</v>
      </c>
      <c r="C49" s="32">
        <f>VLOOKUP(A49,'PRC Spreadsheet-2019.12.31'!A47:Q153,15,0)</f>
        <v>0</v>
      </c>
      <c r="D49" s="32">
        <f t="shared" si="0"/>
        <v>-53531337</v>
      </c>
      <c r="E49" s="61">
        <f t="shared" si="2"/>
        <v>0</v>
      </c>
      <c r="F49" s="64" t="s">
        <v>321</v>
      </c>
    </row>
    <row r="50" spans="1:6">
      <c r="A50" s="30" t="s">
        <v>1321</v>
      </c>
      <c r="B50" s="32">
        <f>VLOOKUP(A50,'PRC Spreadsheet-2020.06.30'!$B$8:$S$113,18,0)</f>
        <v>0</v>
      </c>
      <c r="C50" s="32">
        <v>0</v>
      </c>
      <c r="D50" s="32">
        <f t="shared" ref="D50" si="3">B50-C50</f>
        <v>0</v>
      </c>
      <c r="E50" s="61">
        <f t="shared" ref="E50" si="4">IFERROR(D50/C50,0)</f>
        <v>0</v>
      </c>
    </row>
    <row r="51" spans="1:6" s="16" customFormat="1">
      <c r="A51" s="16" t="s">
        <v>16</v>
      </c>
      <c r="B51" s="48">
        <f>SUBTOTAL(9,B42:B49)</f>
        <v>-218207685.04000023</v>
      </c>
      <c r="C51" s="48">
        <f>SUBTOTAL(9,C42:C49)</f>
        <v>0</v>
      </c>
      <c r="D51" s="48">
        <f t="shared" si="0"/>
        <v>-218207685.04000023</v>
      </c>
      <c r="E51" s="71">
        <f t="shared" si="2"/>
        <v>0</v>
      </c>
      <c r="F51" s="111"/>
    </row>
    <row r="52" spans="1:6" s="16" customFormat="1">
      <c r="B52" s="70"/>
      <c r="C52" s="70"/>
      <c r="D52" s="70"/>
      <c r="E52" s="71"/>
      <c r="F52" s="111"/>
    </row>
    <row r="53" spans="1:6">
      <c r="A53" s="30" t="s">
        <v>167</v>
      </c>
      <c r="B53" s="32">
        <f>VLOOKUP(A53,'PRC Spreadsheet-2020.06.30'!$B$8:$S$113,18,0)</f>
        <v>-158438000</v>
      </c>
      <c r="C53" s="32">
        <f>VLOOKUP(A53,'PRC Spreadsheet-2019.12.31'!A51:Q157,15,0)</f>
        <v>0</v>
      </c>
      <c r="D53" s="32">
        <f t="shared" si="0"/>
        <v>-158438000</v>
      </c>
      <c r="E53" s="61">
        <f>IFERROR(D53/C53,0)</f>
        <v>0</v>
      </c>
      <c r="F53" s="111"/>
    </row>
    <row r="54" spans="1:6" s="16" customFormat="1">
      <c r="A54" s="16" t="s">
        <v>17</v>
      </c>
      <c r="B54" s="48">
        <f>SUBTOTAL(9,B53)</f>
        <v>-158438000</v>
      </c>
      <c r="C54" s="48">
        <f>SUBTOTAL(9,C53)</f>
        <v>0</v>
      </c>
      <c r="D54" s="48">
        <f t="shared" si="0"/>
        <v>-158438000</v>
      </c>
      <c r="E54" s="71">
        <f>IFERROR(D54/C54,0)</f>
        <v>0</v>
      </c>
      <c r="F54" s="111"/>
    </row>
    <row r="55" spans="1:6">
      <c r="B55" s="68"/>
      <c r="C55" s="68"/>
      <c r="D55" s="68"/>
      <c r="E55" s="61"/>
      <c r="F55" s="111"/>
    </row>
    <row r="56" spans="1:6">
      <c r="A56" s="30" t="s">
        <v>49</v>
      </c>
      <c r="B56" s="32">
        <f>VLOOKUP(A56,'PRC Spreadsheet-2020.06.30'!$B$8:$S$113,18,0)</f>
        <v>0</v>
      </c>
      <c r="C56" s="32">
        <f>VLOOKUP(A56,'PRC Spreadsheet-2019.12.31'!A54:Q160,15,0)</f>
        <v>0</v>
      </c>
      <c r="D56" s="68">
        <f t="shared" si="0"/>
        <v>0</v>
      </c>
      <c r="E56" s="61">
        <f>IFERROR(D56/C56,0)</f>
        <v>0</v>
      </c>
      <c r="F56" s="111"/>
    </row>
    <row r="57" spans="1:6">
      <c r="B57" s="68"/>
      <c r="C57" s="68"/>
      <c r="D57" s="68"/>
      <c r="E57" s="61"/>
      <c r="F57" s="111"/>
    </row>
    <row r="58" spans="1:6" s="16" customFormat="1">
      <c r="A58" s="16" t="s">
        <v>18</v>
      </c>
      <c r="B58" s="48">
        <f>SUBTOTAL(9,B42:B57)</f>
        <v>-376645685.0400002</v>
      </c>
      <c r="C58" s="48">
        <f>SUBTOTAL(9,C42:C57)</f>
        <v>0</v>
      </c>
      <c r="D58" s="48">
        <f t="shared" si="0"/>
        <v>-376645685.0400002</v>
      </c>
      <c r="E58" s="71">
        <f>IFERROR(D58/C58,0)</f>
        <v>0</v>
      </c>
      <c r="F58" s="111"/>
    </row>
    <row r="59" spans="1:6">
      <c r="B59" s="68"/>
      <c r="C59" s="68"/>
      <c r="D59" s="68"/>
      <c r="E59" s="61"/>
      <c r="F59" s="111"/>
    </row>
    <row r="60" spans="1:6">
      <c r="A60" s="30" t="s">
        <v>19</v>
      </c>
      <c r="B60" s="32">
        <f>VLOOKUP(A60,'PRC Spreadsheet-2020.06.30'!$B$8:$S$113,18,0)</f>
        <v>-306849861.18000001</v>
      </c>
      <c r="C60" s="32">
        <f>VLOOKUP(A60,'PRC Spreadsheet-2019.12.31'!A58:Q164,15,0)</f>
        <v>0</v>
      </c>
      <c r="D60" s="32">
        <f t="shared" si="0"/>
        <v>-306849861.18000001</v>
      </c>
      <c r="E60" s="61">
        <f>IFERROR(D60/C60,0)</f>
        <v>0</v>
      </c>
      <c r="F60" s="111"/>
    </row>
    <row r="61" spans="1:6">
      <c r="A61" s="30" t="s">
        <v>50</v>
      </c>
      <c r="B61" s="32">
        <f>VLOOKUP(A61,'PRC Spreadsheet-2020.06.30'!$B$8:$S$113,18,0)</f>
        <v>0</v>
      </c>
      <c r="C61" s="32">
        <f>VLOOKUP(A61,'PRC Spreadsheet-2019.12.31'!A59:Q165,15,0)</f>
        <v>0</v>
      </c>
      <c r="D61" s="32">
        <f t="shared" si="0"/>
        <v>0</v>
      </c>
      <c r="E61" s="61">
        <f>IFERROR(D61/C61,0)</f>
        <v>0</v>
      </c>
      <c r="F61" s="111"/>
    </row>
    <row r="62" spans="1:6">
      <c r="A62" s="30" t="s">
        <v>51</v>
      </c>
      <c r="B62" s="32">
        <f>VLOOKUP(A62,'PRC Spreadsheet-2020.06.30'!$B$8:$S$113,18,0)</f>
        <v>0</v>
      </c>
      <c r="C62" s="32">
        <f>VLOOKUP(A62,'PRC Spreadsheet-2019.12.31'!A60:Q166,15,0)</f>
        <v>0</v>
      </c>
      <c r="D62" s="32">
        <f t="shared" si="0"/>
        <v>0</v>
      </c>
      <c r="E62" s="61">
        <f>IFERROR(D62/C62,0)</f>
        <v>0</v>
      </c>
      <c r="F62" s="111"/>
    </row>
    <row r="63" spans="1:6">
      <c r="B63" s="32"/>
      <c r="C63" s="32"/>
      <c r="D63" s="32"/>
      <c r="E63" s="61"/>
      <c r="F63" s="111"/>
    </row>
    <row r="64" spans="1:6">
      <c r="A64" s="30" t="s">
        <v>21</v>
      </c>
      <c r="B64" s="32">
        <f>VLOOKUP(A64,'PRC Spreadsheet-2020.06.30'!$B$8:$S$113,18,0)</f>
        <v>-28748158.049999937</v>
      </c>
      <c r="C64" s="32">
        <f>VLOOKUP(A64,'PRC Spreadsheet-2019.12.31'!A62:Q168,15,0)</f>
        <v>0</v>
      </c>
      <c r="D64" s="32">
        <f t="shared" si="0"/>
        <v>-28748158.049999937</v>
      </c>
      <c r="E64" s="61">
        <f>IFERROR(D64/C64,0)</f>
        <v>0</v>
      </c>
      <c r="F64" s="111"/>
    </row>
    <row r="65" spans="1:6">
      <c r="B65" s="68"/>
      <c r="C65" s="68"/>
      <c r="D65" s="68"/>
      <c r="E65" s="61"/>
      <c r="F65" s="111"/>
    </row>
    <row r="66" spans="1:6" s="16" customFormat="1">
      <c r="A66" s="16" t="s">
        <v>85</v>
      </c>
      <c r="B66" s="48">
        <f>SUBTOTAL(9,B60:B65)</f>
        <v>-335598019.22999996</v>
      </c>
      <c r="C66" s="48">
        <f>SUBTOTAL(9,C60:C65)</f>
        <v>0</v>
      </c>
      <c r="D66" s="48">
        <f t="shared" si="0"/>
        <v>-335598019.22999996</v>
      </c>
      <c r="E66" s="71">
        <f>IFERROR(D66/C66,0)</f>
        <v>0</v>
      </c>
      <c r="F66" s="111"/>
    </row>
    <row r="67" spans="1:6" s="16" customFormat="1">
      <c r="B67" s="70"/>
      <c r="C67" s="70"/>
      <c r="D67" s="70"/>
      <c r="E67" s="71"/>
      <c r="F67" s="111"/>
    </row>
    <row r="68" spans="1:6" s="16" customFormat="1">
      <c r="A68" s="16" t="s">
        <v>22</v>
      </c>
      <c r="B68" s="48">
        <f>SUBTOTAL(9,B42:B66)</f>
        <v>-712243704.27000022</v>
      </c>
      <c r="C68" s="48">
        <f>SUBTOTAL(9,C42:C66)</f>
        <v>0</v>
      </c>
      <c r="D68" s="48">
        <f>B68-C68</f>
        <v>-712243704.27000022</v>
      </c>
      <c r="E68" s="71">
        <f>IFERROR(D68/C68,0)</f>
        <v>0</v>
      </c>
      <c r="F68" s="111"/>
    </row>
    <row r="69" spans="1:6">
      <c r="B69" s="68"/>
      <c r="C69" s="68"/>
      <c r="D69" s="68"/>
      <c r="E69" s="61"/>
      <c r="F69" s="111"/>
    </row>
    <row r="70" spans="1:6" s="42" customFormat="1">
      <c r="A70" s="42" t="s">
        <v>52</v>
      </c>
      <c r="B70" s="72">
        <f>SUBTOTAL(9,B10:B68)</f>
        <v>-1307141.945375964</v>
      </c>
      <c r="C70" s="72">
        <f>SUBTOTAL(9,C10:C68)</f>
        <v>0</v>
      </c>
      <c r="D70" s="72"/>
      <c r="E70" s="73"/>
      <c r="F70" s="112"/>
    </row>
    <row r="71" spans="1:6" s="42" customFormat="1">
      <c r="B71" s="72"/>
      <c r="C71" s="72"/>
      <c r="D71" s="72"/>
      <c r="E71" s="73"/>
      <c r="F71" s="112"/>
    </row>
    <row r="72" spans="1:6" s="42" customFormat="1">
      <c r="B72" s="72"/>
      <c r="C72" s="72"/>
      <c r="D72" s="72"/>
      <c r="E72" s="73"/>
      <c r="F72" s="112"/>
    </row>
    <row r="73" spans="1:6">
      <c r="A73" s="69" t="s">
        <v>311</v>
      </c>
    </row>
    <row r="74" spans="1:6">
      <c r="A74" s="30" t="s">
        <v>1289</v>
      </c>
    </row>
    <row r="76" spans="1:6">
      <c r="A76" s="69" t="s">
        <v>313</v>
      </c>
    </row>
    <row r="77" spans="1:6">
      <c r="A77" s="30" t="s">
        <v>1290</v>
      </c>
    </row>
    <row r="79" spans="1:6">
      <c r="A79" s="69" t="s">
        <v>314</v>
      </c>
    </row>
    <row r="80" spans="1:6">
      <c r="A80" s="30" t="s">
        <v>1291</v>
      </c>
    </row>
    <row r="81" spans="1:1">
      <c r="A81" s="30" t="s">
        <v>1292</v>
      </c>
    </row>
    <row r="83" spans="1:1">
      <c r="A83" s="69" t="s">
        <v>315</v>
      </c>
    </row>
    <row r="84" spans="1:1">
      <c r="A84" s="30" t="s">
        <v>1293</v>
      </c>
    </row>
    <row r="85" spans="1:1">
      <c r="A85" s="30" t="s">
        <v>1294</v>
      </c>
    </row>
    <row r="87" spans="1:1">
      <c r="A87" s="69" t="s">
        <v>316</v>
      </c>
    </row>
    <row r="88" spans="1:1">
      <c r="A88" s="30" t="s">
        <v>318</v>
      </c>
    </row>
    <row r="89" spans="1:1">
      <c r="A89" s="30" t="s">
        <v>1295</v>
      </c>
    </row>
    <row r="90" spans="1:1">
      <c r="A90" s="30" t="s">
        <v>1296</v>
      </c>
    </row>
    <row r="91" spans="1:1">
      <c r="A91" s="30" t="s">
        <v>1297</v>
      </c>
    </row>
    <row r="92" spans="1:1">
      <c r="A92" s="30" t="s">
        <v>1298</v>
      </c>
    </row>
    <row r="93" spans="1:1">
      <c r="A93" s="30" t="s">
        <v>1299</v>
      </c>
    </row>
    <row r="94" spans="1:1">
      <c r="A94" s="30" t="s">
        <v>1300</v>
      </c>
    </row>
    <row r="96" spans="1:1">
      <c r="A96" s="69" t="s">
        <v>317</v>
      </c>
    </row>
    <row r="97" spans="1:1">
      <c r="A97" s="30" t="s">
        <v>319</v>
      </c>
    </row>
    <row r="99" spans="1:1">
      <c r="A99" s="69" t="s">
        <v>320</v>
      </c>
    </row>
    <row r="100" spans="1:1">
      <c r="A100" s="30" t="s">
        <v>1301</v>
      </c>
    </row>
    <row r="102" spans="1:1">
      <c r="A102" s="69" t="s">
        <v>321</v>
      </c>
    </row>
    <row r="103" spans="1:1">
      <c r="A103" s="30" t="s">
        <v>1302</v>
      </c>
    </row>
    <row r="104" spans="1:1">
      <c r="A104" s="30" t="s">
        <v>1303</v>
      </c>
    </row>
    <row r="105" spans="1:1">
      <c r="A105" s="30" t="s">
        <v>1304</v>
      </c>
    </row>
    <row r="106" spans="1:1">
      <c r="A106" s="30" t="s">
        <v>1305</v>
      </c>
    </row>
    <row r="107" spans="1:1">
      <c r="A107" s="30" t="s">
        <v>1306</v>
      </c>
    </row>
    <row r="109" spans="1:1">
      <c r="A109" s="69" t="s">
        <v>1309</v>
      </c>
    </row>
    <row r="110" spans="1:1">
      <c r="A110" s="30" t="s">
        <v>1307</v>
      </c>
    </row>
    <row r="111" spans="1:1">
      <c r="A111" s="30" t="s">
        <v>1308</v>
      </c>
    </row>
  </sheetData>
  <phoneticPr fontId="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tint="0.14999847407452621"/>
  </sheetPr>
  <dimension ref="A1:J87"/>
  <sheetViews>
    <sheetView workbookViewId="0">
      <pane ySplit="10" topLeftCell="A11" activePane="bottomLeft" state="frozen"/>
      <selection activeCell="D31" sqref="D31"/>
      <selection pane="bottomLeft" activeCell="D31" sqref="D31"/>
    </sheetView>
  </sheetViews>
  <sheetFormatPr defaultColWidth="9" defaultRowHeight="13.15"/>
  <cols>
    <col min="1" max="1" width="29.77734375" style="87" customWidth="1"/>
    <col min="2" max="4" width="15.21875" style="87" customWidth="1"/>
    <col min="5" max="5" width="10.88671875" style="93" customWidth="1"/>
    <col min="6" max="6" width="15.6640625" style="91" customWidth="1"/>
    <col min="7" max="9" width="9" style="87" customWidth="1"/>
    <col min="10" max="16384" width="9" style="87"/>
  </cols>
  <sheetData>
    <row r="1" spans="1:6" s="8" customFormat="1">
      <c r="A1" s="8" t="s">
        <v>0</v>
      </c>
      <c r="B1" s="9"/>
      <c r="C1" s="9"/>
      <c r="D1" s="9"/>
      <c r="E1" s="59"/>
      <c r="F1" s="81"/>
    </row>
    <row r="2" spans="1:6" s="82" customFormat="1">
      <c r="A2" s="82" t="s">
        <v>271</v>
      </c>
      <c r="B2" s="9"/>
      <c r="C2" s="9"/>
      <c r="D2" s="9"/>
      <c r="E2" s="59"/>
      <c r="F2" s="83"/>
    </row>
    <row r="3" spans="1:6" s="14" customFormat="1">
      <c r="A3" s="14" t="str">
        <f>'PRC JA list'!A3</f>
        <v>For the Period ended 30 June 2020 ("the Period")</v>
      </c>
      <c r="B3" s="15"/>
      <c r="C3" s="15"/>
      <c r="D3" s="15"/>
      <c r="E3" s="59"/>
      <c r="F3" s="60"/>
    </row>
    <row r="4" spans="1:6" s="16" customFormat="1">
      <c r="A4" s="16" t="s">
        <v>1</v>
      </c>
      <c r="B4" s="17"/>
      <c r="C4" s="17"/>
      <c r="D4" s="17"/>
      <c r="E4" s="61"/>
      <c r="F4" s="84"/>
    </row>
    <row r="5" spans="1:6" s="16" customFormat="1">
      <c r="A5" s="16" t="s">
        <v>2</v>
      </c>
      <c r="B5" s="9"/>
      <c r="C5" s="9"/>
      <c r="D5" s="9"/>
      <c r="E5" s="59"/>
      <c r="F5" s="84"/>
    </row>
    <row r="6" spans="1:6" s="16" customFormat="1">
      <c r="B6" s="9"/>
      <c r="C6" s="9"/>
      <c r="D6" s="9"/>
      <c r="E6" s="59"/>
      <c r="F6" s="84"/>
    </row>
    <row r="7" spans="1:6" s="18" customFormat="1">
      <c r="A7" s="18" t="s">
        <v>309</v>
      </c>
      <c r="B7" s="19"/>
      <c r="C7" s="19"/>
      <c r="D7" s="19"/>
      <c r="E7" s="62"/>
      <c r="F7" s="85"/>
    </row>
    <row r="8" spans="1:6" s="20" customFormat="1">
      <c r="B8" s="311" t="s">
        <v>1226</v>
      </c>
      <c r="C8" s="311" t="s">
        <v>1227</v>
      </c>
      <c r="D8" s="21"/>
      <c r="E8" s="63"/>
      <c r="F8" s="64"/>
    </row>
    <row r="9" spans="1:6" s="22" customFormat="1" ht="22.55" customHeight="1">
      <c r="B9" s="23" t="s">
        <v>31</v>
      </c>
      <c r="C9" s="23" t="s">
        <v>306</v>
      </c>
      <c r="D9" s="23" t="s">
        <v>116</v>
      </c>
      <c r="E9" s="65" t="s">
        <v>115</v>
      </c>
      <c r="F9" s="86"/>
    </row>
    <row r="10" spans="1:6" s="22" customFormat="1">
      <c r="B10" s="66" t="s">
        <v>164</v>
      </c>
      <c r="C10" s="66" t="s">
        <v>307</v>
      </c>
      <c r="D10" s="66"/>
      <c r="E10" s="67"/>
      <c r="F10" s="86"/>
    </row>
    <row r="11" spans="1:6">
      <c r="A11" s="30" t="s">
        <v>122</v>
      </c>
      <c r="B11" s="31">
        <f>IFERROR(VLOOKUP(A11,'PRC Spreadsheet-2020.06.30'!$B$72:$S$111,18,0),0)</f>
        <v>-369791108.20999998</v>
      </c>
      <c r="C11" s="31">
        <f>IFERROR(VLOOKUP(A11,'PRC Spreadsheet-2019.12.31'!$A$73:$Q$115,15,0),0)</f>
        <v>0</v>
      </c>
      <c r="D11" s="31">
        <f>B11-C11</f>
        <v>-369791108.20999998</v>
      </c>
      <c r="E11" s="78">
        <f>IFERROR(D11/C11,0)</f>
        <v>0</v>
      </c>
      <c r="F11" s="69" t="s">
        <v>311</v>
      </c>
    </row>
    <row r="12" spans="1:6">
      <c r="A12" s="30" t="s">
        <v>123</v>
      </c>
      <c r="B12" s="31">
        <f>IFERROR(VLOOKUP(A12,'PRC Spreadsheet-2020.06.30'!$B$72:$S$111,18,0),0)</f>
        <v>260345099.65000001</v>
      </c>
      <c r="C12" s="31">
        <f>IFERROR(VLOOKUP(A12,'PRC Spreadsheet-2019.12.31'!$A$73:$Q$115,15,0),0)</f>
        <v>0</v>
      </c>
      <c r="D12" s="31">
        <f>B12-C12</f>
        <v>260345099.65000001</v>
      </c>
      <c r="E12" s="78">
        <f>IFERROR(D12/C12,0)</f>
        <v>0</v>
      </c>
      <c r="F12" s="69" t="s">
        <v>311</v>
      </c>
    </row>
    <row r="13" spans="1:6">
      <c r="A13" s="30" t="s">
        <v>124</v>
      </c>
      <c r="B13" s="31">
        <f>IFERROR(VLOOKUP(A13,'PRC Spreadsheet-2020.06.30'!$B$72:$S$111,18,0),0)</f>
        <v>3218305.63</v>
      </c>
      <c r="C13" s="31">
        <f>IFERROR(VLOOKUP(A13,'PRC Spreadsheet-2019.12.31'!$A$73:$Q$115,15,0),0)</f>
        <v>0</v>
      </c>
      <c r="D13" s="31">
        <f>B13-C13</f>
        <v>3218305.63</v>
      </c>
      <c r="E13" s="78">
        <f>IFERROR(D13/C13,0)</f>
        <v>0</v>
      </c>
    </row>
    <row r="14" spans="1:6">
      <c r="A14" s="16" t="s">
        <v>125</v>
      </c>
      <c r="B14" s="37">
        <f>IFERROR(VLOOKUP(A14,'PRC Spreadsheet-2020.06.30'!$B$72:$S$111,18,0),0)</f>
        <v>-106227702.92999998</v>
      </c>
      <c r="C14" s="37">
        <f>IFERROR(VLOOKUP(A14,'PRC Spreadsheet-2019.12.31'!$A$73:$Q$115,15,0),0)</f>
        <v>0</v>
      </c>
      <c r="D14" s="37">
        <f>B14-C14</f>
        <v>-106227702.92999998</v>
      </c>
      <c r="E14" s="59">
        <f>IFERROR(D14/C14,0)</f>
        <v>0</v>
      </c>
      <c r="F14" s="69"/>
    </row>
    <row r="15" spans="1:6">
      <c r="A15" s="16"/>
      <c r="B15" s="53"/>
      <c r="C15" s="53"/>
      <c r="D15" s="53"/>
      <c r="E15" s="88"/>
      <c r="F15" s="89"/>
    </row>
    <row r="16" spans="1:6">
      <c r="A16" s="16" t="s">
        <v>126</v>
      </c>
      <c r="B16" s="47">
        <f>IFERROR(VLOOKUP(A16,'PRC Spreadsheet-2020.06.30'!$B$72:$S$111,18,0),0)</f>
        <v>-7005764.4500000002</v>
      </c>
      <c r="C16" s="47">
        <f>IFERROR(VLOOKUP(A16,'PRC Spreadsheet-2019.12.31'!$A$73:$Q$115,15,0),0)</f>
        <v>0</v>
      </c>
      <c r="D16" s="47">
        <f>B16-C16</f>
        <v>-7005764.4500000002</v>
      </c>
      <c r="E16" s="79">
        <f>IFERROR(D16/C16,0)</f>
        <v>0</v>
      </c>
      <c r="F16" s="69"/>
    </row>
    <row r="17" spans="1:10">
      <c r="A17" s="16"/>
      <c r="B17" s="31"/>
      <c r="C17" s="31"/>
      <c r="D17" s="31"/>
      <c r="E17" s="78"/>
      <c r="F17" s="89"/>
    </row>
    <row r="18" spans="1:10">
      <c r="A18" s="30" t="s">
        <v>127</v>
      </c>
      <c r="B18" s="31">
        <f>IFERROR(VLOOKUP(A18,'PRC Spreadsheet-2020.06.30'!$B$72:$S$111,18,0),0)</f>
        <v>30751155.050000001</v>
      </c>
      <c r="C18" s="31">
        <f>IFERROR(VLOOKUP(A18,'PRC Spreadsheet-2019.12.31'!$A$73:$Q$115,15,0),0)</f>
        <v>0</v>
      </c>
      <c r="D18" s="31">
        <f t="shared" ref="D18:D24" si="0">B18-C18</f>
        <v>30751155.050000001</v>
      </c>
      <c r="E18" s="78">
        <f t="shared" ref="E18:E24" si="1">IFERROR(D18/C18,0)</f>
        <v>0</v>
      </c>
      <c r="F18" s="69" t="s">
        <v>313</v>
      </c>
    </row>
    <row r="19" spans="1:10">
      <c r="A19" s="30" t="s">
        <v>128</v>
      </c>
      <c r="B19" s="31">
        <f>IFERROR(VLOOKUP(A19,'PRC Spreadsheet-2020.06.30'!$B$72:$S$111,18,0),0)</f>
        <v>44997610.850000001</v>
      </c>
      <c r="C19" s="31">
        <f>IFERROR(VLOOKUP(A19,'PRC Spreadsheet-2019.12.31'!$A$73:$Q$115,15,0),0)</f>
        <v>0</v>
      </c>
      <c r="D19" s="31">
        <f t="shared" si="0"/>
        <v>44997610.850000001</v>
      </c>
      <c r="E19" s="78">
        <f t="shared" si="1"/>
        <v>0</v>
      </c>
      <c r="F19" s="69" t="s">
        <v>314</v>
      </c>
    </row>
    <row r="20" spans="1:10">
      <c r="A20" s="30" t="s">
        <v>1323</v>
      </c>
      <c r="B20" s="31">
        <f>IFERROR(VLOOKUP(A20,'PRC Spreadsheet-2020.06.30'!$B$72:$S$111,18,0),0)</f>
        <v>0</v>
      </c>
      <c r="C20" s="31">
        <f>IFERROR(VLOOKUP(A20,'PRC Spreadsheet-2019.12.31'!$A$73:$Q$115,15,0),0)</f>
        <v>0</v>
      </c>
      <c r="D20" s="31"/>
      <c r="E20" s="78"/>
      <c r="F20" s="69"/>
    </row>
    <row r="21" spans="1:10">
      <c r="A21" s="30" t="s">
        <v>129</v>
      </c>
      <c r="B21" s="31">
        <f>IFERROR(VLOOKUP(A21,'PRC Spreadsheet-2020.06.30'!$B$72:$S$111,18,0),0)</f>
        <v>7690523.5700000003</v>
      </c>
      <c r="C21" s="31">
        <f>IFERROR(VLOOKUP(A21,'PRC Spreadsheet-2019.12.31'!$A$73:$Q$115,15,0),0)</f>
        <v>-2045118.72</v>
      </c>
      <c r="D21" s="31">
        <f t="shared" si="0"/>
        <v>9735642.290000001</v>
      </c>
      <c r="E21" s="78">
        <f t="shared" si="1"/>
        <v>-4.7604289153443382</v>
      </c>
      <c r="F21" s="69" t="s">
        <v>315</v>
      </c>
    </row>
    <row r="22" spans="1:10">
      <c r="A22" s="30" t="s">
        <v>130</v>
      </c>
      <c r="B22" s="31">
        <f>IFERROR(VLOOKUP(A22,'PRC Spreadsheet-2020.06.30'!$B$72:$S$111,18,0),0)</f>
        <v>0</v>
      </c>
      <c r="C22" s="31">
        <f>IFERROR(VLOOKUP(A22,'PRC Spreadsheet-2019.12.31'!$A$73:$Q$115,15,0),0)</f>
        <v>0</v>
      </c>
      <c r="D22" s="31">
        <f t="shared" si="0"/>
        <v>0</v>
      </c>
      <c r="E22" s="78">
        <f t="shared" si="1"/>
        <v>0</v>
      </c>
      <c r="F22" s="69" t="s">
        <v>321</v>
      </c>
    </row>
    <row r="23" spans="1:10">
      <c r="A23" s="30" t="s">
        <v>131</v>
      </c>
      <c r="B23" s="31">
        <f>IFERROR(VLOOKUP(A23,'PRC Spreadsheet-2020.06.30'!$B$72:$S$111,18,0),0)</f>
        <v>0</v>
      </c>
      <c r="C23" s="31">
        <f>IFERROR(VLOOKUP(A23,'PRC Spreadsheet-2019.12.31'!$A$73:$Q$115,15,0),0)</f>
        <v>0</v>
      </c>
      <c r="D23" s="31">
        <f t="shared" si="0"/>
        <v>0</v>
      </c>
      <c r="E23" s="78">
        <f t="shared" si="1"/>
        <v>0</v>
      </c>
      <c r="F23" s="89"/>
    </row>
    <row r="24" spans="1:10">
      <c r="A24" s="16" t="s">
        <v>23</v>
      </c>
      <c r="B24" s="47">
        <f>IFERROR(VLOOKUP(A24,'PRC Spreadsheet-2020.06.30'!$B$72:$S$111,18,0),0)</f>
        <v>-33688558.55999998</v>
      </c>
      <c r="C24" s="47">
        <f>IFERROR(VLOOKUP(A24,'PRC Spreadsheet-2019.12.31'!$A$73:$Q$115,15,0),0)</f>
        <v>0</v>
      </c>
      <c r="D24" s="47">
        <f t="shared" si="0"/>
        <v>-33688558.55999998</v>
      </c>
      <c r="E24" s="79">
        <f t="shared" si="1"/>
        <v>0</v>
      </c>
      <c r="F24" s="69"/>
    </row>
    <row r="25" spans="1:10">
      <c r="A25" s="16"/>
      <c r="B25" s="39"/>
      <c r="C25" s="39"/>
      <c r="D25" s="39"/>
      <c r="E25" s="62"/>
      <c r="F25" s="89"/>
    </row>
    <row r="26" spans="1:10">
      <c r="A26" s="30" t="s">
        <v>132</v>
      </c>
      <c r="B26" s="31">
        <f>IFERROR(VLOOKUP(A26,'PRC Spreadsheet-2020.06.30'!$B$72:$S$111,18,0),0)</f>
        <v>-3894380.65</v>
      </c>
      <c r="C26" s="31">
        <f>IFERROR(VLOOKUP(A26,'PRC Spreadsheet-2019.12.31'!$A$73:$Q$115,15,0),0)</f>
        <v>2045118.72</v>
      </c>
      <c r="D26" s="31">
        <f>B26-C26</f>
        <v>-5939499.3700000001</v>
      </c>
      <c r="E26" s="78">
        <f>IFERROR(D26/C26,0)</f>
        <v>-2.9042320682488301</v>
      </c>
      <c r="F26" s="69" t="s">
        <v>316</v>
      </c>
    </row>
    <row r="27" spans="1:10" s="76" customFormat="1">
      <c r="A27" s="30" t="s">
        <v>24</v>
      </c>
      <c r="B27" s="31">
        <f>IFERROR(VLOOKUP(A27,'PRC Spreadsheet-2020.06.30'!$B$72:$S$111,18,0),0)</f>
        <v>-366951.97</v>
      </c>
      <c r="C27" s="31">
        <f>IFERROR(VLOOKUP(A27,'PRC Spreadsheet-2019.12.31'!$A$73:$Q$115,15,0),0)</f>
        <v>0</v>
      </c>
      <c r="D27" s="31">
        <f>B27-C27</f>
        <v>-366951.97</v>
      </c>
      <c r="E27" s="78">
        <f>IFERROR(D27/C27,0)</f>
        <v>0</v>
      </c>
      <c r="F27" s="69" t="s">
        <v>317</v>
      </c>
    </row>
    <row r="28" spans="1:10" s="76" customFormat="1">
      <c r="A28" s="30" t="s">
        <v>25</v>
      </c>
      <c r="B28" s="31">
        <f>IFERROR(VLOOKUP(A28,'PRC Spreadsheet-2020.06.30'!$B$72:$S$111,18,0),0)</f>
        <v>497424.54</v>
      </c>
      <c r="C28" s="31">
        <f>IFERROR(VLOOKUP(A28,'PRC Spreadsheet-2019.12.31'!$A$73:$Q$115,14,0),0)</f>
        <v>0</v>
      </c>
      <c r="D28" s="31">
        <f>B28-C28</f>
        <v>497424.54</v>
      </c>
      <c r="E28" s="78">
        <f>IFERROR(D28/C28,0)</f>
        <v>0</v>
      </c>
      <c r="F28" s="69" t="s">
        <v>320</v>
      </c>
      <c r="J28" s="244"/>
    </row>
    <row r="29" spans="1:10">
      <c r="A29" s="30"/>
      <c r="B29" s="31"/>
      <c r="C29" s="31"/>
      <c r="D29" s="31"/>
      <c r="E29" s="78"/>
      <c r="F29" s="89"/>
      <c r="J29" s="244"/>
    </row>
    <row r="30" spans="1:10">
      <c r="A30" s="16" t="s">
        <v>133</v>
      </c>
      <c r="B30" s="47">
        <f>IFERROR(VLOOKUP(A30,'PRC Spreadsheet-2020.06.30'!$B$72:$S$111,18,0),0)</f>
        <v>-33558085.98999998</v>
      </c>
      <c r="C30" s="47">
        <f>IFERROR(VLOOKUP(A30,'PRC Spreadsheet-2019.12.31'!$A$73:$Q$115,15,0),0)</f>
        <v>0</v>
      </c>
      <c r="D30" s="47">
        <f>B30-C30</f>
        <v>-33558085.98999998</v>
      </c>
      <c r="E30" s="79">
        <f>IFERROR(D30/C30,0)</f>
        <v>0</v>
      </c>
      <c r="F30" s="69"/>
    </row>
    <row r="31" spans="1:10">
      <c r="A31" s="30"/>
      <c r="B31" s="39"/>
      <c r="C31" s="39"/>
      <c r="D31" s="39"/>
      <c r="E31" s="62"/>
      <c r="F31" s="89"/>
    </row>
    <row r="32" spans="1:10">
      <c r="A32" s="30" t="s">
        <v>26</v>
      </c>
      <c r="B32" s="31">
        <f>IFERROR(VLOOKUP(A32,'PRC Spreadsheet-2020.06.30'!$B$72:$S$111,18,0),0)</f>
        <v>5915000</v>
      </c>
      <c r="C32" s="31">
        <f>IFERROR(VLOOKUP(A32,'PRC Spreadsheet-2019.12.31'!$A$73:$Q$115,15,0),0)</f>
        <v>0</v>
      </c>
      <c r="D32" s="31">
        <f>B32-C32</f>
        <v>5915000</v>
      </c>
      <c r="E32" s="78">
        <f>IFERROR(D32/C32,0)</f>
        <v>0</v>
      </c>
      <c r="F32" s="90"/>
    </row>
    <row r="33" spans="1:10">
      <c r="A33" s="30"/>
      <c r="B33" s="39"/>
      <c r="C33" s="39"/>
      <c r="D33" s="39"/>
      <c r="E33" s="62"/>
    </row>
    <row r="34" spans="1:10" ht="13.8" thickBot="1">
      <c r="A34" s="16" t="s">
        <v>134</v>
      </c>
      <c r="B34" s="45">
        <f>IFERROR(VLOOKUP(A34,'PRC Spreadsheet-2020.06.30'!$B$72:$S$111,18,0),0)</f>
        <v>-27643085.98999998</v>
      </c>
      <c r="C34" s="45">
        <f>IFERROR(VLOOKUP(A34,'PRC Spreadsheet-2019.12.31'!$A$73:$Q$115,15,0),0)</f>
        <v>0</v>
      </c>
      <c r="D34" s="45">
        <f>B34-C34</f>
        <v>-27643085.98999998</v>
      </c>
      <c r="E34" s="80">
        <f>IFERROR(D34/C34,0)</f>
        <v>0</v>
      </c>
      <c r="F34" s="92"/>
    </row>
    <row r="35" spans="1:10" ht="13.8" thickTop="1"/>
    <row r="36" spans="1:10">
      <c r="A36" s="76"/>
      <c r="B36" s="94"/>
      <c r="C36" s="94"/>
      <c r="D36" s="94"/>
    </row>
    <row r="37" spans="1:10">
      <c r="A37" s="69" t="s">
        <v>311</v>
      </c>
    </row>
    <row r="38" spans="1:10">
      <c r="A38" s="76" t="s">
        <v>1268</v>
      </c>
      <c r="B38" s="96"/>
      <c r="C38" s="96"/>
      <c r="D38" s="96"/>
      <c r="E38" s="95"/>
      <c r="F38" s="95"/>
      <c r="G38" s="97"/>
      <c r="H38" s="98"/>
      <c r="J38" s="94"/>
    </row>
    <row r="39" spans="1:10">
      <c r="A39" s="76"/>
      <c r="B39" s="96"/>
      <c r="C39" s="96"/>
      <c r="D39" s="96"/>
      <c r="E39" s="95"/>
      <c r="F39" s="95"/>
      <c r="G39" s="97"/>
      <c r="H39" s="98"/>
      <c r="J39" s="94"/>
    </row>
    <row r="40" spans="1:10">
      <c r="A40" s="76"/>
      <c r="B40" s="96"/>
      <c r="C40" s="96"/>
      <c r="D40" s="96"/>
      <c r="E40" s="95"/>
      <c r="F40" s="95"/>
      <c r="G40" s="97"/>
      <c r="H40" s="98"/>
      <c r="J40" s="94"/>
    </row>
    <row r="41" spans="1:10">
      <c r="A41" s="76"/>
      <c r="B41" s="96"/>
      <c r="C41" s="96"/>
      <c r="D41" s="96"/>
      <c r="E41" s="95"/>
      <c r="F41" s="95"/>
      <c r="G41" s="97"/>
      <c r="H41" s="98"/>
      <c r="J41" s="94"/>
    </row>
    <row r="42" spans="1:10">
      <c r="A42" s="76"/>
      <c r="B42" s="96"/>
      <c r="C42" s="96"/>
      <c r="D42" s="96"/>
      <c r="E42" s="95"/>
      <c r="F42" s="95"/>
      <c r="G42" s="97"/>
      <c r="H42" s="98"/>
      <c r="J42" s="94"/>
    </row>
    <row r="43" spans="1:10">
      <c r="A43" s="76"/>
      <c r="B43" s="96"/>
      <c r="C43" s="96"/>
      <c r="D43" s="96"/>
      <c r="E43" s="95"/>
      <c r="F43" s="95"/>
      <c r="G43" s="97"/>
      <c r="H43" s="98"/>
      <c r="J43" s="94"/>
    </row>
    <row r="44" spans="1:10">
      <c r="A44" s="76" t="s">
        <v>1269</v>
      </c>
      <c r="B44" s="96"/>
      <c r="C44" s="96"/>
      <c r="D44" s="96"/>
      <c r="E44" s="95"/>
      <c r="F44" s="95"/>
      <c r="G44" s="97"/>
      <c r="H44" s="98"/>
      <c r="J44" s="94"/>
    </row>
    <row r="45" spans="1:10">
      <c r="A45" s="76" t="s">
        <v>1270</v>
      </c>
      <c r="B45" s="96"/>
      <c r="C45" s="96"/>
      <c r="D45" s="96"/>
      <c r="E45" s="95"/>
      <c r="F45" s="95"/>
      <c r="G45" s="97"/>
      <c r="H45" s="98"/>
      <c r="J45" s="94"/>
    </row>
    <row r="46" spans="1:10">
      <c r="A46" s="76" t="s">
        <v>1271</v>
      </c>
      <c r="B46" s="96"/>
      <c r="C46" s="96"/>
      <c r="D46" s="96"/>
      <c r="E46" s="95"/>
      <c r="F46" s="95"/>
      <c r="G46" s="97"/>
      <c r="H46" s="98"/>
      <c r="J46" s="94"/>
    </row>
    <row r="47" spans="1:10">
      <c r="A47" s="95"/>
      <c r="B47" s="96"/>
      <c r="C47" s="96"/>
      <c r="D47" s="96"/>
      <c r="E47" s="95"/>
      <c r="F47" s="95"/>
      <c r="G47" s="97"/>
      <c r="H47" s="98"/>
      <c r="J47" s="94"/>
    </row>
    <row r="48" spans="1:10">
      <c r="A48" s="95"/>
      <c r="B48" s="96"/>
      <c r="C48" s="96"/>
      <c r="D48" s="96"/>
      <c r="E48" s="95"/>
      <c r="F48" s="95"/>
      <c r="G48" s="97"/>
      <c r="H48" s="98"/>
      <c r="J48" s="94"/>
    </row>
    <row r="49" spans="1:1">
      <c r="A49" s="76"/>
    </row>
    <row r="50" spans="1:1">
      <c r="A50" s="76"/>
    </row>
    <row r="51" spans="1:1">
      <c r="A51" s="76"/>
    </row>
    <row r="52" spans="1:1">
      <c r="A52" s="76"/>
    </row>
    <row r="53" spans="1:1">
      <c r="A53" s="76"/>
    </row>
    <row r="54" spans="1:1">
      <c r="A54" s="76"/>
    </row>
    <row r="55" spans="1:1">
      <c r="A55" s="76"/>
    </row>
    <row r="56" spans="1:1">
      <c r="A56" s="76"/>
    </row>
    <row r="57" spans="1:1">
      <c r="A57" s="76" t="s">
        <v>1272</v>
      </c>
    </row>
    <row r="58" spans="1:1">
      <c r="A58" s="76" t="s">
        <v>1273</v>
      </c>
    </row>
    <row r="59" spans="1:1">
      <c r="A59" s="76" t="s">
        <v>1274</v>
      </c>
    </row>
    <row r="60" spans="1:1">
      <c r="A60" s="76" t="s">
        <v>1275</v>
      </c>
    </row>
    <row r="61" spans="1:1">
      <c r="A61" s="76" t="s">
        <v>1276</v>
      </c>
    </row>
    <row r="62" spans="1:1">
      <c r="A62" s="76"/>
    </row>
    <row r="63" spans="1:1">
      <c r="A63" s="69" t="s">
        <v>313</v>
      </c>
    </row>
    <row r="64" spans="1:1">
      <c r="A64" s="76" t="s">
        <v>1277</v>
      </c>
    </row>
    <row r="65" spans="1:1">
      <c r="A65" s="76" t="s">
        <v>1278</v>
      </c>
    </row>
    <row r="66" spans="1:1">
      <c r="A66" s="76" t="s">
        <v>1279</v>
      </c>
    </row>
    <row r="67" spans="1:1">
      <c r="A67" s="76"/>
    </row>
    <row r="68" spans="1:1">
      <c r="A68" s="69" t="s">
        <v>314</v>
      </c>
    </row>
    <row r="69" spans="1:1">
      <c r="A69" s="76" t="s">
        <v>1281</v>
      </c>
    </row>
    <row r="70" spans="1:1">
      <c r="A70" s="76" t="s">
        <v>1282</v>
      </c>
    </row>
    <row r="71" spans="1:1">
      <c r="A71" s="76" t="s">
        <v>1280</v>
      </c>
    </row>
    <row r="72" spans="1:1">
      <c r="A72" s="76" t="s">
        <v>1283</v>
      </c>
    </row>
    <row r="73" spans="1:1">
      <c r="A73" s="69"/>
    </row>
    <row r="74" spans="1:1">
      <c r="A74" s="69" t="s">
        <v>315</v>
      </c>
    </row>
    <row r="75" spans="1:1">
      <c r="A75" s="76" t="s">
        <v>1284</v>
      </c>
    </row>
    <row r="76" spans="1:1">
      <c r="A76" s="76"/>
    </row>
    <row r="77" spans="1:1">
      <c r="A77" s="69" t="s">
        <v>316</v>
      </c>
    </row>
    <row r="78" spans="1:1">
      <c r="A78" s="87" t="s">
        <v>1285</v>
      </c>
    </row>
    <row r="79" spans="1:1">
      <c r="A79" s="76"/>
    </row>
    <row r="80" spans="1:1">
      <c r="A80" s="69" t="s">
        <v>317</v>
      </c>
    </row>
    <row r="81" spans="1:1">
      <c r="A81" s="87" t="s">
        <v>1286</v>
      </c>
    </row>
    <row r="83" spans="1:1">
      <c r="A83" s="69" t="s">
        <v>320</v>
      </c>
    </row>
    <row r="84" spans="1:1">
      <c r="A84" s="87" t="s">
        <v>1287</v>
      </c>
    </row>
    <row r="86" spans="1:1">
      <c r="A86" s="69" t="s">
        <v>321</v>
      </c>
    </row>
    <row r="87" spans="1:1">
      <c r="A87" s="87" t="s">
        <v>1288</v>
      </c>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D10C-4401-41DC-B374-E6733C643AE7}">
  <dimension ref="A4:N6"/>
  <sheetViews>
    <sheetView workbookViewId="0">
      <selection activeCell="B8" sqref="B8"/>
    </sheetView>
  </sheetViews>
  <sheetFormatPr defaultRowHeight="15.05"/>
  <sheetData>
    <row r="4" spans="1:14" s="13" customFormat="1" ht="13.8" thickBot="1">
      <c r="A4" s="154"/>
      <c r="B4" s="155"/>
      <c r="C4" s="156"/>
      <c r="D4" s="325">
        <v>43830</v>
      </c>
      <c r="E4" s="325"/>
      <c r="F4" s="325"/>
      <c r="G4" s="156"/>
      <c r="H4" s="325">
        <v>43830</v>
      </c>
      <c r="I4" s="325"/>
      <c r="J4" s="325"/>
      <c r="K4" s="156"/>
      <c r="L4" s="325">
        <v>42916</v>
      </c>
      <c r="M4" s="325"/>
      <c r="N4" s="156"/>
    </row>
    <row r="5" spans="1:14" s="13" customFormat="1" ht="13.15">
      <c r="A5" s="235"/>
      <c r="B5" s="158"/>
      <c r="C5" s="159"/>
      <c r="D5" s="190" t="s">
        <v>57</v>
      </c>
      <c r="E5" s="190" t="s">
        <v>58</v>
      </c>
      <c r="F5" s="160" t="s">
        <v>59</v>
      </c>
      <c r="G5" s="159"/>
      <c r="H5" s="190" t="s">
        <v>57</v>
      </c>
      <c r="I5" s="190" t="s">
        <v>58</v>
      </c>
      <c r="J5" s="160" t="s">
        <v>59</v>
      </c>
      <c r="K5" s="159"/>
      <c r="L5" s="155" t="s">
        <v>57</v>
      </c>
      <c r="M5" s="160" t="s">
        <v>58</v>
      </c>
      <c r="N5" s="159"/>
    </row>
    <row r="6" spans="1:14" s="13" customFormat="1" ht="13.15">
      <c r="A6" s="157"/>
      <c r="B6" s="161" t="s">
        <v>118</v>
      </c>
    </row>
  </sheetData>
  <mergeCells count="3">
    <mergeCell ref="D4:F4"/>
    <mergeCell ref="H4:J4"/>
    <mergeCell ref="L4:M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249977111117893"/>
  </sheetPr>
  <dimension ref="A1:AX95"/>
  <sheetViews>
    <sheetView zoomScale="110" zoomScaleNormal="110" workbookViewId="0">
      <pane xSplit="2" ySplit="6" topLeftCell="AP19" activePane="bottomRight" state="frozen"/>
      <selection activeCell="J55" sqref="J55"/>
      <selection pane="topRight" activeCell="J55" sqref="J55"/>
      <selection pane="bottomLeft" activeCell="J55" sqref="J55"/>
      <selection pane="bottomRight" activeCell="J55" sqref="J55"/>
    </sheetView>
  </sheetViews>
  <sheetFormatPr defaultColWidth="9.21875" defaultRowHeight="13.15" outlineLevelCol="1"/>
  <cols>
    <col min="1" max="1" width="34" style="197" customWidth="1"/>
    <col min="2" max="2" width="15.88671875" style="197" customWidth="1"/>
    <col min="3" max="3" width="15" style="201" bestFit="1" customWidth="1"/>
    <col min="4" max="4" width="13.33203125" style="201" customWidth="1"/>
    <col min="5" max="5" width="13.88671875" style="201" bestFit="1" customWidth="1"/>
    <col min="6" max="6" width="15" style="201" bestFit="1" customWidth="1"/>
    <col min="7" max="7" width="14.33203125" style="201" customWidth="1"/>
    <col min="8" max="8" width="14.6640625" style="201" bestFit="1" customWidth="1"/>
    <col min="9" max="9" width="15" style="201" bestFit="1" customWidth="1"/>
    <col min="10" max="10" width="15.33203125" style="202" customWidth="1"/>
    <col min="11" max="11" width="14" style="201" bestFit="1" customWidth="1"/>
    <col min="12" max="12" width="12" style="201" hidden="1" customWidth="1" outlineLevel="1"/>
    <col min="13" max="13" width="14" style="201" hidden="1" customWidth="1" outlineLevel="1"/>
    <col min="14" max="14" width="15" style="201" customWidth="1" collapsed="1"/>
    <col min="15" max="15" width="15.6640625" style="201" bestFit="1" customWidth="1"/>
    <col min="16" max="16" width="14" style="201" bestFit="1" customWidth="1"/>
    <col min="17" max="17" width="13" style="201" hidden="1" customWidth="1" outlineLevel="1"/>
    <col min="18" max="18" width="14.33203125" style="201" bestFit="1" customWidth="1" collapsed="1"/>
    <col min="19" max="19" width="15.109375" style="201" customWidth="1"/>
    <col min="20" max="20" width="6" style="201" bestFit="1" customWidth="1"/>
    <col min="21" max="21" width="14.6640625" style="201" customWidth="1"/>
    <col min="22" max="22" width="14" style="201" customWidth="1"/>
    <col min="23" max="23" width="15" style="201" bestFit="1" customWidth="1"/>
    <col min="24" max="24" width="12.6640625" style="201" customWidth="1"/>
    <col min="25" max="25" width="16.109375" style="201" bestFit="1" customWidth="1"/>
    <col min="26" max="26" width="14" style="201" bestFit="1" customWidth="1"/>
    <col min="27" max="27" width="15.6640625" style="201" hidden="1" customWidth="1" outlineLevel="1"/>
    <col min="28" max="28" width="15" style="201" bestFit="1" customWidth="1" collapsed="1"/>
    <col min="29" max="29" width="14.21875" style="201" hidden="1" customWidth="1" outlineLevel="1"/>
    <col min="30" max="30" width="16.21875" style="201" customWidth="1" collapsed="1"/>
    <col min="31" max="31" width="16" style="201" customWidth="1"/>
    <col min="32" max="32" width="14.109375" style="201" customWidth="1"/>
    <col min="33" max="33" width="15.21875" style="201" customWidth="1"/>
    <col min="34" max="34" width="13.21875" style="201" customWidth="1"/>
    <col min="35" max="35" width="14.109375" style="201" customWidth="1"/>
    <col min="36" max="36" width="14.6640625" style="201" bestFit="1" customWidth="1"/>
    <col min="37" max="37" width="14.33203125" style="201" bestFit="1" customWidth="1"/>
    <col min="38" max="38" width="16.77734375" style="201" customWidth="1"/>
    <col min="39" max="39" width="14" style="201" bestFit="1" customWidth="1"/>
    <col min="40" max="40" width="16.77734375" style="201" customWidth="1"/>
    <col min="41" max="41" width="15.21875" style="201" customWidth="1"/>
    <col min="42" max="42" width="13" style="201" customWidth="1"/>
    <col min="43" max="43" width="13.88671875" style="201" bestFit="1" customWidth="1"/>
    <col min="44" max="44" width="14" style="201" customWidth="1"/>
    <col min="45" max="46" width="13.88671875" style="201" customWidth="1"/>
    <col min="47" max="47" width="13.88671875" style="290" customWidth="1"/>
    <col min="48" max="49" width="15" style="290" bestFit="1" customWidth="1"/>
    <col min="50" max="50" width="13.33203125" style="197" bestFit="1" customWidth="1"/>
    <col min="51" max="52" width="9.21875" style="197"/>
    <col min="53" max="53" width="14.88671875" style="197" bestFit="1" customWidth="1"/>
    <col min="54" max="256" width="9.21875" style="197"/>
    <col min="257" max="257" width="0" style="197" hidden="1" customWidth="1"/>
    <col min="258" max="258" width="32.6640625" style="197" customWidth="1"/>
    <col min="259" max="259" width="0" style="197" hidden="1" customWidth="1"/>
    <col min="260" max="260" width="17.6640625" style="197" customWidth="1"/>
    <col min="261" max="261" width="15.6640625" style="197" bestFit="1" customWidth="1"/>
    <col min="262" max="262" width="15.21875" style="197" customWidth="1"/>
    <col min="263" max="263" width="15.33203125" style="197" bestFit="1" customWidth="1"/>
    <col min="264" max="264" width="14.109375" style="197" customWidth="1"/>
    <col min="265" max="265" width="13.88671875" style="197" bestFit="1" customWidth="1"/>
    <col min="266" max="266" width="15.21875" style="197" bestFit="1" customWidth="1"/>
    <col min="267" max="267" width="13" style="197" bestFit="1" customWidth="1"/>
    <col min="268" max="269" width="14.109375" style="197" customWidth="1"/>
    <col min="270" max="271" width="15.21875" style="197" bestFit="1" customWidth="1"/>
    <col min="272" max="272" width="14.21875" style="197" bestFit="1" customWidth="1"/>
    <col min="273" max="273" width="14.88671875" style="197" bestFit="1" customWidth="1"/>
    <col min="274" max="274" width="14.33203125" style="197" customWidth="1"/>
    <col min="275" max="275" width="17.21875" style="197" customWidth="1"/>
    <col min="276" max="276" width="4.77734375" style="197" customWidth="1"/>
    <col min="277" max="277" width="15.21875" style="197" customWidth="1"/>
    <col min="278" max="278" width="10.21875" style="197" customWidth="1"/>
    <col min="279" max="279" width="15.21875" style="197" customWidth="1"/>
    <col min="280" max="280" width="13" style="197" customWidth="1"/>
    <col min="281" max="281" width="13.88671875" style="197" customWidth="1"/>
    <col min="282" max="282" width="13" style="197" customWidth="1"/>
    <col min="283" max="283" width="13.88671875" style="197" customWidth="1"/>
    <col min="284" max="284" width="15.21875" style="197" customWidth="1"/>
    <col min="285" max="285" width="13" style="197" customWidth="1"/>
    <col min="286" max="286" width="14.109375" style="197" customWidth="1"/>
    <col min="287" max="287" width="17.77734375" style="197" customWidth="1"/>
    <col min="288" max="288" width="14.109375" style="197" customWidth="1"/>
    <col min="289" max="289" width="15.21875" style="197" customWidth="1"/>
    <col min="290" max="290" width="13.21875" style="197" customWidth="1"/>
    <col min="291" max="291" width="14.109375" style="197" customWidth="1"/>
    <col min="292" max="292" width="13" style="197" customWidth="1"/>
    <col min="293" max="293" width="9.77734375" style="197" customWidth="1"/>
    <col min="294" max="294" width="16.77734375" style="197" customWidth="1"/>
    <col min="295" max="295" width="11.109375" style="197" customWidth="1"/>
    <col min="296" max="296" width="16.77734375" style="197" customWidth="1"/>
    <col min="297" max="297" width="15.21875" style="197" customWidth="1"/>
    <col min="298" max="298" width="15.21875" style="197" bestFit="1" customWidth="1"/>
    <col min="299" max="299" width="12.88671875" style="197" customWidth="1"/>
    <col min="300" max="300" width="16.33203125" style="197" bestFit="1" customWidth="1"/>
    <col min="301" max="303" width="13.88671875" style="197" bestFit="1" customWidth="1"/>
    <col min="304" max="304" width="12.6640625" style="197" bestFit="1" customWidth="1"/>
    <col min="305" max="305" width="13.21875" style="197" bestFit="1" customWidth="1"/>
    <col min="306" max="306" width="13.109375" style="197" bestFit="1" customWidth="1"/>
    <col min="307" max="512" width="9.21875" style="197"/>
    <col min="513" max="513" width="0" style="197" hidden="1" customWidth="1"/>
    <col min="514" max="514" width="32.6640625" style="197" customWidth="1"/>
    <col min="515" max="515" width="0" style="197" hidden="1" customWidth="1"/>
    <col min="516" max="516" width="17.6640625" style="197" customWidth="1"/>
    <col min="517" max="517" width="15.6640625" style="197" bestFit="1" customWidth="1"/>
    <col min="518" max="518" width="15.21875" style="197" customWidth="1"/>
    <col min="519" max="519" width="15.33203125" style="197" bestFit="1" customWidth="1"/>
    <col min="520" max="520" width="14.109375" style="197" customWidth="1"/>
    <col min="521" max="521" width="13.88671875" style="197" bestFit="1" customWidth="1"/>
    <col min="522" max="522" width="15.21875" style="197" bestFit="1" customWidth="1"/>
    <col min="523" max="523" width="13" style="197" bestFit="1" customWidth="1"/>
    <col min="524" max="525" width="14.109375" style="197" customWidth="1"/>
    <col min="526" max="527" width="15.21875" style="197" bestFit="1" customWidth="1"/>
    <col min="528" max="528" width="14.21875" style="197" bestFit="1" customWidth="1"/>
    <col min="529" max="529" width="14.88671875" style="197" bestFit="1" customWidth="1"/>
    <col min="530" max="530" width="14.33203125" style="197" customWidth="1"/>
    <col min="531" max="531" width="17.21875" style="197" customWidth="1"/>
    <col min="532" max="532" width="4.77734375" style="197" customWidth="1"/>
    <col min="533" max="533" width="15.21875" style="197" customWidth="1"/>
    <col min="534" max="534" width="10.21875" style="197" customWidth="1"/>
    <col min="535" max="535" width="15.21875" style="197" customWidth="1"/>
    <col min="536" max="536" width="13" style="197" customWidth="1"/>
    <col min="537" max="537" width="13.88671875" style="197" customWidth="1"/>
    <col min="538" max="538" width="13" style="197" customWidth="1"/>
    <col min="539" max="539" width="13.88671875" style="197" customWidth="1"/>
    <col min="540" max="540" width="15.21875" style="197" customWidth="1"/>
    <col min="541" max="541" width="13" style="197" customWidth="1"/>
    <col min="542" max="542" width="14.109375" style="197" customWidth="1"/>
    <col min="543" max="543" width="17.77734375" style="197" customWidth="1"/>
    <col min="544" max="544" width="14.109375" style="197" customWidth="1"/>
    <col min="545" max="545" width="15.21875" style="197" customWidth="1"/>
    <col min="546" max="546" width="13.21875" style="197" customWidth="1"/>
    <col min="547" max="547" width="14.109375" style="197" customWidth="1"/>
    <col min="548" max="548" width="13" style="197" customWidth="1"/>
    <col min="549" max="549" width="9.77734375" style="197" customWidth="1"/>
    <col min="550" max="550" width="16.77734375" style="197" customWidth="1"/>
    <col min="551" max="551" width="11.109375" style="197" customWidth="1"/>
    <col min="552" max="552" width="16.77734375" style="197" customWidth="1"/>
    <col min="553" max="553" width="15.21875" style="197" customWidth="1"/>
    <col min="554" max="554" width="15.21875" style="197" bestFit="1" customWidth="1"/>
    <col min="555" max="555" width="12.88671875" style="197" customWidth="1"/>
    <col min="556" max="556" width="16.33203125" style="197" bestFit="1" customWidth="1"/>
    <col min="557" max="559" width="13.88671875" style="197" bestFit="1" customWidth="1"/>
    <col min="560" max="560" width="12.6640625" style="197" bestFit="1" customWidth="1"/>
    <col min="561" max="561" width="13.21875" style="197" bestFit="1" customWidth="1"/>
    <col min="562" max="562" width="13.109375" style="197" bestFit="1" customWidth="1"/>
    <col min="563" max="768" width="9.21875" style="197"/>
    <col min="769" max="769" width="0" style="197" hidden="1" customWidth="1"/>
    <col min="770" max="770" width="32.6640625" style="197" customWidth="1"/>
    <col min="771" max="771" width="0" style="197" hidden="1" customWidth="1"/>
    <col min="772" max="772" width="17.6640625" style="197" customWidth="1"/>
    <col min="773" max="773" width="15.6640625" style="197" bestFit="1" customWidth="1"/>
    <col min="774" max="774" width="15.21875" style="197" customWidth="1"/>
    <col min="775" max="775" width="15.33203125" style="197" bestFit="1" customWidth="1"/>
    <col min="776" max="776" width="14.109375" style="197" customWidth="1"/>
    <col min="777" max="777" width="13.88671875" style="197" bestFit="1" customWidth="1"/>
    <col min="778" max="778" width="15.21875" style="197" bestFit="1" customWidth="1"/>
    <col min="779" max="779" width="13" style="197" bestFit="1" customWidth="1"/>
    <col min="780" max="781" width="14.109375" style="197" customWidth="1"/>
    <col min="782" max="783" width="15.21875" style="197" bestFit="1" customWidth="1"/>
    <col min="784" max="784" width="14.21875" style="197" bestFit="1" customWidth="1"/>
    <col min="785" max="785" width="14.88671875" style="197" bestFit="1" customWidth="1"/>
    <col min="786" max="786" width="14.33203125" style="197" customWidth="1"/>
    <col min="787" max="787" width="17.21875" style="197" customWidth="1"/>
    <col min="788" max="788" width="4.77734375" style="197" customWidth="1"/>
    <col min="789" max="789" width="15.21875" style="197" customWidth="1"/>
    <col min="790" max="790" width="10.21875" style="197" customWidth="1"/>
    <col min="791" max="791" width="15.21875" style="197" customWidth="1"/>
    <col min="792" max="792" width="13" style="197" customWidth="1"/>
    <col min="793" max="793" width="13.88671875" style="197" customWidth="1"/>
    <col min="794" max="794" width="13" style="197" customWidth="1"/>
    <col min="795" max="795" width="13.88671875" style="197" customWidth="1"/>
    <col min="796" max="796" width="15.21875" style="197" customWidth="1"/>
    <col min="797" max="797" width="13" style="197" customWidth="1"/>
    <col min="798" max="798" width="14.109375" style="197" customWidth="1"/>
    <col min="799" max="799" width="17.77734375" style="197" customWidth="1"/>
    <col min="800" max="800" width="14.109375" style="197" customWidth="1"/>
    <col min="801" max="801" width="15.21875" style="197" customWidth="1"/>
    <col min="802" max="802" width="13.21875" style="197" customWidth="1"/>
    <col min="803" max="803" width="14.109375" style="197" customWidth="1"/>
    <col min="804" max="804" width="13" style="197" customWidth="1"/>
    <col min="805" max="805" width="9.77734375" style="197" customWidth="1"/>
    <col min="806" max="806" width="16.77734375" style="197" customWidth="1"/>
    <col min="807" max="807" width="11.109375" style="197" customWidth="1"/>
    <col min="808" max="808" width="16.77734375" style="197" customWidth="1"/>
    <col min="809" max="809" width="15.21875" style="197" customWidth="1"/>
    <col min="810" max="810" width="15.21875" style="197" bestFit="1" customWidth="1"/>
    <col min="811" max="811" width="12.88671875" style="197" customWidth="1"/>
    <col min="812" max="812" width="16.33203125" style="197" bestFit="1" customWidth="1"/>
    <col min="813" max="815" width="13.88671875" style="197" bestFit="1" customWidth="1"/>
    <col min="816" max="816" width="12.6640625" style="197" bestFit="1" customWidth="1"/>
    <col min="817" max="817" width="13.21875" style="197" bestFit="1" customWidth="1"/>
    <col min="818" max="818" width="13.109375" style="197" bestFit="1" customWidth="1"/>
    <col min="819" max="1024" width="9.21875" style="197"/>
    <col min="1025" max="1025" width="0" style="197" hidden="1" customWidth="1"/>
    <col min="1026" max="1026" width="32.6640625" style="197" customWidth="1"/>
    <col min="1027" max="1027" width="0" style="197" hidden="1" customWidth="1"/>
    <col min="1028" max="1028" width="17.6640625" style="197" customWidth="1"/>
    <col min="1029" max="1029" width="15.6640625" style="197" bestFit="1" customWidth="1"/>
    <col min="1030" max="1030" width="15.21875" style="197" customWidth="1"/>
    <col min="1031" max="1031" width="15.33203125" style="197" bestFit="1" customWidth="1"/>
    <col min="1032" max="1032" width="14.109375" style="197" customWidth="1"/>
    <col min="1033" max="1033" width="13.88671875" style="197" bestFit="1" customWidth="1"/>
    <col min="1034" max="1034" width="15.21875" style="197" bestFit="1" customWidth="1"/>
    <col min="1035" max="1035" width="13" style="197" bestFit="1" customWidth="1"/>
    <col min="1036" max="1037" width="14.109375" style="197" customWidth="1"/>
    <col min="1038" max="1039" width="15.21875" style="197" bestFit="1" customWidth="1"/>
    <col min="1040" max="1040" width="14.21875" style="197" bestFit="1" customWidth="1"/>
    <col min="1041" max="1041" width="14.88671875" style="197" bestFit="1" customWidth="1"/>
    <col min="1042" max="1042" width="14.33203125" style="197" customWidth="1"/>
    <col min="1043" max="1043" width="17.21875" style="197" customWidth="1"/>
    <col min="1044" max="1044" width="4.77734375" style="197" customWidth="1"/>
    <col min="1045" max="1045" width="15.21875" style="197" customWidth="1"/>
    <col min="1046" max="1046" width="10.21875" style="197" customWidth="1"/>
    <col min="1047" max="1047" width="15.21875" style="197" customWidth="1"/>
    <col min="1048" max="1048" width="13" style="197" customWidth="1"/>
    <col min="1049" max="1049" width="13.88671875" style="197" customWidth="1"/>
    <col min="1050" max="1050" width="13" style="197" customWidth="1"/>
    <col min="1051" max="1051" width="13.88671875" style="197" customWidth="1"/>
    <col min="1052" max="1052" width="15.21875" style="197" customWidth="1"/>
    <col min="1053" max="1053" width="13" style="197" customWidth="1"/>
    <col min="1054" max="1054" width="14.109375" style="197" customWidth="1"/>
    <col min="1055" max="1055" width="17.77734375" style="197" customWidth="1"/>
    <col min="1056" max="1056" width="14.109375" style="197" customWidth="1"/>
    <col min="1057" max="1057" width="15.21875" style="197" customWidth="1"/>
    <col min="1058" max="1058" width="13.21875" style="197" customWidth="1"/>
    <col min="1059" max="1059" width="14.109375" style="197" customWidth="1"/>
    <col min="1060" max="1060" width="13" style="197" customWidth="1"/>
    <col min="1061" max="1061" width="9.77734375" style="197" customWidth="1"/>
    <col min="1062" max="1062" width="16.77734375" style="197" customWidth="1"/>
    <col min="1063" max="1063" width="11.109375" style="197" customWidth="1"/>
    <col min="1064" max="1064" width="16.77734375" style="197" customWidth="1"/>
    <col min="1065" max="1065" width="15.21875" style="197" customWidth="1"/>
    <col min="1066" max="1066" width="15.21875" style="197" bestFit="1" customWidth="1"/>
    <col min="1067" max="1067" width="12.88671875" style="197" customWidth="1"/>
    <col min="1068" max="1068" width="16.33203125" style="197" bestFit="1" customWidth="1"/>
    <col min="1069" max="1071" width="13.88671875" style="197" bestFit="1" customWidth="1"/>
    <col min="1072" max="1072" width="12.6640625" style="197" bestFit="1" customWidth="1"/>
    <col min="1073" max="1073" width="13.21875" style="197" bestFit="1" customWidth="1"/>
    <col min="1074" max="1074" width="13.109375" style="197" bestFit="1" customWidth="1"/>
    <col min="1075" max="1280" width="9.21875" style="197"/>
    <col min="1281" max="1281" width="0" style="197" hidden="1" customWidth="1"/>
    <col min="1282" max="1282" width="32.6640625" style="197" customWidth="1"/>
    <col min="1283" max="1283" width="0" style="197" hidden="1" customWidth="1"/>
    <col min="1284" max="1284" width="17.6640625" style="197" customWidth="1"/>
    <col min="1285" max="1285" width="15.6640625" style="197" bestFit="1" customWidth="1"/>
    <col min="1286" max="1286" width="15.21875" style="197" customWidth="1"/>
    <col min="1287" max="1287" width="15.33203125" style="197" bestFit="1" customWidth="1"/>
    <col min="1288" max="1288" width="14.109375" style="197" customWidth="1"/>
    <col min="1289" max="1289" width="13.88671875" style="197" bestFit="1" customWidth="1"/>
    <col min="1290" max="1290" width="15.21875" style="197" bestFit="1" customWidth="1"/>
    <col min="1291" max="1291" width="13" style="197" bestFit="1" customWidth="1"/>
    <col min="1292" max="1293" width="14.109375" style="197" customWidth="1"/>
    <col min="1294" max="1295" width="15.21875" style="197" bestFit="1" customWidth="1"/>
    <col min="1296" max="1296" width="14.21875" style="197" bestFit="1" customWidth="1"/>
    <col min="1297" max="1297" width="14.88671875" style="197" bestFit="1" customWidth="1"/>
    <col min="1298" max="1298" width="14.33203125" style="197" customWidth="1"/>
    <col min="1299" max="1299" width="17.21875" style="197" customWidth="1"/>
    <col min="1300" max="1300" width="4.77734375" style="197" customWidth="1"/>
    <col min="1301" max="1301" width="15.21875" style="197" customWidth="1"/>
    <col min="1302" max="1302" width="10.21875" style="197" customWidth="1"/>
    <col min="1303" max="1303" width="15.21875" style="197" customWidth="1"/>
    <col min="1304" max="1304" width="13" style="197" customWidth="1"/>
    <col min="1305" max="1305" width="13.88671875" style="197" customWidth="1"/>
    <col min="1306" max="1306" width="13" style="197" customWidth="1"/>
    <col min="1307" max="1307" width="13.88671875" style="197" customWidth="1"/>
    <col min="1308" max="1308" width="15.21875" style="197" customWidth="1"/>
    <col min="1309" max="1309" width="13" style="197" customWidth="1"/>
    <col min="1310" max="1310" width="14.109375" style="197" customWidth="1"/>
    <col min="1311" max="1311" width="17.77734375" style="197" customWidth="1"/>
    <col min="1312" max="1312" width="14.109375" style="197" customWidth="1"/>
    <col min="1313" max="1313" width="15.21875" style="197" customWidth="1"/>
    <col min="1314" max="1314" width="13.21875" style="197" customWidth="1"/>
    <col min="1315" max="1315" width="14.109375" style="197" customWidth="1"/>
    <col min="1316" max="1316" width="13" style="197" customWidth="1"/>
    <col min="1317" max="1317" width="9.77734375" style="197" customWidth="1"/>
    <col min="1318" max="1318" width="16.77734375" style="197" customWidth="1"/>
    <col min="1319" max="1319" width="11.109375" style="197" customWidth="1"/>
    <col min="1320" max="1320" width="16.77734375" style="197" customWidth="1"/>
    <col min="1321" max="1321" width="15.21875" style="197" customWidth="1"/>
    <col min="1322" max="1322" width="15.21875" style="197" bestFit="1" customWidth="1"/>
    <col min="1323" max="1323" width="12.88671875" style="197" customWidth="1"/>
    <col min="1324" max="1324" width="16.33203125" style="197" bestFit="1" customWidth="1"/>
    <col min="1325" max="1327" width="13.88671875" style="197" bestFit="1" customWidth="1"/>
    <col min="1328" max="1328" width="12.6640625" style="197" bestFit="1" customWidth="1"/>
    <col min="1329" max="1329" width="13.21875" style="197" bestFit="1" customWidth="1"/>
    <col min="1330" max="1330" width="13.109375" style="197" bestFit="1" customWidth="1"/>
    <col min="1331" max="1536" width="9.21875" style="197"/>
    <col min="1537" max="1537" width="0" style="197" hidden="1" customWidth="1"/>
    <col min="1538" max="1538" width="32.6640625" style="197" customWidth="1"/>
    <col min="1539" max="1539" width="0" style="197" hidden="1" customWidth="1"/>
    <col min="1540" max="1540" width="17.6640625" style="197" customWidth="1"/>
    <col min="1541" max="1541" width="15.6640625" style="197" bestFit="1" customWidth="1"/>
    <col min="1542" max="1542" width="15.21875" style="197" customWidth="1"/>
    <col min="1543" max="1543" width="15.33203125" style="197" bestFit="1" customWidth="1"/>
    <col min="1544" max="1544" width="14.109375" style="197" customWidth="1"/>
    <col min="1545" max="1545" width="13.88671875" style="197" bestFit="1" customWidth="1"/>
    <col min="1546" max="1546" width="15.21875" style="197" bestFit="1" customWidth="1"/>
    <col min="1547" max="1547" width="13" style="197" bestFit="1" customWidth="1"/>
    <col min="1548" max="1549" width="14.109375" style="197" customWidth="1"/>
    <col min="1550" max="1551" width="15.21875" style="197" bestFit="1" customWidth="1"/>
    <col min="1552" max="1552" width="14.21875" style="197" bestFit="1" customWidth="1"/>
    <col min="1553" max="1553" width="14.88671875" style="197" bestFit="1" customWidth="1"/>
    <col min="1554" max="1554" width="14.33203125" style="197" customWidth="1"/>
    <col min="1555" max="1555" width="17.21875" style="197" customWidth="1"/>
    <col min="1556" max="1556" width="4.77734375" style="197" customWidth="1"/>
    <col min="1557" max="1557" width="15.21875" style="197" customWidth="1"/>
    <col min="1558" max="1558" width="10.21875" style="197" customWidth="1"/>
    <col min="1559" max="1559" width="15.21875" style="197" customWidth="1"/>
    <col min="1560" max="1560" width="13" style="197" customWidth="1"/>
    <col min="1561" max="1561" width="13.88671875" style="197" customWidth="1"/>
    <col min="1562" max="1562" width="13" style="197" customWidth="1"/>
    <col min="1563" max="1563" width="13.88671875" style="197" customWidth="1"/>
    <col min="1564" max="1564" width="15.21875" style="197" customWidth="1"/>
    <col min="1565" max="1565" width="13" style="197" customWidth="1"/>
    <col min="1566" max="1566" width="14.109375" style="197" customWidth="1"/>
    <col min="1567" max="1567" width="17.77734375" style="197" customWidth="1"/>
    <col min="1568" max="1568" width="14.109375" style="197" customWidth="1"/>
    <col min="1569" max="1569" width="15.21875" style="197" customWidth="1"/>
    <col min="1570" max="1570" width="13.21875" style="197" customWidth="1"/>
    <col min="1571" max="1571" width="14.109375" style="197" customWidth="1"/>
    <col min="1572" max="1572" width="13" style="197" customWidth="1"/>
    <col min="1573" max="1573" width="9.77734375" style="197" customWidth="1"/>
    <col min="1574" max="1574" width="16.77734375" style="197" customWidth="1"/>
    <col min="1575" max="1575" width="11.109375" style="197" customWidth="1"/>
    <col min="1576" max="1576" width="16.77734375" style="197" customWidth="1"/>
    <col min="1577" max="1577" width="15.21875" style="197" customWidth="1"/>
    <col min="1578" max="1578" width="15.21875" style="197" bestFit="1" customWidth="1"/>
    <col min="1579" max="1579" width="12.88671875" style="197" customWidth="1"/>
    <col min="1580" max="1580" width="16.33203125" style="197" bestFit="1" customWidth="1"/>
    <col min="1581" max="1583" width="13.88671875" style="197" bestFit="1" customWidth="1"/>
    <col min="1584" max="1584" width="12.6640625" style="197" bestFit="1" customWidth="1"/>
    <col min="1585" max="1585" width="13.21875" style="197" bestFit="1" customWidth="1"/>
    <col min="1586" max="1586" width="13.109375" style="197" bestFit="1" customWidth="1"/>
    <col min="1587" max="1792" width="9.21875" style="197"/>
    <col min="1793" max="1793" width="0" style="197" hidden="1" customWidth="1"/>
    <col min="1794" max="1794" width="32.6640625" style="197" customWidth="1"/>
    <col min="1795" max="1795" width="0" style="197" hidden="1" customWidth="1"/>
    <col min="1796" max="1796" width="17.6640625" style="197" customWidth="1"/>
    <col min="1797" max="1797" width="15.6640625" style="197" bestFit="1" customWidth="1"/>
    <col min="1798" max="1798" width="15.21875" style="197" customWidth="1"/>
    <col min="1799" max="1799" width="15.33203125" style="197" bestFit="1" customWidth="1"/>
    <col min="1800" max="1800" width="14.109375" style="197" customWidth="1"/>
    <col min="1801" max="1801" width="13.88671875" style="197" bestFit="1" customWidth="1"/>
    <col min="1802" max="1802" width="15.21875" style="197" bestFit="1" customWidth="1"/>
    <col min="1803" max="1803" width="13" style="197" bestFit="1" customWidth="1"/>
    <col min="1804" max="1805" width="14.109375" style="197" customWidth="1"/>
    <col min="1806" max="1807" width="15.21875" style="197" bestFit="1" customWidth="1"/>
    <col min="1808" max="1808" width="14.21875" style="197" bestFit="1" customWidth="1"/>
    <col min="1809" max="1809" width="14.88671875" style="197" bestFit="1" customWidth="1"/>
    <col min="1810" max="1810" width="14.33203125" style="197" customWidth="1"/>
    <col min="1811" max="1811" width="17.21875" style="197" customWidth="1"/>
    <col min="1812" max="1812" width="4.77734375" style="197" customWidth="1"/>
    <col min="1813" max="1813" width="15.21875" style="197" customWidth="1"/>
    <col min="1814" max="1814" width="10.21875" style="197" customWidth="1"/>
    <col min="1815" max="1815" width="15.21875" style="197" customWidth="1"/>
    <col min="1816" max="1816" width="13" style="197" customWidth="1"/>
    <col min="1817" max="1817" width="13.88671875" style="197" customWidth="1"/>
    <col min="1818" max="1818" width="13" style="197" customWidth="1"/>
    <col min="1819" max="1819" width="13.88671875" style="197" customWidth="1"/>
    <col min="1820" max="1820" width="15.21875" style="197" customWidth="1"/>
    <col min="1821" max="1821" width="13" style="197" customWidth="1"/>
    <col min="1822" max="1822" width="14.109375" style="197" customWidth="1"/>
    <col min="1823" max="1823" width="17.77734375" style="197" customWidth="1"/>
    <col min="1824" max="1824" width="14.109375" style="197" customWidth="1"/>
    <col min="1825" max="1825" width="15.21875" style="197" customWidth="1"/>
    <col min="1826" max="1826" width="13.21875" style="197" customWidth="1"/>
    <col min="1827" max="1827" width="14.109375" style="197" customWidth="1"/>
    <col min="1828" max="1828" width="13" style="197" customWidth="1"/>
    <col min="1829" max="1829" width="9.77734375" style="197" customWidth="1"/>
    <col min="1830" max="1830" width="16.77734375" style="197" customWidth="1"/>
    <col min="1831" max="1831" width="11.109375" style="197" customWidth="1"/>
    <col min="1832" max="1832" width="16.77734375" style="197" customWidth="1"/>
    <col min="1833" max="1833" width="15.21875" style="197" customWidth="1"/>
    <col min="1834" max="1834" width="15.21875" style="197" bestFit="1" customWidth="1"/>
    <col min="1835" max="1835" width="12.88671875" style="197" customWidth="1"/>
    <col min="1836" max="1836" width="16.33203125" style="197" bestFit="1" customWidth="1"/>
    <col min="1837" max="1839" width="13.88671875" style="197" bestFit="1" customWidth="1"/>
    <col min="1840" max="1840" width="12.6640625" style="197" bestFit="1" customWidth="1"/>
    <col min="1841" max="1841" width="13.21875" style="197" bestFit="1" customWidth="1"/>
    <col min="1842" max="1842" width="13.109375" style="197" bestFit="1" customWidth="1"/>
    <col min="1843" max="2048" width="9.21875" style="197"/>
    <col min="2049" max="2049" width="0" style="197" hidden="1" customWidth="1"/>
    <col min="2050" max="2050" width="32.6640625" style="197" customWidth="1"/>
    <col min="2051" max="2051" width="0" style="197" hidden="1" customWidth="1"/>
    <col min="2052" max="2052" width="17.6640625" style="197" customWidth="1"/>
    <col min="2053" max="2053" width="15.6640625" style="197" bestFit="1" customWidth="1"/>
    <col min="2054" max="2054" width="15.21875" style="197" customWidth="1"/>
    <col min="2055" max="2055" width="15.33203125" style="197" bestFit="1" customWidth="1"/>
    <col min="2056" max="2056" width="14.109375" style="197" customWidth="1"/>
    <col min="2057" max="2057" width="13.88671875" style="197" bestFit="1" customWidth="1"/>
    <col min="2058" max="2058" width="15.21875" style="197" bestFit="1" customWidth="1"/>
    <col min="2059" max="2059" width="13" style="197" bestFit="1" customWidth="1"/>
    <col min="2060" max="2061" width="14.109375" style="197" customWidth="1"/>
    <col min="2062" max="2063" width="15.21875" style="197" bestFit="1" customWidth="1"/>
    <col min="2064" max="2064" width="14.21875" style="197" bestFit="1" customWidth="1"/>
    <col min="2065" max="2065" width="14.88671875" style="197" bestFit="1" customWidth="1"/>
    <col min="2066" max="2066" width="14.33203125" style="197" customWidth="1"/>
    <col min="2067" max="2067" width="17.21875" style="197" customWidth="1"/>
    <col min="2068" max="2068" width="4.77734375" style="197" customWidth="1"/>
    <col min="2069" max="2069" width="15.21875" style="197" customWidth="1"/>
    <col min="2070" max="2070" width="10.21875" style="197" customWidth="1"/>
    <col min="2071" max="2071" width="15.21875" style="197" customWidth="1"/>
    <col min="2072" max="2072" width="13" style="197" customWidth="1"/>
    <col min="2073" max="2073" width="13.88671875" style="197" customWidth="1"/>
    <col min="2074" max="2074" width="13" style="197" customWidth="1"/>
    <col min="2075" max="2075" width="13.88671875" style="197" customWidth="1"/>
    <col min="2076" max="2076" width="15.21875" style="197" customWidth="1"/>
    <col min="2077" max="2077" width="13" style="197" customWidth="1"/>
    <col min="2078" max="2078" width="14.109375" style="197" customWidth="1"/>
    <col min="2079" max="2079" width="17.77734375" style="197" customWidth="1"/>
    <col min="2080" max="2080" width="14.109375" style="197" customWidth="1"/>
    <col min="2081" max="2081" width="15.21875" style="197" customWidth="1"/>
    <col min="2082" max="2082" width="13.21875" style="197" customWidth="1"/>
    <col min="2083" max="2083" width="14.109375" style="197" customWidth="1"/>
    <col min="2084" max="2084" width="13" style="197" customWidth="1"/>
    <col min="2085" max="2085" width="9.77734375" style="197" customWidth="1"/>
    <col min="2086" max="2086" width="16.77734375" style="197" customWidth="1"/>
    <col min="2087" max="2087" width="11.109375" style="197" customWidth="1"/>
    <col min="2088" max="2088" width="16.77734375" style="197" customWidth="1"/>
    <col min="2089" max="2089" width="15.21875" style="197" customWidth="1"/>
    <col min="2090" max="2090" width="15.21875" style="197" bestFit="1" customWidth="1"/>
    <col min="2091" max="2091" width="12.88671875" style="197" customWidth="1"/>
    <col min="2092" max="2092" width="16.33203125" style="197" bestFit="1" customWidth="1"/>
    <col min="2093" max="2095" width="13.88671875" style="197" bestFit="1" customWidth="1"/>
    <col min="2096" max="2096" width="12.6640625" style="197" bestFit="1" customWidth="1"/>
    <col min="2097" max="2097" width="13.21875" style="197" bestFit="1" customWidth="1"/>
    <col min="2098" max="2098" width="13.109375" style="197" bestFit="1" customWidth="1"/>
    <col min="2099" max="2304" width="9.21875" style="197"/>
    <col min="2305" max="2305" width="0" style="197" hidden="1" customWidth="1"/>
    <col min="2306" max="2306" width="32.6640625" style="197" customWidth="1"/>
    <col min="2307" max="2307" width="0" style="197" hidden="1" customWidth="1"/>
    <col min="2308" max="2308" width="17.6640625" style="197" customWidth="1"/>
    <col min="2309" max="2309" width="15.6640625" style="197" bestFit="1" customWidth="1"/>
    <col min="2310" max="2310" width="15.21875" style="197" customWidth="1"/>
    <col min="2311" max="2311" width="15.33203125" style="197" bestFit="1" customWidth="1"/>
    <col min="2312" max="2312" width="14.109375" style="197" customWidth="1"/>
    <col min="2313" max="2313" width="13.88671875" style="197" bestFit="1" customWidth="1"/>
    <col min="2314" max="2314" width="15.21875" style="197" bestFit="1" customWidth="1"/>
    <col min="2315" max="2315" width="13" style="197" bestFit="1" customWidth="1"/>
    <col min="2316" max="2317" width="14.109375" style="197" customWidth="1"/>
    <col min="2318" max="2319" width="15.21875" style="197" bestFit="1" customWidth="1"/>
    <col min="2320" max="2320" width="14.21875" style="197" bestFit="1" customWidth="1"/>
    <col min="2321" max="2321" width="14.88671875" style="197" bestFit="1" customWidth="1"/>
    <col min="2322" max="2322" width="14.33203125" style="197" customWidth="1"/>
    <col min="2323" max="2323" width="17.21875" style="197" customWidth="1"/>
    <col min="2324" max="2324" width="4.77734375" style="197" customWidth="1"/>
    <col min="2325" max="2325" width="15.21875" style="197" customWidth="1"/>
    <col min="2326" max="2326" width="10.21875" style="197" customWidth="1"/>
    <col min="2327" max="2327" width="15.21875" style="197" customWidth="1"/>
    <col min="2328" max="2328" width="13" style="197" customWidth="1"/>
    <col min="2329" max="2329" width="13.88671875" style="197" customWidth="1"/>
    <col min="2330" max="2330" width="13" style="197" customWidth="1"/>
    <col min="2331" max="2331" width="13.88671875" style="197" customWidth="1"/>
    <col min="2332" max="2332" width="15.21875" style="197" customWidth="1"/>
    <col min="2333" max="2333" width="13" style="197" customWidth="1"/>
    <col min="2334" max="2334" width="14.109375" style="197" customWidth="1"/>
    <col min="2335" max="2335" width="17.77734375" style="197" customWidth="1"/>
    <col min="2336" max="2336" width="14.109375" style="197" customWidth="1"/>
    <col min="2337" max="2337" width="15.21875" style="197" customWidth="1"/>
    <col min="2338" max="2338" width="13.21875" style="197" customWidth="1"/>
    <col min="2339" max="2339" width="14.109375" style="197" customWidth="1"/>
    <col min="2340" max="2340" width="13" style="197" customWidth="1"/>
    <col min="2341" max="2341" width="9.77734375" style="197" customWidth="1"/>
    <col min="2342" max="2342" width="16.77734375" style="197" customWidth="1"/>
    <col min="2343" max="2343" width="11.109375" style="197" customWidth="1"/>
    <col min="2344" max="2344" width="16.77734375" style="197" customWidth="1"/>
    <col min="2345" max="2345" width="15.21875" style="197" customWidth="1"/>
    <col min="2346" max="2346" width="15.21875" style="197" bestFit="1" customWidth="1"/>
    <col min="2347" max="2347" width="12.88671875" style="197" customWidth="1"/>
    <col min="2348" max="2348" width="16.33203125" style="197" bestFit="1" customWidth="1"/>
    <col min="2349" max="2351" width="13.88671875" style="197" bestFit="1" customWidth="1"/>
    <col min="2352" max="2352" width="12.6640625" style="197" bestFit="1" customWidth="1"/>
    <col min="2353" max="2353" width="13.21875" style="197" bestFit="1" customWidth="1"/>
    <col min="2354" max="2354" width="13.109375" style="197" bestFit="1" customWidth="1"/>
    <col min="2355" max="2560" width="9.21875" style="197"/>
    <col min="2561" max="2561" width="0" style="197" hidden="1" customWidth="1"/>
    <col min="2562" max="2562" width="32.6640625" style="197" customWidth="1"/>
    <col min="2563" max="2563" width="0" style="197" hidden="1" customWidth="1"/>
    <col min="2564" max="2564" width="17.6640625" style="197" customWidth="1"/>
    <col min="2565" max="2565" width="15.6640625" style="197" bestFit="1" customWidth="1"/>
    <col min="2566" max="2566" width="15.21875" style="197" customWidth="1"/>
    <col min="2567" max="2567" width="15.33203125" style="197" bestFit="1" customWidth="1"/>
    <col min="2568" max="2568" width="14.109375" style="197" customWidth="1"/>
    <col min="2569" max="2569" width="13.88671875" style="197" bestFit="1" customWidth="1"/>
    <col min="2570" max="2570" width="15.21875" style="197" bestFit="1" customWidth="1"/>
    <col min="2571" max="2571" width="13" style="197" bestFit="1" customWidth="1"/>
    <col min="2572" max="2573" width="14.109375" style="197" customWidth="1"/>
    <col min="2574" max="2575" width="15.21875" style="197" bestFit="1" customWidth="1"/>
    <col min="2576" max="2576" width="14.21875" style="197" bestFit="1" customWidth="1"/>
    <col min="2577" max="2577" width="14.88671875" style="197" bestFit="1" customWidth="1"/>
    <col min="2578" max="2578" width="14.33203125" style="197" customWidth="1"/>
    <col min="2579" max="2579" width="17.21875" style="197" customWidth="1"/>
    <col min="2580" max="2580" width="4.77734375" style="197" customWidth="1"/>
    <col min="2581" max="2581" width="15.21875" style="197" customWidth="1"/>
    <col min="2582" max="2582" width="10.21875" style="197" customWidth="1"/>
    <col min="2583" max="2583" width="15.21875" style="197" customWidth="1"/>
    <col min="2584" max="2584" width="13" style="197" customWidth="1"/>
    <col min="2585" max="2585" width="13.88671875" style="197" customWidth="1"/>
    <col min="2586" max="2586" width="13" style="197" customWidth="1"/>
    <col min="2587" max="2587" width="13.88671875" style="197" customWidth="1"/>
    <col min="2588" max="2588" width="15.21875" style="197" customWidth="1"/>
    <col min="2589" max="2589" width="13" style="197" customWidth="1"/>
    <col min="2590" max="2590" width="14.109375" style="197" customWidth="1"/>
    <col min="2591" max="2591" width="17.77734375" style="197" customWidth="1"/>
    <col min="2592" max="2592" width="14.109375" style="197" customWidth="1"/>
    <col min="2593" max="2593" width="15.21875" style="197" customWidth="1"/>
    <col min="2594" max="2594" width="13.21875" style="197" customWidth="1"/>
    <col min="2595" max="2595" width="14.109375" style="197" customWidth="1"/>
    <col min="2596" max="2596" width="13" style="197" customWidth="1"/>
    <col min="2597" max="2597" width="9.77734375" style="197" customWidth="1"/>
    <col min="2598" max="2598" width="16.77734375" style="197" customWidth="1"/>
    <col min="2599" max="2599" width="11.109375" style="197" customWidth="1"/>
    <col min="2600" max="2600" width="16.77734375" style="197" customWidth="1"/>
    <col min="2601" max="2601" width="15.21875" style="197" customWidth="1"/>
    <col min="2602" max="2602" width="15.21875" style="197" bestFit="1" customWidth="1"/>
    <col min="2603" max="2603" width="12.88671875" style="197" customWidth="1"/>
    <col min="2604" max="2604" width="16.33203125" style="197" bestFit="1" customWidth="1"/>
    <col min="2605" max="2607" width="13.88671875" style="197" bestFit="1" customWidth="1"/>
    <col min="2608" max="2608" width="12.6640625" style="197" bestFit="1" customWidth="1"/>
    <col min="2609" max="2609" width="13.21875" style="197" bestFit="1" customWidth="1"/>
    <col min="2610" max="2610" width="13.109375" style="197" bestFit="1" customWidth="1"/>
    <col min="2611" max="2816" width="9.21875" style="197"/>
    <col min="2817" max="2817" width="0" style="197" hidden="1" customWidth="1"/>
    <col min="2818" max="2818" width="32.6640625" style="197" customWidth="1"/>
    <col min="2819" max="2819" width="0" style="197" hidden="1" customWidth="1"/>
    <col min="2820" max="2820" width="17.6640625" style="197" customWidth="1"/>
    <col min="2821" max="2821" width="15.6640625" style="197" bestFit="1" customWidth="1"/>
    <col min="2822" max="2822" width="15.21875" style="197" customWidth="1"/>
    <col min="2823" max="2823" width="15.33203125" style="197" bestFit="1" customWidth="1"/>
    <col min="2824" max="2824" width="14.109375" style="197" customWidth="1"/>
    <col min="2825" max="2825" width="13.88671875" style="197" bestFit="1" customWidth="1"/>
    <col min="2826" max="2826" width="15.21875" style="197" bestFit="1" customWidth="1"/>
    <col min="2827" max="2827" width="13" style="197" bestFit="1" customWidth="1"/>
    <col min="2828" max="2829" width="14.109375" style="197" customWidth="1"/>
    <col min="2830" max="2831" width="15.21875" style="197" bestFit="1" customWidth="1"/>
    <col min="2832" max="2832" width="14.21875" style="197" bestFit="1" customWidth="1"/>
    <col min="2833" max="2833" width="14.88671875" style="197" bestFit="1" customWidth="1"/>
    <col min="2834" max="2834" width="14.33203125" style="197" customWidth="1"/>
    <col min="2835" max="2835" width="17.21875" style="197" customWidth="1"/>
    <col min="2836" max="2836" width="4.77734375" style="197" customWidth="1"/>
    <col min="2837" max="2837" width="15.21875" style="197" customWidth="1"/>
    <col min="2838" max="2838" width="10.21875" style="197" customWidth="1"/>
    <col min="2839" max="2839" width="15.21875" style="197" customWidth="1"/>
    <col min="2840" max="2840" width="13" style="197" customWidth="1"/>
    <col min="2841" max="2841" width="13.88671875" style="197" customWidth="1"/>
    <col min="2842" max="2842" width="13" style="197" customWidth="1"/>
    <col min="2843" max="2843" width="13.88671875" style="197" customWidth="1"/>
    <col min="2844" max="2844" width="15.21875" style="197" customWidth="1"/>
    <col min="2845" max="2845" width="13" style="197" customWidth="1"/>
    <col min="2846" max="2846" width="14.109375" style="197" customWidth="1"/>
    <col min="2847" max="2847" width="17.77734375" style="197" customWidth="1"/>
    <col min="2848" max="2848" width="14.109375" style="197" customWidth="1"/>
    <col min="2849" max="2849" width="15.21875" style="197" customWidth="1"/>
    <col min="2850" max="2850" width="13.21875" style="197" customWidth="1"/>
    <col min="2851" max="2851" width="14.109375" style="197" customWidth="1"/>
    <col min="2852" max="2852" width="13" style="197" customWidth="1"/>
    <col min="2853" max="2853" width="9.77734375" style="197" customWidth="1"/>
    <col min="2854" max="2854" width="16.77734375" style="197" customWidth="1"/>
    <col min="2855" max="2855" width="11.109375" style="197" customWidth="1"/>
    <col min="2856" max="2856" width="16.77734375" style="197" customWidth="1"/>
    <col min="2857" max="2857" width="15.21875" style="197" customWidth="1"/>
    <col min="2858" max="2858" width="15.21875" style="197" bestFit="1" customWidth="1"/>
    <col min="2859" max="2859" width="12.88671875" style="197" customWidth="1"/>
    <col min="2860" max="2860" width="16.33203125" style="197" bestFit="1" customWidth="1"/>
    <col min="2861" max="2863" width="13.88671875" style="197" bestFit="1" customWidth="1"/>
    <col min="2864" max="2864" width="12.6640625" style="197" bestFit="1" customWidth="1"/>
    <col min="2865" max="2865" width="13.21875" style="197" bestFit="1" customWidth="1"/>
    <col min="2866" max="2866" width="13.109375" style="197" bestFit="1" customWidth="1"/>
    <col min="2867" max="3072" width="9.21875" style="197"/>
    <col min="3073" max="3073" width="0" style="197" hidden="1" customWidth="1"/>
    <col min="3074" max="3074" width="32.6640625" style="197" customWidth="1"/>
    <col min="3075" max="3075" width="0" style="197" hidden="1" customWidth="1"/>
    <col min="3076" max="3076" width="17.6640625" style="197" customWidth="1"/>
    <col min="3077" max="3077" width="15.6640625" style="197" bestFit="1" customWidth="1"/>
    <col min="3078" max="3078" width="15.21875" style="197" customWidth="1"/>
    <col min="3079" max="3079" width="15.33203125" style="197" bestFit="1" customWidth="1"/>
    <col min="3080" max="3080" width="14.109375" style="197" customWidth="1"/>
    <col min="3081" max="3081" width="13.88671875" style="197" bestFit="1" customWidth="1"/>
    <col min="3082" max="3082" width="15.21875" style="197" bestFit="1" customWidth="1"/>
    <col min="3083" max="3083" width="13" style="197" bestFit="1" customWidth="1"/>
    <col min="3084" max="3085" width="14.109375" style="197" customWidth="1"/>
    <col min="3086" max="3087" width="15.21875" style="197" bestFit="1" customWidth="1"/>
    <col min="3088" max="3088" width="14.21875" style="197" bestFit="1" customWidth="1"/>
    <col min="3089" max="3089" width="14.88671875" style="197" bestFit="1" customWidth="1"/>
    <col min="3090" max="3090" width="14.33203125" style="197" customWidth="1"/>
    <col min="3091" max="3091" width="17.21875" style="197" customWidth="1"/>
    <col min="3092" max="3092" width="4.77734375" style="197" customWidth="1"/>
    <col min="3093" max="3093" width="15.21875" style="197" customWidth="1"/>
    <col min="3094" max="3094" width="10.21875" style="197" customWidth="1"/>
    <col min="3095" max="3095" width="15.21875" style="197" customWidth="1"/>
    <col min="3096" max="3096" width="13" style="197" customWidth="1"/>
    <col min="3097" max="3097" width="13.88671875" style="197" customWidth="1"/>
    <col min="3098" max="3098" width="13" style="197" customWidth="1"/>
    <col min="3099" max="3099" width="13.88671875" style="197" customWidth="1"/>
    <col min="3100" max="3100" width="15.21875" style="197" customWidth="1"/>
    <col min="3101" max="3101" width="13" style="197" customWidth="1"/>
    <col min="3102" max="3102" width="14.109375" style="197" customWidth="1"/>
    <col min="3103" max="3103" width="17.77734375" style="197" customWidth="1"/>
    <col min="3104" max="3104" width="14.109375" style="197" customWidth="1"/>
    <col min="3105" max="3105" width="15.21875" style="197" customWidth="1"/>
    <col min="3106" max="3106" width="13.21875" style="197" customWidth="1"/>
    <col min="3107" max="3107" width="14.109375" style="197" customWidth="1"/>
    <col min="3108" max="3108" width="13" style="197" customWidth="1"/>
    <col min="3109" max="3109" width="9.77734375" style="197" customWidth="1"/>
    <col min="3110" max="3110" width="16.77734375" style="197" customWidth="1"/>
    <col min="3111" max="3111" width="11.109375" style="197" customWidth="1"/>
    <col min="3112" max="3112" width="16.77734375" style="197" customWidth="1"/>
    <col min="3113" max="3113" width="15.21875" style="197" customWidth="1"/>
    <col min="3114" max="3114" width="15.21875" style="197" bestFit="1" customWidth="1"/>
    <col min="3115" max="3115" width="12.88671875" style="197" customWidth="1"/>
    <col min="3116" max="3116" width="16.33203125" style="197" bestFit="1" customWidth="1"/>
    <col min="3117" max="3119" width="13.88671875" style="197" bestFit="1" customWidth="1"/>
    <col min="3120" max="3120" width="12.6640625" style="197" bestFit="1" customWidth="1"/>
    <col min="3121" max="3121" width="13.21875" style="197" bestFit="1" customWidth="1"/>
    <col min="3122" max="3122" width="13.109375" style="197" bestFit="1" customWidth="1"/>
    <col min="3123" max="3328" width="9.21875" style="197"/>
    <col min="3329" max="3329" width="0" style="197" hidden="1" customWidth="1"/>
    <col min="3330" max="3330" width="32.6640625" style="197" customWidth="1"/>
    <col min="3331" max="3331" width="0" style="197" hidden="1" customWidth="1"/>
    <col min="3332" max="3332" width="17.6640625" style="197" customWidth="1"/>
    <col min="3333" max="3333" width="15.6640625" style="197" bestFit="1" customWidth="1"/>
    <col min="3334" max="3334" width="15.21875" style="197" customWidth="1"/>
    <col min="3335" max="3335" width="15.33203125" style="197" bestFit="1" customWidth="1"/>
    <col min="3336" max="3336" width="14.109375" style="197" customWidth="1"/>
    <col min="3337" max="3337" width="13.88671875" style="197" bestFit="1" customWidth="1"/>
    <col min="3338" max="3338" width="15.21875" style="197" bestFit="1" customWidth="1"/>
    <col min="3339" max="3339" width="13" style="197" bestFit="1" customWidth="1"/>
    <col min="3340" max="3341" width="14.109375" style="197" customWidth="1"/>
    <col min="3342" max="3343" width="15.21875" style="197" bestFit="1" customWidth="1"/>
    <col min="3344" max="3344" width="14.21875" style="197" bestFit="1" customWidth="1"/>
    <col min="3345" max="3345" width="14.88671875" style="197" bestFit="1" customWidth="1"/>
    <col min="3346" max="3346" width="14.33203125" style="197" customWidth="1"/>
    <col min="3347" max="3347" width="17.21875" style="197" customWidth="1"/>
    <col min="3348" max="3348" width="4.77734375" style="197" customWidth="1"/>
    <col min="3349" max="3349" width="15.21875" style="197" customWidth="1"/>
    <col min="3350" max="3350" width="10.21875" style="197" customWidth="1"/>
    <col min="3351" max="3351" width="15.21875" style="197" customWidth="1"/>
    <col min="3352" max="3352" width="13" style="197" customWidth="1"/>
    <col min="3353" max="3353" width="13.88671875" style="197" customWidth="1"/>
    <col min="3354" max="3354" width="13" style="197" customWidth="1"/>
    <col min="3355" max="3355" width="13.88671875" style="197" customWidth="1"/>
    <col min="3356" max="3356" width="15.21875" style="197" customWidth="1"/>
    <col min="3357" max="3357" width="13" style="197" customWidth="1"/>
    <col min="3358" max="3358" width="14.109375" style="197" customWidth="1"/>
    <col min="3359" max="3359" width="17.77734375" style="197" customWidth="1"/>
    <col min="3360" max="3360" width="14.109375" style="197" customWidth="1"/>
    <col min="3361" max="3361" width="15.21875" style="197" customWidth="1"/>
    <col min="3362" max="3362" width="13.21875" style="197" customWidth="1"/>
    <col min="3363" max="3363" width="14.109375" style="197" customWidth="1"/>
    <col min="3364" max="3364" width="13" style="197" customWidth="1"/>
    <col min="3365" max="3365" width="9.77734375" style="197" customWidth="1"/>
    <col min="3366" max="3366" width="16.77734375" style="197" customWidth="1"/>
    <col min="3367" max="3367" width="11.109375" style="197" customWidth="1"/>
    <col min="3368" max="3368" width="16.77734375" style="197" customWidth="1"/>
    <col min="3369" max="3369" width="15.21875" style="197" customWidth="1"/>
    <col min="3370" max="3370" width="15.21875" style="197" bestFit="1" customWidth="1"/>
    <col min="3371" max="3371" width="12.88671875" style="197" customWidth="1"/>
    <col min="3372" max="3372" width="16.33203125" style="197" bestFit="1" customWidth="1"/>
    <col min="3373" max="3375" width="13.88671875" style="197" bestFit="1" customWidth="1"/>
    <col min="3376" max="3376" width="12.6640625" style="197" bestFit="1" customWidth="1"/>
    <col min="3377" max="3377" width="13.21875" style="197" bestFit="1" customWidth="1"/>
    <col min="3378" max="3378" width="13.109375" style="197" bestFit="1" customWidth="1"/>
    <col min="3379" max="3584" width="9.21875" style="197"/>
    <col min="3585" max="3585" width="0" style="197" hidden="1" customWidth="1"/>
    <col min="3586" max="3586" width="32.6640625" style="197" customWidth="1"/>
    <col min="3587" max="3587" width="0" style="197" hidden="1" customWidth="1"/>
    <col min="3588" max="3588" width="17.6640625" style="197" customWidth="1"/>
    <col min="3589" max="3589" width="15.6640625" style="197" bestFit="1" customWidth="1"/>
    <col min="3590" max="3590" width="15.21875" style="197" customWidth="1"/>
    <col min="3591" max="3591" width="15.33203125" style="197" bestFit="1" customWidth="1"/>
    <col min="3592" max="3592" width="14.109375" style="197" customWidth="1"/>
    <col min="3593" max="3593" width="13.88671875" style="197" bestFit="1" customWidth="1"/>
    <col min="3594" max="3594" width="15.21875" style="197" bestFit="1" customWidth="1"/>
    <col min="3595" max="3595" width="13" style="197" bestFit="1" customWidth="1"/>
    <col min="3596" max="3597" width="14.109375" style="197" customWidth="1"/>
    <col min="3598" max="3599" width="15.21875" style="197" bestFit="1" customWidth="1"/>
    <col min="3600" max="3600" width="14.21875" style="197" bestFit="1" customWidth="1"/>
    <col min="3601" max="3601" width="14.88671875" style="197" bestFit="1" customWidth="1"/>
    <col min="3602" max="3602" width="14.33203125" style="197" customWidth="1"/>
    <col min="3603" max="3603" width="17.21875" style="197" customWidth="1"/>
    <col min="3604" max="3604" width="4.77734375" style="197" customWidth="1"/>
    <col min="3605" max="3605" width="15.21875" style="197" customWidth="1"/>
    <col min="3606" max="3606" width="10.21875" style="197" customWidth="1"/>
    <col min="3607" max="3607" width="15.21875" style="197" customWidth="1"/>
    <col min="3608" max="3608" width="13" style="197" customWidth="1"/>
    <col min="3609" max="3609" width="13.88671875" style="197" customWidth="1"/>
    <col min="3610" max="3610" width="13" style="197" customWidth="1"/>
    <col min="3611" max="3611" width="13.88671875" style="197" customWidth="1"/>
    <col min="3612" max="3612" width="15.21875" style="197" customWidth="1"/>
    <col min="3613" max="3613" width="13" style="197" customWidth="1"/>
    <col min="3614" max="3614" width="14.109375" style="197" customWidth="1"/>
    <col min="3615" max="3615" width="17.77734375" style="197" customWidth="1"/>
    <col min="3616" max="3616" width="14.109375" style="197" customWidth="1"/>
    <col min="3617" max="3617" width="15.21875" style="197" customWidth="1"/>
    <col min="3618" max="3618" width="13.21875" style="197" customWidth="1"/>
    <col min="3619" max="3619" width="14.109375" style="197" customWidth="1"/>
    <col min="3620" max="3620" width="13" style="197" customWidth="1"/>
    <col min="3621" max="3621" width="9.77734375" style="197" customWidth="1"/>
    <col min="3622" max="3622" width="16.77734375" style="197" customWidth="1"/>
    <col min="3623" max="3623" width="11.109375" style="197" customWidth="1"/>
    <col min="3624" max="3624" width="16.77734375" style="197" customWidth="1"/>
    <col min="3625" max="3625" width="15.21875" style="197" customWidth="1"/>
    <col min="3626" max="3626" width="15.21875" style="197" bestFit="1" customWidth="1"/>
    <col min="3627" max="3627" width="12.88671875" style="197" customWidth="1"/>
    <col min="3628" max="3628" width="16.33203125" style="197" bestFit="1" customWidth="1"/>
    <col min="3629" max="3631" width="13.88671875" style="197" bestFit="1" customWidth="1"/>
    <col min="3632" max="3632" width="12.6640625" style="197" bestFit="1" customWidth="1"/>
    <col min="3633" max="3633" width="13.21875" style="197" bestFit="1" customWidth="1"/>
    <col min="3634" max="3634" width="13.109375" style="197" bestFit="1" customWidth="1"/>
    <col min="3635" max="3840" width="9.21875" style="197"/>
    <col min="3841" max="3841" width="0" style="197" hidden="1" customWidth="1"/>
    <col min="3842" max="3842" width="32.6640625" style="197" customWidth="1"/>
    <col min="3843" max="3843" width="0" style="197" hidden="1" customWidth="1"/>
    <col min="3844" max="3844" width="17.6640625" style="197" customWidth="1"/>
    <col min="3845" max="3845" width="15.6640625" style="197" bestFit="1" customWidth="1"/>
    <col min="3846" max="3846" width="15.21875" style="197" customWidth="1"/>
    <col min="3847" max="3847" width="15.33203125" style="197" bestFit="1" customWidth="1"/>
    <col min="3848" max="3848" width="14.109375" style="197" customWidth="1"/>
    <col min="3849" max="3849" width="13.88671875" style="197" bestFit="1" customWidth="1"/>
    <col min="3850" max="3850" width="15.21875" style="197" bestFit="1" customWidth="1"/>
    <col min="3851" max="3851" width="13" style="197" bestFit="1" customWidth="1"/>
    <col min="3852" max="3853" width="14.109375" style="197" customWidth="1"/>
    <col min="3854" max="3855" width="15.21875" style="197" bestFit="1" customWidth="1"/>
    <col min="3856" max="3856" width="14.21875" style="197" bestFit="1" customWidth="1"/>
    <col min="3857" max="3857" width="14.88671875" style="197" bestFit="1" customWidth="1"/>
    <col min="3858" max="3858" width="14.33203125" style="197" customWidth="1"/>
    <col min="3859" max="3859" width="17.21875" style="197" customWidth="1"/>
    <col min="3860" max="3860" width="4.77734375" style="197" customWidth="1"/>
    <col min="3861" max="3861" width="15.21875" style="197" customWidth="1"/>
    <col min="3862" max="3862" width="10.21875" style="197" customWidth="1"/>
    <col min="3863" max="3863" width="15.21875" style="197" customWidth="1"/>
    <col min="3864" max="3864" width="13" style="197" customWidth="1"/>
    <col min="3865" max="3865" width="13.88671875" style="197" customWidth="1"/>
    <col min="3866" max="3866" width="13" style="197" customWidth="1"/>
    <col min="3867" max="3867" width="13.88671875" style="197" customWidth="1"/>
    <col min="3868" max="3868" width="15.21875" style="197" customWidth="1"/>
    <col min="3869" max="3869" width="13" style="197" customWidth="1"/>
    <col min="3870" max="3870" width="14.109375" style="197" customWidth="1"/>
    <col min="3871" max="3871" width="17.77734375" style="197" customWidth="1"/>
    <col min="3872" max="3872" width="14.109375" style="197" customWidth="1"/>
    <col min="3873" max="3873" width="15.21875" style="197" customWidth="1"/>
    <col min="3874" max="3874" width="13.21875" style="197" customWidth="1"/>
    <col min="3875" max="3875" width="14.109375" style="197" customWidth="1"/>
    <col min="3876" max="3876" width="13" style="197" customWidth="1"/>
    <col min="3877" max="3877" width="9.77734375" style="197" customWidth="1"/>
    <col min="3878" max="3878" width="16.77734375" style="197" customWidth="1"/>
    <col min="3879" max="3879" width="11.109375" style="197" customWidth="1"/>
    <col min="3880" max="3880" width="16.77734375" style="197" customWidth="1"/>
    <col min="3881" max="3881" width="15.21875" style="197" customWidth="1"/>
    <col min="3882" max="3882" width="15.21875" style="197" bestFit="1" customWidth="1"/>
    <col min="3883" max="3883" width="12.88671875" style="197" customWidth="1"/>
    <col min="3884" max="3884" width="16.33203125" style="197" bestFit="1" customWidth="1"/>
    <col min="3885" max="3887" width="13.88671875" style="197" bestFit="1" customWidth="1"/>
    <col min="3888" max="3888" width="12.6640625" style="197" bestFit="1" customWidth="1"/>
    <col min="3889" max="3889" width="13.21875" style="197" bestFit="1" customWidth="1"/>
    <col min="3890" max="3890" width="13.109375" style="197" bestFit="1" customWidth="1"/>
    <col min="3891" max="4096" width="9.21875" style="197"/>
    <col min="4097" max="4097" width="0" style="197" hidden="1" customWidth="1"/>
    <col min="4098" max="4098" width="32.6640625" style="197" customWidth="1"/>
    <col min="4099" max="4099" width="0" style="197" hidden="1" customWidth="1"/>
    <col min="4100" max="4100" width="17.6640625" style="197" customWidth="1"/>
    <col min="4101" max="4101" width="15.6640625" style="197" bestFit="1" customWidth="1"/>
    <col min="4102" max="4102" width="15.21875" style="197" customWidth="1"/>
    <col min="4103" max="4103" width="15.33203125" style="197" bestFit="1" customWidth="1"/>
    <col min="4104" max="4104" width="14.109375" style="197" customWidth="1"/>
    <col min="4105" max="4105" width="13.88671875" style="197" bestFit="1" customWidth="1"/>
    <col min="4106" max="4106" width="15.21875" style="197" bestFit="1" customWidth="1"/>
    <col min="4107" max="4107" width="13" style="197" bestFit="1" customWidth="1"/>
    <col min="4108" max="4109" width="14.109375" style="197" customWidth="1"/>
    <col min="4110" max="4111" width="15.21875" style="197" bestFit="1" customWidth="1"/>
    <col min="4112" max="4112" width="14.21875" style="197" bestFit="1" customWidth="1"/>
    <col min="4113" max="4113" width="14.88671875" style="197" bestFit="1" customWidth="1"/>
    <col min="4114" max="4114" width="14.33203125" style="197" customWidth="1"/>
    <col min="4115" max="4115" width="17.21875" style="197" customWidth="1"/>
    <col min="4116" max="4116" width="4.77734375" style="197" customWidth="1"/>
    <col min="4117" max="4117" width="15.21875" style="197" customWidth="1"/>
    <col min="4118" max="4118" width="10.21875" style="197" customWidth="1"/>
    <col min="4119" max="4119" width="15.21875" style="197" customWidth="1"/>
    <col min="4120" max="4120" width="13" style="197" customWidth="1"/>
    <col min="4121" max="4121" width="13.88671875" style="197" customWidth="1"/>
    <col min="4122" max="4122" width="13" style="197" customWidth="1"/>
    <col min="4123" max="4123" width="13.88671875" style="197" customWidth="1"/>
    <col min="4124" max="4124" width="15.21875" style="197" customWidth="1"/>
    <col min="4125" max="4125" width="13" style="197" customWidth="1"/>
    <col min="4126" max="4126" width="14.109375" style="197" customWidth="1"/>
    <col min="4127" max="4127" width="17.77734375" style="197" customWidth="1"/>
    <col min="4128" max="4128" width="14.109375" style="197" customWidth="1"/>
    <col min="4129" max="4129" width="15.21875" style="197" customWidth="1"/>
    <col min="4130" max="4130" width="13.21875" style="197" customWidth="1"/>
    <col min="4131" max="4131" width="14.109375" style="197" customWidth="1"/>
    <col min="4132" max="4132" width="13" style="197" customWidth="1"/>
    <col min="4133" max="4133" width="9.77734375" style="197" customWidth="1"/>
    <col min="4134" max="4134" width="16.77734375" style="197" customWidth="1"/>
    <col min="4135" max="4135" width="11.109375" style="197" customWidth="1"/>
    <col min="4136" max="4136" width="16.77734375" style="197" customWidth="1"/>
    <col min="4137" max="4137" width="15.21875" style="197" customWidth="1"/>
    <col min="4138" max="4138" width="15.21875" style="197" bestFit="1" customWidth="1"/>
    <col min="4139" max="4139" width="12.88671875" style="197" customWidth="1"/>
    <col min="4140" max="4140" width="16.33203125" style="197" bestFit="1" customWidth="1"/>
    <col min="4141" max="4143" width="13.88671875" style="197" bestFit="1" customWidth="1"/>
    <col min="4144" max="4144" width="12.6640625" style="197" bestFit="1" customWidth="1"/>
    <col min="4145" max="4145" width="13.21875" style="197" bestFit="1" customWidth="1"/>
    <col min="4146" max="4146" width="13.109375" style="197" bestFit="1" customWidth="1"/>
    <col min="4147" max="4352" width="9.21875" style="197"/>
    <col min="4353" max="4353" width="0" style="197" hidden="1" customWidth="1"/>
    <col min="4354" max="4354" width="32.6640625" style="197" customWidth="1"/>
    <col min="4355" max="4355" width="0" style="197" hidden="1" customWidth="1"/>
    <col min="4356" max="4356" width="17.6640625" style="197" customWidth="1"/>
    <col min="4357" max="4357" width="15.6640625" style="197" bestFit="1" customWidth="1"/>
    <col min="4358" max="4358" width="15.21875" style="197" customWidth="1"/>
    <col min="4359" max="4359" width="15.33203125" style="197" bestFit="1" customWidth="1"/>
    <col min="4360" max="4360" width="14.109375" style="197" customWidth="1"/>
    <col min="4361" max="4361" width="13.88671875" style="197" bestFit="1" customWidth="1"/>
    <col min="4362" max="4362" width="15.21875" style="197" bestFit="1" customWidth="1"/>
    <col min="4363" max="4363" width="13" style="197" bestFit="1" customWidth="1"/>
    <col min="4364" max="4365" width="14.109375" style="197" customWidth="1"/>
    <col min="4366" max="4367" width="15.21875" style="197" bestFit="1" customWidth="1"/>
    <col min="4368" max="4368" width="14.21875" style="197" bestFit="1" customWidth="1"/>
    <col min="4369" max="4369" width="14.88671875" style="197" bestFit="1" customWidth="1"/>
    <col min="4370" max="4370" width="14.33203125" style="197" customWidth="1"/>
    <col min="4371" max="4371" width="17.21875" style="197" customWidth="1"/>
    <col min="4372" max="4372" width="4.77734375" style="197" customWidth="1"/>
    <col min="4373" max="4373" width="15.21875" style="197" customWidth="1"/>
    <col min="4374" max="4374" width="10.21875" style="197" customWidth="1"/>
    <col min="4375" max="4375" width="15.21875" style="197" customWidth="1"/>
    <col min="4376" max="4376" width="13" style="197" customWidth="1"/>
    <col min="4377" max="4377" width="13.88671875" style="197" customWidth="1"/>
    <col min="4378" max="4378" width="13" style="197" customWidth="1"/>
    <col min="4379" max="4379" width="13.88671875" style="197" customWidth="1"/>
    <col min="4380" max="4380" width="15.21875" style="197" customWidth="1"/>
    <col min="4381" max="4381" width="13" style="197" customWidth="1"/>
    <col min="4382" max="4382" width="14.109375" style="197" customWidth="1"/>
    <col min="4383" max="4383" width="17.77734375" style="197" customWidth="1"/>
    <col min="4384" max="4384" width="14.109375" style="197" customWidth="1"/>
    <col min="4385" max="4385" width="15.21875" style="197" customWidth="1"/>
    <col min="4386" max="4386" width="13.21875" style="197" customWidth="1"/>
    <col min="4387" max="4387" width="14.109375" style="197" customWidth="1"/>
    <col min="4388" max="4388" width="13" style="197" customWidth="1"/>
    <col min="4389" max="4389" width="9.77734375" style="197" customWidth="1"/>
    <col min="4390" max="4390" width="16.77734375" style="197" customWidth="1"/>
    <col min="4391" max="4391" width="11.109375" style="197" customWidth="1"/>
    <col min="4392" max="4392" width="16.77734375" style="197" customWidth="1"/>
    <col min="4393" max="4393" width="15.21875" style="197" customWidth="1"/>
    <col min="4394" max="4394" width="15.21875" style="197" bestFit="1" customWidth="1"/>
    <col min="4395" max="4395" width="12.88671875" style="197" customWidth="1"/>
    <col min="4396" max="4396" width="16.33203125" style="197" bestFit="1" customWidth="1"/>
    <col min="4397" max="4399" width="13.88671875" style="197" bestFit="1" customWidth="1"/>
    <col min="4400" max="4400" width="12.6640625" style="197" bestFit="1" customWidth="1"/>
    <col min="4401" max="4401" width="13.21875" style="197" bestFit="1" customWidth="1"/>
    <col min="4402" max="4402" width="13.109375" style="197" bestFit="1" customWidth="1"/>
    <col min="4403" max="4608" width="9.21875" style="197"/>
    <col min="4609" max="4609" width="0" style="197" hidden="1" customWidth="1"/>
    <col min="4610" max="4610" width="32.6640625" style="197" customWidth="1"/>
    <col min="4611" max="4611" width="0" style="197" hidden="1" customWidth="1"/>
    <col min="4612" max="4612" width="17.6640625" style="197" customWidth="1"/>
    <col min="4613" max="4613" width="15.6640625" style="197" bestFit="1" customWidth="1"/>
    <col min="4614" max="4614" width="15.21875" style="197" customWidth="1"/>
    <col min="4615" max="4615" width="15.33203125" style="197" bestFit="1" customWidth="1"/>
    <col min="4616" max="4616" width="14.109375" style="197" customWidth="1"/>
    <col min="4617" max="4617" width="13.88671875" style="197" bestFit="1" customWidth="1"/>
    <col min="4618" max="4618" width="15.21875" style="197" bestFit="1" customWidth="1"/>
    <col min="4619" max="4619" width="13" style="197" bestFit="1" customWidth="1"/>
    <col min="4620" max="4621" width="14.109375" style="197" customWidth="1"/>
    <col min="4622" max="4623" width="15.21875" style="197" bestFit="1" customWidth="1"/>
    <col min="4624" max="4624" width="14.21875" style="197" bestFit="1" customWidth="1"/>
    <col min="4625" max="4625" width="14.88671875" style="197" bestFit="1" customWidth="1"/>
    <col min="4626" max="4626" width="14.33203125" style="197" customWidth="1"/>
    <col min="4627" max="4627" width="17.21875" style="197" customWidth="1"/>
    <col min="4628" max="4628" width="4.77734375" style="197" customWidth="1"/>
    <col min="4629" max="4629" width="15.21875" style="197" customWidth="1"/>
    <col min="4630" max="4630" width="10.21875" style="197" customWidth="1"/>
    <col min="4631" max="4631" width="15.21875" style="197" customWidth="1"/>
    <col min="4632" max="4632" width="13" style="197" customWidth="1"/>
    <col min="4633" max="4633" width="13.88671875" style="197" customWidth="1"/>
    <col min="4634" max="4634" width="13" style="197" customWidth="1"/>
    <col min="4635" max="4635" width="13.88671875" style="197" customWidth="1"/>
    <col min="4636" max="4636" width="15.21875" style="197" customWidth="1"/>
    <col min="4637" max="4637" width="13" style="197" customWidth="1"/>
    <col min="4638" max="4638" width="14.109375" style="197" customWidth="1"/>
    <col min="4639" max="4639" width="17.77734375" style="197" customWidth="1"/>
    <col min="4640" max="4640" width="14.109375" style="197" customWidth="1"/>
    <col min="4641" max="4641" width="15.21875" style="197" customWidth="1"/>
    <col min="4642" max="4642" width="13.21875" style="197" customWidth="1"/>
    <col min="4643" max="4643" width="14.109375" style="197" customWidth="1"/>
    <col min="4644" max="4644" width="13" style="197" customWidth="1"/>
    <col min="4645" max="4645" width="9.77734375" style="197" customWidth="1"/>
    <col min="4646" max="4646" width="16.77734375" style="197" customWidth="1"/>
    <col min="4647" max="4647" width="11.109375" style="197" customWidth="1"/>
    <col min="4648" max="4648" width="16.77734375" style="197" customWidth="1"/>
    <col min="4649" max="4649" width="15.21875" style="197" customWidth="1"/>
    <col min="4650" max="4650" width="15.21875" style="197" bestFit="1" customWidth="1"/>
    <col min="4651" max="4651" width="12.88671875" style="197" customWidth="1"/>
    <col min="4652" max="4652" width="16.33203125" style="197" bestFit="1" customWidth="1"/>
    <col min="4653" max="4655" width="13.88671875" style="197" bestFit="1" customWidth="1"/>
    <col min="4656" max="4656" width="12.6640625" style="197" bestFit="1" customWidth="1"/>
    <col min="4657" max="4657" width="13.21875" style="197" bestFit="1" customWidth="1"/>
    <col min="4658" max="4658" width="13.109375" style="197" bestFit="1" customWidth="1"/>
    <col min="4659" max="4864" width="9.21875" style="197"/>
    <col min="4865" max="4865" width="0" style="197" hidden="1" customWidth="1"/>
    <col min="4866" max="4866" width="32.6640625" style="197" customWidth="1"/>
    <col min="4867" max="4867" width="0" style="197" hidden="1" customWidth="1"/>
    <col min="4868" max="4868" width="17.6640625" style="197" customWidth="1"/>
    <col min="4869" max="4869" width="15.6640625" style="197" bestFit="1" customWidth="1"/>
    <col min="4870" max="4870" width="15.21875" style="197" customWidth="1"/>
    <col min="4871" max="4871" width="15.33203125" style="197" bestFit="1" customWidth="1"/>
    <col min="4872" max="4872" width="14.109375" style="197" customWidth="1"/>
    <col min="4873" max="4873" width="13.88671875" style="197" bestFit="1" customWidth="1"/>
    <col min="4874" max="4874" width="15.21875" style="197" bestFit="1" customWidth="1"/>
    <col min="4875" max="4875" width="13" style="197" bestFit="1" customWidth="1"/>
    <col min="4876" max="4877" width="14.109375" style="197" customWidth="1"/>
    <col min="4878" max="4879" width="15.21875" style="197" bestFit="1" customWidth="1"/>
    <col min="4880" max="4880" width="14.21875" style="197" bestFit="1" customWidth="1"/>
    <col min="4881" max="4881" width="14.88671875" style="197" bestFit="1" customWidth="1"/>
    <col min="4882" max="4882" width="14.33203125" style="197" customWidth="1"/>
    <col min="4883" max="4883" width="17.21875" style="197" customWidth="1"/>
    <col min="4884" max="4884" width="4.77734375" style="197" customWidth="1"/>
    <col min="4885" max="4885" width="15.21875" style="197" customWidth="1"/>
    <col min="4886" max="4886" width="10.21875" style="197" customWidth="1"/>
    <col min="4887" max="4887" width="15.21875" style="197" customWidth="1"/>
    <col min="4888" max="4888" width="13" style="197" customWidth="1"/>
    <col min="4889" max="4889" width="13.88671875" style="197" customWidth="1"/>
    <col min="4890" max="4890" width="13" style="197" customWidth="1"/>
    <col min="4891" max="4891" width="13.88671875" style="197" customWidth="1"/>
    <col min="4892" max="4892" width="15.21875" style="197" customWidth="1"/>
    <col min="4893" max="4893" width="13" style="197" customWidth="1"/>
    <col min="4894" max="4894" width="14.109375" style="197" customWidth="1"/>
    <col min="4895" max="4895" width="17.77734375" style="197" customWidth="1"/>
    <col min="4896" max="4896" width="14.109375" style="197" customWidth="1"/>
    <col min="4897" max="4897" width="15.21875" style="197" customWidth="1"/>
    <col min="4898" max="4898" width="13.21875" style="197" customWidth="1"/>
    <col min="4899" max="4899" width="14.109375" style="197" customWidth="1"/>
    <col min="4900" max="4900" width="13" style="197" customWidth="1"/>
    <col min="4901" max="4901" width="9.77734375" style="197" customWidth="1"/>
    <col min="4902" max="4902" width="16.77734375" style="197" customWidth="1"/>
    <col min="4903" max="4903" width="11.109375" style="197" customWidth="1"/>
    <col min="4904" max="4904" width="16.77734375" style="197" customWidth="1"/>
    <col min="4905" max="4905" width="15.21875" style="197" customWidth="1"/>
    <col min="4906" max="4906" width="15.21875" style="197" bestFit="1" customWidth="1"/>
    <col min="4907" max="4907" width="12.88671875" style="197" customWidth="1"/>
    <col min="4908" max="4908" width="16.33203125" style="197" bestFit="1" customWidth="1"/>
    <col min="4909" max="4911" width="13.88671875" style="197" bestFit="1" customWidth="1"/>
    <col min="4912" max="4912" width="12.6640625" style="197" bestFit="1" customWidth="1"/>
    <col min="4913" max="4913" width="13.21875" style="197" bestFit="1" customWidth="1"/>
    <col min="4914" max="4914" width="13.109375" style="197" bestFit="1" customWidth="1"/>
    <col min="4915" max="5120" width="9.21875" style="197"/>
    <col min="5121" max="5121" width="0" style="197" hidden="1" customWidth="1"/>
    <col min="5122" max="5122" width="32.6640625" style="197" customWidth="1"/>
    <col min="5123" max="5123" width="0" style="197" hidden="1" customWidth="1"/>
    <col min="5124" max="5124" width="17.6640625" style="197" customWidth="1"/>
    <col min="5125" max="5125" width="15.6640625" style="197" bestFit="1" customWidth="1"/>
    <col min="5126" max="5126" width="15.21875" style="197" customWidth="1"/>
    <col min="5127" max="5127" width="15.33203125" style="197" bestFit="1" customWidth="1"/>
    <col min="5128" max="5128" width="14.109375" style="197" customWidth="1"/>
    <col min="5129" max="5129" width="13.88671875" style="197" bestFit="1" customWidth="1"/>
    <col min="5130" max="5130" width="15.21875" style="197" bestFit="1" customWidth="1"/>
    <col min="5131" max="5131" width="13" style="197" bestFit="1" customWidth="1"/>
    <col min="5132" max="5133" width="14.109375" style="197" customWidth="1"/>
    <col min="5134" max="5135" width="15.21875" style="197" bestFit="1" customWidth="1"/>
    <col min="5136" max="5136" width="14.21875" style="197" bestFit="1" customWidth="1"/>
    <col min="5137" max="5137" width="14.88671875" style="197" bestFit="1" customWidth="1"/>
    <col min="5138" max="5138" width="14.33203125" style="197" customWidth="1"/>
    <col min="5139" max="5139" width="17.21875" style="197" customWidth="1"/>
    <col min="5140" max="5140" width="4.77734375" style="197" customWidth="1"/>
    <col min="5141" max="5141" width="15.21875" style="197" customWidth="1"/>
    <col min="5142" max="5142" width="10.21875" style="197" customWidth="1"/>
    <col min="5143" max="5143" width="15.21875" style="197" customWidth="1"/>
    <col min="5144" max="5144" width="13" style="197" customWidth="1"/>
    <col min="5145" max="5145" width="13.88671875" style="197" customWidth="1"/>
    <col min="5146" max="5146" width="13" style="197" customWidth="1"/>
    <col min="5147" max="5147" width="13.88671875" style="197" customWidth="1"/>
    <col min="5148" max="5148" width="15.21875" style="197" customWidth="1"/>
    <col min="5149" max="5149" width="13" style="197" customWidth="1"/>
    <col min="5150" max="5150" width="14.109375" style="197" customWidth="1"/>
    <col min="5151" max="5151" width="17.77734375" style="197" customWidth="1"/>
    <col min="5152" max="5152" width="14.109375" style="197" customWidth="1"/>
    <col min="5153" max="5153" width="15.21875" style="197" customWidth="1"/>
    <col min="5154" max="5154" width="13.21875" style="197" customWidth="1"/>
    <col min="5155" max="5155" width="14.109375" style="197" customWidth="1"/>
    <col min="5156" max="5156" width="13" style="197" customWidth="1"/>
    <col min="5157" max="5157" width="9.77734375" style="197" customWidth="1"/>
    <col min="5158" max="5158" width="16.77734375" style="197" customWidth="1"/>
    <col min="5159" max="5159" width="11.109375" style="197" customWidth="1"/>
    <col min="5160" max="5160" width="16.77734375" style="197" customWidth="1"/>
    <col min="5161" max="5161" width="15.21875" style="197" customWidth="1"/>
    <col min="5162" max="5162" width="15.21875" style="197" bestFit="1" customWidth="1"/>
    <col min="5163" max="5163" width="12.88671875" style="197" customWidth="1"/>
    <col min="5164" max="5164" width="16.33203125" style="197" bestFit="1" customWidth="1"/>
    <col min="5165" max="5167" width="13.88671875" style="197" bestFit="1" customWidth="1"/>
    <col min="5168" max="5168" width="12.6640625" style="197" bestFit="1" customWidth="1"/>
    <col min="5169" max="5169" width="13.21875" style="197" bestFit="1" customWidth="1"/>
    <col min="5170" max="5170" width="13.109375" style="197" bestFit="1" customWidth="1"/>
    <col min="5171" max="5376" width="9.21875" style="197"/>
    <col min="5377" max="5377" width="0" style="197" hidden="1" customWidth="1"/>
    <col min="5378" max="5378" width="32.6640625" style="197" customWidth="1"/>
    <col min="5379" max="5379" width="0" style="197" hidden="1" customWidth="1"/>
    <col min="5380" max="5380" width="17.6640625" style="197" customWidth="1"/>
    <col min="5381" max="5381" width="15.6640625" style="197" bestFit="1" customWidth="1"/>
    <col min="5382" max="5382" width="15.21875" style="197" customWidth="1"/>
    <col min="5383" max="5383" width="15.33203125" style="197" bestFit="1" customWidth="1"/>
    <col min="5384" max="5384" width="14.109375" style="197" customWidth="1"/>
    <col min="5385" max="5385" width="13.88671875" style="197" bestFit="1" customWidth="1"/>
    <col min="5386" max="5386" width="15.21875" style="197" bestFit="1" customWidth="1"/>
    <col min="5387" max="5387" width="13" style="197" bestFit="1" customWidth="1"/>
    <col min="5388" max="5389" width="14.109375" style="197" customWidth="1"/>
    <col min="5390" max="5391" width="15.21875" style="197" bestFit="1" customWidth="1"/>
    <col min="5392" max="5392" width="14.21875" style="197" bestFit="1" customWidth="1"/>
    <col min="5393" max="5393" width="14.88671875" style="197" bestFit="1" customWidth="1"/>
    <col min="5394" max="5394" width="14.33203125" style="197" customWidth="1"/>
    <col min="5395" max="5395" width="17.21875" style="197" customWidth="1"/>
    <col min="5396" max="5396" width="4.77734375" style="197" customWidth="1"/>
    <col min="5397" max="5397" width="15.21875" style="197" customWidth="1"/>
    <col min="5398" max="5398" width="10.21875" style="197" customWidth="1"/>
    <col min="5399" max="5399" width="15.21875" style="197" customWidth="1"/>
    <col min="5400" max="5400" width="13" style="197" customWidth="1"/>
    <col min="5401" max="5401" width="13.88671875" style="197" customWidth="1"/>
    <col min="5402" max="5402" width="13" style="197" customWidth="1"/>
    <col min="5403" max="5403" width="13.88671875" style="197" customWidth="1"/>
    <col min="5404" max="5404" width="15.21875" style="197" customWidth="1"/>
    <col min="5405" max="5405" width="13" style="197" customWidth="1"/>
    <col min="5406" max="5406" width="14.109375" style="197" customWidth="1"/>
    <col min="5407" max="5407" width="17.77734375" style="197" customWidth="1"/>
    <col min="5408" max="5408" width="14.109375" style="197" customWidth="1"/>
    <col min="5409" max="5409" width="15.21875" style="197" customWidth="1"/>
    <col min="5410" max="5410" width="13.21875" style="197" customWidth="1"/>
    <col min="5411" max="5411" width="14.109375" style="197" customWidth="1"/>
    <col min="5412" max="5412" width="13" style="197" customWidth="1"/>
    <col min="5413" max="5413" width="9.77734375" style="197" customWidth="1"/>
    <col min="5414" max="5414" width="16.77734375" style="197" customWidth="1"/>
    <col min="5415" max="5415" width="11.109375" style="197" customWidth="1"/>
    <col min="5416" max="5416" width="16.77734375" style="197" customWidth="1"/>
    <col min="5417" max="5417" width="15.21875" style="197" customWidth="1"/>
    <col min="5418" max="5418" width="15.21875" style="197" bestFit="1" customWidth="1"/>
    <col min="5419" max="5419" width="12.88671875" style="197" customWidth="1"/>
    <col min="5420" max="5420" width="16.33203125" style="197" bestFit="1" customWidth="1"/>
    <col min="5421" max="5423" width="13.88671875" style="197" bestFit="1" customWidth="1"/>
    <col min="5424" max="5424" width="12.6640625" style="197" bestFit="1" customWidth="1"/>
    <col min="5425" max="5425" width="13.21875" style="197" bestFit="1" customWidth="1"/>
    <col min="5426" max="5426" width="13.109375" style="197" bestFit="1" customWidth="1"/>
    <col min="5427" max="5632" width="9.21875" style="197"/>
    <col min="5633" max="5633" width="0" style="197" hidden="1" customWidth="1"/>
    <col min="5634" max="5634" width="32.6640625" style="197" customWidth="1"/>
    <col min="5635" max="5635" width="0" style="197" hidden="1" customWidth="1"/>
    <col min="5636" max="5636" width="17.6640625" style="197" customWidth="1"/>
    <col min="5637" max="5637" width="15.6640625" style="197" bestFit="1" customWidth="1"/>
    <col min="5638" max="5638" width="15.21875" style="197" customWidth="1"/>
    <col min="5639" max="5639" width="15.33203125" style="197" bestFit="1" customWidth="1"/>
    <col min="5640" max="5640" width="14.109375" style="197" customWidth="1"/>
    <col min="5641" max="5641" width="13.88671875" style="197" bestFit="1" customWidth="1"/>
    <col min="5642" max="5642" width="15.21875" style="197" bestFit="1" customWidth="1"/>
    <col min="5643" max="5643" width="13" style="197" bestFit="1" customWidth="1"/>
    <col min="5644" max="5645" width="14.109375" style="197" customWidth="1"/>
    <col min="5646" max="5647" width="15.21875" style="197" bestFit="1" customWidth="1"/>
    <col min="5648" max="5648" width="14.21875" style="197" bestFit="1" customWidth="1"/>
    <col min="5649" max="5649" width="14.88671875" style="197" bestFit="1" customWidth="1"/>
    <col min="5650" max="5650" width="14.33203125" style="197" customWidth="1"/>
    <col min="5651" max="5651" width="17.21875" style="197" customWidth="1"/>
    <col min="5652" max="5652" width="4.77734375" style="197" customWidth="1"/>
    <col min="5653" max="5653" width="15.21875" style="197" customWidth="1"/>
    <col min="5654" max="5654" width="10.21875" style="197" customWidth="1"/>
    <col min="5655" max="5655" width="15.21875" style="197" customWidth="1"/>
    <col min="5656" max="5656" width="13" style="197" customWidth="1"/>
    <col min="5657" max="5657" width="13.88671875" style="197" customWidth="1"/>
    <col min="5658" max="5658" width="13" style="197" customWidth="1"/>
    <col min="5659" max="5659" width="13.88671875" style="197" customWidth="1"/>
    <col min="5660" max="5660" width="15.21875" style="197" customWidth="1"/>
    <col min="5661" max="5661" width="13" style="197" customWidth="1"/>
    <col min="5662" max="5662" width="14.109375" style="197" customWidth="1"/>
    <col min="5663" max="5663" width="17.77734375" style="197" customWidth="1"/>
    <col min="5664" max="5664" width="14.109375" style="197" customWidth="1"/>
    <col min="5665" max="5665" width="15.21875" style="197" customWidth="1"/>
    <col min="5666" max="5666" width="13.21875" style="197" customWidth="1"/>
    <col min="5667" max="5667" width="14.109375" style="197" customWidth="1"/>
    <col min="5668" max="5668" width="13" style="197" customWidth="1"/>
    <col min="5669" max="5669" width="9.77734375" style="197" customWidth="1"/>
    <col min="5670" max="5670" width="16.77734375" style="197" customWidth="1"/>
    <col min="5671" max="5671" width="11.109375" style="197" customWidth="1"/>
    <col min="5672" max="5672" width="16.77734375" style="197" customWidth="1"/>
    <col min="5673" max="5673" width="15.21875" style="197" customWidth="1"/>
    <col min="5674" max="5674" width="15.21875" style="197" bestFit="1" customWidth="1"/>
    <col min="5675" max="5675" width="12.88671875" style="197" customWidth="1"/>
    <col min="5676" max="5676" width="16.33203125" style="197" bestFit="1" customWidth="1"/>
    <col min="5677" max="5679" width="13.88671875" style="197" bestFit="1" customWidth="1"/>
    <col min="5680" max="5680" width="12.6640625" style="197" bestFit="1" customWidth="1"/>
    <col min="5681" max="5681" width="13.21875" style="197" bestFit="1" customWidth="1"/>
    <col min="5682" max="5682" width="13.109375" style="197" bestFit="1" customWidth="1"/>
    <col min="5683" max="5888" width="9.21875" style="197"/>
    <col min="5889" max="5889" width="0" style="197" hidden="1" customWidth="1"/>
    <col min="5890" max="5890" width="32.6640625" style="197" customWidth="1"/>
    <col min="5891" max="5891" width="0" style="197" hidden="1" customWidth="1"/>
    <col min="5892" max="5892" width="17.6640625" style="197" customWidth="1"/>
    <col min="5893" max="5893" width="15.6640625" style="197" bestFit="1" customWidth="1"/>
    <col min="5894" max="5894" width="15.21875" style="197" customWidth="1"/>
    <col min="5895" max="5895" width="15.33203125" style="197" bestFit="1" customWidth="1"/>
    <col min="5896" max="5896" width="14.109375" style="197" customWidth="1"/>
    <col min="5897" max="5897" width="13.88671875" style="197" bestFit="1" customWidth="1"/>
    <col min="5898" max="5898" width="15.21875" style="197" bestFit="1" customWidth="1"/>
    <col min="5899" max="5899" width="13" style="197" bestFit="1" customWidth="1"/>
    <col min="5900" max="5901" width="14.109375" style="197" customWidth="1"/>
    <col min="5902" max="5903" width="15.21875" style="197" bestFit="1" customWidth="1"/>
    <col min="5904" max="5904" width="14.21875" style="197" bestFit="1" customWidth="1"/>
    <col min="5905" max="5905" width="14.88671875" style="197" bestFit="1" customWidth="1"/>
    <col min="5906" max="5906" width="14.33203125" style="197" customWidth="1"/>
    <col min="5907" max="5907" width="17.21875" style="197" customWidth="1"/>
    <col min="5908" max="5908" width="4.77734375" style="197" customWidth="1"/>
    <col min="5909" max="5909" width="15.21875" style="197" customWidth="1"/>
    <col min="5910" max="5910" width="10.21875" style="197" customWidth="1"/>
    <col min="5911" max="5911" width="15.21875" style="197" customWidth="1"/>
    <col min="5912" max="5912" width="13" style="197" customWidth="1"/>
    <col min="5913" max="5913" width="13.88671875" style="197" customWidth="1"/>
    <col min="5914" max="5914" width="13" style="197" customWidth="1"/>
    <col min="5915" max="5915" width="13.88671875" style="197" customWidth="1"/>
    <col min="5916" max="5916" width="15.21875" style="197" customWidth="1"/>
    <col min="5917" max="5917" width="13" style="197" customWidth="1"/>
    <col min="5918" max="5918" width="14.109375" style="197" customWidth="1"/>
    <col min="5919" max="5919" width="17.77734375" style="197" customWidth="1"/>
    <col min="5920" max="5920" width="14.109375" style="197" customWidth="1"/>
    <col min="5921" max="5921" width="15.21875" style="197" customWidth="1"/>
    <col min="5922" max="5922" width="13.21875" style="197" customWidth="1"/>
    <col min="5923" max="5923" width="14.109375" style="197" customWidth="1"/>
    <col min="5924" max="5924" width="13" style="197" customWidth="1"/>
    <col min="5925" max="5925" width="9.77734375" style="197" customWidth="1"/>
    <col min="5926" max="5926" width="16.77734375" style="197" customWidth="1"/>
    <col min="5927" max="5927" width="11.109375" style="197" customWidth="1"/>
    <col min="5928" max="5928" width="16.77734375" style="197" customWidth="1"/>
    <col min="5929" max="5929" width="15.21875" style="197" customWidth="1"/>
    <col min="5930" max="5930" width="15.21875" style="197" bestFit="1" customWidth="1"/>
    <col min="5931" max="5931" width="12.88671875" style="197" customWidth="1"/>
    <col min="5932" max="5932" width="16.33203125" style="197" bestFit="1" customWidth="1"/>
    <col min="5933" max="5935" width="13.88671875" style="197" bestFit="1" customWidth="1"/>
    <col min="5936" max="5936" width="12.6640625" style="197" bestFit="1" customWidth="1"/>
    <col min="5937" max="5937" width="13.21875" style="197" bestFit="1" customWidth="1"/>
    <col min="5938" max="5938" width="13.109375" style="197" bestFit="1" customWidth="1"/>
    <col min="5939" max="6144" width="9.21875" style="197"/>
    <col min="6145" max="6145" width="0" style="197" hidden="1" customWidth="1"/>
    <col min="6146" max="6146" width="32.6640625" style="197" customWidth="1"/>
    <col min="6147" max="6147" width="0" style="197" hidden="1" customWidth="1"/>
    <col min="6148" max="6148" width="17.6640625" style="197" customWidth="1"/>
    <col min="6149" max="6149" width="15.6640625" style="197" bestFit="1" customWidth="1"/>
    <col min="6150" max="6150" width="15.21875" style="197" customWidth="1"/>
    <col min="6151" max="6151" width="15.33203125" style="197" bestFit="1" customWidth="1"/>
    <col min="6152" max="6152" width="14.109375" style="197" customWidth="1"/>
    <col min="6153" max="6153" width="13.88671875" style="197" bestFit="1" customWidth="1"/>
    <col min="6154" max="6154" width="15.21875" style="197" bestFit="1" customWidth="1"/>
    <col min="6155" max="6155" width="13" style="197" bestFit="1" customWidth="1"/>
    <col min="6156" max="6157" width="14.109375" style="197" customWidth="1"/>
    <col min="6158" max="6159" width="15.21875" style="197" bestFit="1" customWidth="1"/>
    <col min="6160" max="6160" width="14.21875" style="197" bestFit="1" customWidth="1"/>
    <col min="6161" max="6161" width="14.88671875" style="197" bestFit="1" customWidth="1"/>
    <col min="6162" max="6162" width="14.33203125" style="197" customWidth="1"/>
    <col min="6163" max="6163" width="17.21875" style="197" customWidth="1"/>
    <col min="6164" max="6164" width="4.77734375" style="197" customWidth="1"/>
    <col min="6165" max="6165" width="15.21875" style="197" customWidth="1"/>
    <col min="6166" max="6166" width="10.21875" style="197" customWidth="1"/>
    <col min="6167" max="6167" width="15.21875" style="197" customWidth="1"/>
    <col min="6168" max="6168" width="13" style="197" customWidth="1"/>
    <col min="6169" max="6169" width="13.88671875" style="197" customWidth="1"/>
    <col min="6170" max="6170" width="13" style="197" customWidth="1"/>
    <col min="6171" max="6171" width="13.88671875" style="197" customWidth="1"/>
    <col min="6172" max="6172" width="15.21875" style="197" customWidth="1"/>
    <col min="6173" max="6173" width="13" style="197" customWidth="1"/>
    <col min="6174" max="6174" width="14.109375" style="197" customWidth="1"/>
    <col min="6175" max="6175" width="17.77734375" style="197" customWidth="1"/>
    <col min="6176" max="6176" width="14.109375" style="197" customWidth="1"/>
    <col min="6177" max="6177" width="15.21875" style="197" customWidth="1"/>
    <col min="6178" max="6178" width="13.21875" style="197" customWidth="1"/>
    <col min="6179" max="6179" width="14.109375" style="197" customWidth="1"/>
    <col min="6180" max="6180" width="13" style="197" customWidth="1"/>
    <col min="6181" max="6181" width="9.77734375" style="197" customWidth="1"/>
    <col min="6182" max="6182" width="16.77734375" style="197" customWidth="1"/>
    <col min="6183" max="6183" width="11.109375" style="197" customWidth="1"/>
    <col min="6184" max="6184" width="16.77734375" style="197" customWidth="1"/>
    <col min="6185" max="6185" width="15.21875" style="197" customWidth="1"/>
    <col min="6186" max="6186" width="15.21875" style="197" bestFit="1" customWidth="1"/>
    <col min="6187" max="6187" width="12.88671875" style="197" customWidth="1"/>
    <col min="6188" max="6188" width="16.33203125" style="197" bestFit="1" customWidth="1"/>
    <col min="6189" max="6191" width="13.88671875" style="197" bestFit="1" customWidth="1"/>
    <col min="6192" max="6192" width="12.6640625" style="197" bestFit="1" customWidth="1"/>
    <col min="6193" max="6193" width="13.21875" style="197" bestFit="1" customWidth="1"/>
    <col min="6194" max="6194" width="13.109375" style="197" bestFit="1" customWidth="1"/>
    <col min="6195" max="6400" width="9.21875" style="197"/>
    <col min="6401" max="6401" width="0" style="197" hidden="1" customWidth="1"/>
    <col min="6402" max="6402" width="32.6640625" style="197" customWidth="1"/>
    <col min="6403" max="6403" width="0" style="197" hidden="1" customWidth="1"/>
    <col min="6404" max="6404" width="17.6640625" style="197" customWidth="1"/>
    <col min="6405" max="6405" width="15.6640625" style="197" bestFit="1" customWidth="1"/>
    <col min="6406" max="6406" width="15.21875" style="197" customWidth="1"/>
    <col min="6407" max="6407" width="15.33203125" style="197" bestFit="1" customWidth="1"/>
    <col min="6408" max="6408" width="14.109375" style="197" customWidth="1"/>
    <col min="6409" max="6409" width="13.88671875" style="197" bestFit="1" customWidth="1"/>
    <col min="6410" max="6410" width="15.21875" style="197" bestFit="1" customWidth="1"/>
    <col min="6411" max="6411" width="13" style="197" bestFit="1" customWidth="1"/>
    <col min="6412" max="6413" width="14.109375" style="197" customWidth="1"/>
    <col min="6414" max="6415" width="15.21875" style="197" bestFit="1" customWidth="1"/>
    <col min="6416" max="6416" width="14.21875" style="197" bestFit="1" customWidth="1"/>
    <col min="6417" max="6417" width="14.88671875" style="197" bestFit="1" customWidth="1"/>
    <col min="6418" max="6418" width="14.33203125" style="197" customWidth="1"/>
    <col min="6419" max="6419" width="17.21875" style="197" customWidth="1"/>
    <col min="6420" max="6420" width="4.77734375" style="197" customWidth="1"/>
    <col min="6421" max="6421" width="15.21875" style="197" customWidth="1"/>
    <col min="6422" max="6422" width="10.21875" style="197" customWidth="1"/>
    <col min="6423" max="6423" width="15.21875" style="197" customWidth="1"/>
    <col min="6424" max="6424" width="13" style="197" customWidth="1"/>
    <col min="6425" max="6425" width="13.88671875" style="197" customWidth="1"/>
    <col min="6426" max="6426" width="13" style="197" customWidth="1"/>
    <col min="6427" max="6427" width="13.88671875" style="197" customWidth="1"/>
    <col min="6428" max="6428" width="15.21875" style="197" customWidth="1"/>
    <col min="6429" max="6429" width="13" style="197" customWidth="1"/>
    <col min="6430" max="6430" width="14.109375" style="197" customWidth="1"/>
    <col min="6431" max="6431" width="17.77734375" style="197" customWidth="1"/>
    <col min="6432" max="6432" width="14.109375" style="197" customWidth="1"/>
    <col min="6433" max="6433" width="15.21875" style="197" customWidth="1"/>
    <col min="6434" max="6434" width="13.21875" style="197" customWidth="1"/>
    <col min="6435" max="6435" width="14.109375" style="197" customWidth="1"/>
    <col min="6436" max="6436" width="13" style="197" customWidth="1"/>
    <col min="6437" max="6437" width="9.77734375" style="197" customWidth="1"/>
    <col min="6438" max="6438" width="16.77734375" style="197" customWidth="1"/>
    <col min="6439" max="6439" width="11.109375" style="197" customWidth="1"/>
    <col min="6440" max="6440" width="16.77734375" style="197" customWidth="1"/>
    <col min="6441" max="6441" width="15.21875" style="197" customWidth="1"/>
    <col min="6442" max="6442" width="15.21875" style="197" bestFit="1" customWidth="1"/>
    <col min="6443" max="6443" width="12.88671875" style="197" customWidth="1"/>
    <col min="6444" max="6444" width="16.33203125" style="197" bestFit="1" customWidth="1"/>
    <col min="6445" max="6447" width="13.88671875" style="197" bestFit="1" customWidth="1"/>
    <col min="6448" max="6448" width="12.6640625" style="197" bestFit="1" customWidth="1"/>
    <col min="6449" max="6449" width="13.21875" style="197" bestFit="1" customWidth="1"/>
    <col min="6450" max="6450" width="13.109375" style="197" bestFit="1" customWidth="1"/>
    <col min="6451" max="6656" width="9.21875" style="197"/>
    <col min="6657" max="6657" width="0" style="197" hidden="1" customWidth="1"/>
    <col min="6658" max="6658" width="32.6640625" style="197" customWidth="1"/>
    <col min="6659" max="6659" width="0" style="197" hidden="1" customWidth="1"/>
    <col min="6660" max="6660" width="17.6640625" style="197" customWidth="1"/>
    <col min="6661" max="6661" width="15.6640625" style="197" bestFit="1" customWidth="1"/>
    <col min="6662" max="6662" width="15.21875" style="197" customWidth="1"/>
    <col min="6663" max="6663" width="15.33203125" style="197" bestFit="1" customWidth="1"/>
    <col min="6664" max="6664" width="14.109375" style="197" customWidth="1"/>
    <col min="6665" max="6665" width="13.88671875" style="197" bestFit="1" customWidth="1"/>
    <col min="6666" max="6666" width="15.21875" style="197" bestFit="1" customWidth="1"/>
    <col min="6667" max="6667" width="13" style="197" bestFit="1" customWidth="1"/>
    <col min="6668" max="6669" width="14.109375" style="197" customWidth="1"/>
    <col min="6670" max="6671" width="15.21875" style="197" bestFit="1" customWidth="1"/>
    <col min="6672" max="6672" width="14.21875" style="197" bestFit="1" customWidth="1"/>
    <col min="6673" max="6673" width="14.88671875" style="197" bestFit="1" customWidth="1"/>
    <col min="6674" max="6674" width="14.33203125" style="197" customWidth="1"/>
    <col min="6675" max="6675" width="17.21875" style="197" customWidth="1"/>
    <col min="6676" max="6676" width="4.77734375" style="197" customWidth="1"/>
    <col min="6677" max="6677" width="15.21875" style="197" customWidth="1"/>
    <col min="6678" max="6678" width="10.21875" style="197" customWidth="1"/>
    <col min="6679" max="6679" width="15.21875" style="197" customWidth="1"/>
    <col min="6680" max="6680" width="13" style="197" customWidth="1"/>
    <col min="6681" max="6681" width="13.88671875" style="197" customWidth="1"/>
    <col min="6682" max="6682" width="13" style="197" customWidth="1"/>
    <col min="6683" max="6683" width="13.88671875" style="197" customWidth="1"/>
    <col min="6684" max="6684" width="15.21875" style="197" customWidth="1"/>
    <col min="6685" max="6685" width="13" style="197" customWidth="1"/>
    <col min="6686" max="6686" width="14.109375" style="197" customWidth="1"/>
    <col min="6687" max="6687" width="17.77734375" style="197" customWidth="1"/>
    <col min="6688" max="6688" width="14.109375" style="197" customWidth="1"/>
    <col min="6689" max="6689" width="15.21875" style="197" customWidth="1"/>
    <col min="6690" max="6690" width="13.21875" style="197" customWidth="1"/>
    <col min="6691" max="6691" width="14.109375" style="197" customWidth="1"/>
    <col min="6692" max="6692" width="13" style="197" customWidth="1"/>
    <col min="6693" max="6693" width="9.77734375" style="197" customWidth="1"/>
    <col min="6694" max="6694" width="16.77734375" style="197" customWidth="1"/>
    <col min="6695" max="6695" width="11.109375" style="197" customWidth="1"/>
    <col min="6696" max="6696" width="16.77734375" style="197" customWidth="1"/>
    <col min="6697" max="6697" width="15.21875" style="197" customWidth="1"/>
    <col min="6698" max="6698" width="15.21875" style="197" bestFit="1" customWidth="1"/>
    <col min="6699" max="6699" width="12.88671875" style="197" customWidth="1"/>
    <col min="6700" max="6700" width="16.33203125" style="197" bestFit="1" customWidth="1"/>
    <col min="6701" max="6703" width="13.88671875" style="197" bestFit="1" customWidth="1"/>
    <col min="6704" max="6704" width="12.6640625" style="197" bestFit="1" customWidth="1"/>
    <col min="6705" max="6705" width="13.21875" style="197" bestFit="1" customWidth="1"/>
    <col min="6706" max="6706" width="13.109375" style="197" bestFit="1" customWidth="1"/>
    <col min="6707" max="6912" width="9.21875" style="197"/>
    <col min="6913" max="6913" width="0" style="197" hidden="1" customWidth="1"/>
    <col min="6914" max="6914" width="32.6640625" style="197" customWidth="1"/>
    <col min="6915" max="6915" width="0" style="197" hidden="1" customWidth="1"/>
    <col min="6916" max="6916" width="17.6640625" style="197" customWidth="1"/>
    <col min="6917" max="6917" width="15.6640625" style="197" bestFit="1" customWidth="1"/>
    <col min="6918" max="6918" width="15.21875" style="197" customWidth="1"/>
    <col min="6919" max="6919" width="15.33203125" style="197" bestFit="1" customWidth="1"/>
    <col min="6920" max="6920" width="14.109375" style="197" customWidth="1"/>
    <col min="6921" max="6921" width="13.88671875" style="197" bestFit="1" customWidth="1"/>
    <col min="6922" max="6922" width="15.21875" style="197" bestFit="1" customWidth="1"/>
    <col min="6923" max="6923" width="13" style="197" bestFit="1" customWidth="1"/>
    <col min="6924" max="6925" width="14.109375" style="197" customWidth="1"/>
    <col min="6926" max="6927" width="15.21875" style="197" bestFit="1" customWidth="1"/>
    <col min="6928" max="6928" width="14.21875" style="197" bestFit="1" customWidth="1"/>
    <col min="6929" max="6929" width="14.88671875" style="197" bestFit="1" customWidth="1"/>
    <col min="6930" max="6930" width="14.33203125" style="197" customWidth="1"/>
    <col min="6931" max="6931" width="17.21875" style="197" customWidth="1"/>
    <col min="6932" max="6932" width="4.77734375" style="197" customWidth="1"/>
    <col min="6933" max="6933" width="15.21875" style="197" customWidth="1"/>
    <col min="6934" max="6934" width="10.21875" style="197" customWidth="1"/>
    <col min="6935" max="6935" width="15.21875" style="197" customWidth="1"/>
    <col min="6936" max="6936" width="13" style="197" customWidth="1"/>
    <col min="6937" max="6937" width="13.88671875" style="197" customWidth="1"/>
    <col min="6938" max="6938" width="13" style="197" customWidth="1"/>
    <col min="6939" max="6939" width="13.88671875" style="197" customWidth="1"/>
    <col min="6940" max="6940" width="15.21875" style="197" customWidth="1"/>
    <col min="6941" max="6941" width="13" style="197" customWidth="1"/>
    <col min="6942" max="6942" width="14.109375" style="197" customWidth="1"/>
    <col min="6943" max="6943" width="17.77734375" style="197" customWidth="1"/>
    <col min="6944" max="6944" width="14.109375" style="197" customWidth="1"/>
    <col min="6945" max="6945" width="15.21875" style="197" customWidth="1"/>
    <col min="6946" max="6946" width="13.21875" style="197" customWidth="1"/>
    <col min="6947" max="6947" width="14.109375" style="197" customWidth="1"/>
    <col min="6948" max="6948" width="13" style="197" customWidth="1"/>
    <col min="6949" max="6949" width="9.77734375" style="197" customWidth="1"/>
    <col min="6950" max="6950" width="16.77734375" style="197" customWidth="1"/>
    <col min="6951" max="6951" width="11.109375" style="197" customWidth="1"/>
    <col min="6952" max="6952" width="16.77734375" style="197" customWidth="1"/>
    <col min="6953" max="6953" width="15.21875" style="197" customWidth="1"/>
    <col min="6954" max="6954" width="15.21875" style="197" bestFit="1" customWidth="1"/>
    <col min="6955" max="6955" width="12.88671875" style="197" customWidth="1"/>
    <col min="6956" max="6956" width="16.33203125" style="197" bestFit="1" customWidth="1"/>
    <col min="6957" max="6959" width="13.88671875" style="197" bestFit="1" customWidth="1"/>
    <col min="6960" max="6960" width="12.6640625" style="197" bestFit="1" customWidth="1"/>
    <col min="6961" max="6961" width="13.21875" style="197" bestFit="1" customWidth="1"/>
    <col min="6962" max="6962" width="13.109375" style="197" bestFit="1" customWidth="1"/>
    <col min="6963" max="7168" width="9.21875" style="197"/>
    <col min="7169" max="7169" width="0" style="197" hidden="1" customWidth="1"/>
    <col min="7170" max="7170" width="32.6640625" style="197" customWidth="1"/>
    <col min="7171" max="7171" width="0" style="197" hidden="1" customWidth="1"/>
    <col min="7172" max="7172" width="17.6640625" style="197" customWidth="1"/>
    <col min="7173" max="7173" width="15.6640625" style="197" bestFit="1" customWidth="1"/>
    <col min="7174" max="7174" width="15.21875" style="197" customWidth="1"/>
    <col min="7175" max="7175" width="15.33203125" style="197" bestFit="1" customWidth="1"/>
    <col min="7176" max="7176" width="14.109375" style="197" customWidth="1"/>
    <col min="7177" max="7177" width="13.88671875" style="197" bestFit="1" customWidth="1"/>
    <col min="7178" max="7178" width="15.21875" style="197" bestFit="1" customWidth="1"/>
    <col min="7179" max="7179" width="13" style="197" bestFit="1" customWidth="1"/>
    <col min="7180" max="7181" width="14.109375" style="197" customWidth="1"/>
    <col min="7182" max="7183" width="15.21875" style="197" bestFit="1" customWidth="1"/>
    <col min="7184" max="7184" width="14.21875" style="197" bestFit="1" customWidth="1"/>
    <col min="7185" max="7185" width="14.88671875" style="197" bestFit="1" customWidth="1"/>
    <col min="7186" max="7186" width="14.33203125" style="197" customWidth="1"/>
    <col min="7187" max="7187" width="17.21875" style="197" customWidth="1"/>
    <col min="7188" max="7188" width="4.77734375" style="197" customWidth="1"/>
    <col min="7189" max="7189" width="15.21875" style="197" customWidth="1"/>
    <col min="7190" max="7190" width="10.21875" style="197" customWidth="1"/>
    <col min="7191" max="7191" width="15.21875" style="197" customWidth="1"/>
    <col min="7192" max="7192" width="13" style="197" customWidth="1"/>
    <col min="7193" max="7193" width="13.88671875" style="197" customWidth="1"/>
    <col min="7194" max="7194" width="13" style="197" customWidth="1"/>
    <col min="7195" max="7195" width="13.88671875" style="197" customWidth="1"/>
    <col min="7196" max="7196" width="15.21875" style="197" customWidth="1"/>
    <col min="7197" max="7197" width="13" style="197" customWidth="1"/>
    <col min="7198" max="7198" width="14.109375" style="197" customWidth="1"/>
    <col min="7199" max="7199" width="17.77734375" style="197" customWidth="1"/>
    <col min="7200" max="7200" width="14.109375" style="197" customWidth="1"/>
    <col min="7201" max="7201" width="15.21875" style="197" customWidth="1"/>
    <col min="7202" max="7202" width="13.21875" style="197" customWidth="1"/>
    <col min="7203" max="7203" width="14.109375" style="197" customWidth="1"/>
    <col min="7204" max="7204" width="13" style="197" customWidth="1"/>
    <col min="7205" max="7205" width="9.77734375" style="197" customWidth="1"/>
    <col min="7206" max="7206" width="16.77734375" style="197" customWidth="1"/>
    <col min="7207" max="7207" width="11.109375" style="197" customWidth="1"/>
    <col min="7208" max="7208" width="16.77734375" style="197" customWidth="1"/>
    <col min="7209" max="7209" width="15.21875" style="197" customWidth="1"/>
    <col min="7210" max="7210" width="15.21875" style="197" bestFit="1" customWidth="1"/>
    <col min="7211" max="7211" width="12.88671875" style="197" customWidth="1"/>
    <col min="7212" max="7212" width="16.33203125" style="197" bestFit="1" customWidth="1"/>
    <col min="7213" max="7215" width="13.88671875" style="197" bestFit="1" customWidth="1"/>
    <col min="7216" max="7216" width="12.6640625" style="197" bestFit="1" customWidth="1"/>
    <col min="7217" max="7217" width="13.21875" style="197" bestFit="1" customWidth="1"/>
    <col min="7218" max="7218" width="13.109375" style="197" bestFit="1" customWidth="1"/>
    <col min="7219" max="7424" width="9.21875" style="197"/>
    <col min="7425" max="7425" width="0" style="197" hidden="1" customWidth="1"/>
    <col min="7426" max="7426" width="32.6640625" style="197" customWidth="1"/>
    <col min="7427" max="7427" width="0" style="197" hidden="1" customWidth="1"/>
    <col min="7428" max="7428" width="17.6640625" style="197" customWidth="1"/>
    <col min="7429" max="7429" width="15.6640625" style="197" bestFit="1" customWidth="1"/>
    <col min="7430" max="7430" width="15.21875" style="197" customWidth="1"/>
    <col min="7431" max="7431" width="15.33203125" style="197" bestFit="1" customWidth="1"/>
    <col min="7432" max="7432" width="14.109375" style="197" customWidth="1"/>
    <col min="7433" max="7433" width="13.88671875" style="197" bestFit="1" customWidth="1"/>
    <col min="7434" max="7434" width="15.21875" style="197" bestFit="1" customWidth="1"/>
    <col min="7435" max="7435" width="13" style="197" bestFit="1" customWidth="1"/>
    <col min="7436" max="7437" width="14.109375" style="197" customWidth="1"/>
    <col min="7438" max="7439" width="15.21875" style="197" bestFit="1" customWidth="1"/>
    <col min="7440" max="7440" width="14.21875" style="197" bestFit="1" customWidth="1"/>
    <col min="7441" max="7441" width="14.88671875" style="197" bestFit="1" customWidth="1"/>
    <col min="7442" max="7442" width="14.33203125" style="197" customWidth="1"/>
    <col min="7443" max="7443" width="17.21875" style="197" customWidth="1"/>
    <col min="7444" max="7444" width="4.77734375" style="197" customWidth="1"/>
    <col min="7445" max="7445" width="15.21875" style="197" customWidth="1"/>
    <col min="7446" max="7446" width="10.21875" style="197" customWidth="1"/>
    <col min="7447" max="7447" width="15.21875" style="197" customWidth="1"/>
    <col min="7448" max="7448" width="13" style="197" customWidth="1"/>
    <col min="7449" max="7449" width="13.88671875" style="197" customWidth="1"/>
    <col min="7450" max="7450" width="13" style="197" customWidth="1"/>
    <col min="7451" max="7451" width="13.88671875" style="197" customWidth="1"/>
    <col min="7452" max="7452" width="15.21875" style="197" customWidth="1"/>
    <col min="7453" max="7453" width="13" style="197" customWidth="1"/>
    <col min="7454" max="7454" width="14.109375" style="197" customWidth="1"/>
    <col min="7455" max="7455" width="17.77734375" style="197" customWidth="1"/>
    <col min="7456" max="7456" width="14.109375" style="197" customWidth="1"/>
    <col min="7457" max="7457" width="15.21875" style="197" customWidth="1"/>
    <col min="7458" max="7458" width="13.21875" style="197" customWidth="1"/>
    <col min="7459" max="7459" width="14.109375" style="197" customWidth="1"/>
    <col min="7460" max="7460" width="13" style="197" customWidth="1"/>
    <col min="7461" max="7461" width="9.77734375" style="197" customWidth="1"/>
    <col min="7462" max="7462" width="16.77734375" style="197" customWidth="1"/>
    <col min="7463" max="7463" width="11.109375" style="197" customWidth="1"/>
    <col min="7464" max="7464" width="16.77734375" style="197" customWidth="1"/>
    <col min="7465" max="7465" width="15.21875" style="197" customWidth="1"/>
    <col min="7466" max="7466" width="15.21875" style="197" bestFit="1" customWidth="1"/>
    <col min="7467" max="7467" width="12.88671875" style="197" customWidth="1"/>
    <col min="7468" max="7468" width="16.33203125" style="197" bestFit="1" customWidth="1"/>
    <col min="7469" max="7471" width="13.88671875" style="197" bestFit="1" customWidth="1"/>
    <col min="7472" max="7472" width="12.6640625" style="197" bestFit="1" customWidth="1"/>
    <col min="7473" max="7473" width="13.21875" style="197" bestFit="1" customWidth="1"/>
    <col min="7474" max="7474" width="13.109375" style="197" bestFit="1" customWidth="1"/>
    <col min="7475" max="7680" width="9.21875" style="197"/>
    <col min="7681" max="7681" width="0" style="197" hidden="1" customWidth="1"/>
    <col min="7682" max="7682" width="32.6640625" style="197" customWidth="1"/>
    <col min="7683" max="7683" width="0" style="197" hidden="1" customWidth="1"/>
    <col min="7684" max="7684" width="17.6640625" style="197" customWidth="1"/>
    <col min="7685" max="7685" width="15.6640625" style="197" bestFit="1" customWidth="1"/>
    <col min="7686" max="7686" width="15.21875" style="197" customWidth="1"/>
    <col min="7687" max="7687" width="15.33203125" style="197" bestFit="1" customWidth="1"/>
    <col min="7688" max="7688" width="14.109375" style="197" customWidth="1"/>
    <col min="7689" max="7689" width="13.88671875" style="197" bestFit="1" customWidth="1"/>
    <col min="7690" max="7690" width="15.21875" style="197" bestFit="1" customWidth="1"/>
    <col min="7691" max="7691" width="13" style="197" bestFit="1" customWidth="1"/>
    <col min="7692" max="7693" width="14.109375" style="197" customWidth="1"/>
    <col min="7694" max="7695" width="15.21875" style="197" bestFit="1" customWidth="1"/>
    <col min="7696" max="7696" width="14.21875" style="197" bestFit="1" customWidth="1"/>
    <col min="7697" max="7697" width="14.88671875" style="197" bestFit="1" customWidth="1"/>
    <col min="7698" max="7698" width="14.33203125" style="197" customWidth="1"/>
    <col min="7699" max="7699" width="17.21875" style="197" customWidth="1"/>
    <col min="7700" max="7700" width="4.77734375" style="197" customWidth="1"/>
    <col min="7701" max="7701" width="15.21875" style="197" customWidth="1"/>
    <col min="7702" max="7702" width="10.21875" style="197" customWidth="1"/>
    <col min="7703" max="7703" width="15.21875" style="197" customWidth="1"/>
    <col min="7704" max="7704" width="13" style="197" customWidth="1"/>
    <col min="7705" max="7705" width="13.88671875" style="197" customWidth="1"/>
    <col min="7706" max="7706" width="13" style="197" customWidth="1"/>
    <col min="7707" max="7707" width="13.88671875" style="197" customWidth="1"/>
    <col min="7708" max="7708" width="15.21875" style="197" customWidth="1"/>
    <col min="7709" max="7709" width="13" style="197" customWidth="1"/>
    <col min="7710" max="7710" width="14.109375" style="197" customWidth="1"/>
    <col min="7711" max="7711" width="17.77734375" style="197" customWidth="1"/>
    <col min="7712" max="7712" width="14.109375" style="197" customWidth="1"/>
    <col min="7713" max="7713" width="15.21875" style="197" customWidth="1"/>
    <col min="7714" max="7714" width="13.21875" style="197" customWidth="1"/>
    <col min="7715" max="7715" width="14.109375" style="197" customWidth="1"/>
    <col min="7716" max="7716" width="13" style="197" customWidth="1"/>
    <col min="7717" max="7717" width="9.77734375" style="197" customWidth="1"/>
    <col min="7718" max="7718" width="16.77734375" style="197" customWidth="1"/>
    <col min="7719" max="7719" width="11.109375" style="197" customWidth="1"/>
    <col min="7720" max="7720" width="16.77734375" style="197" customWidth="1"/>
    <col min="7721" max="7721" width="15.21875" style="197" customWidth="1"/>
    <col min="7722" max="7722" width="15.21875" style="197" bestFit="1" customWidth="1"/>
    <col min="7723" max="7723" width="12.88671875" style="197" customWidth="1"/>
    <col min="7724" max="7724" width="16.33203125" style="197" bestFit="1" customWidth="1"/>
    <col min="7725" max="7727" width="13.88671875" style="197" bestFit="1" customWidth="1"/>
    <col min="7728" max="7728" width="12.6640625" style="197" bestFit="1" customWidth="1"/>
    <col min="7729" max="7729" width="13.21875" style="197" bestFit="1" customWidth="1"/>
    <col min="7730" max="7730" width="13.109375" style="197" bestFit="1" customWidth="1"/>
    <col min="7731" max="7936" width="9.21875" style="197"/>
    <col min="7937" max="7937" width="0" style="197" hidden="1" customWidth="1"/>
    <col min="7938" max="7938" width="32.6640625" style="197" customWidth="1"/>
    <col min="7939" max="7939" width="0" style="197" hidden="1" customWidth="1"/>
    <col min="7940" max="7940" width="17.6640625" style="197" customWidth="1"/>
    <col min="7941" max="7941" width="15.6640625" style="197" bestFit="1" customWidth="1"/>
    <col min="7942" max="7942" width="15.21875" style="197" customWidth="1"/>
    <col min="7943" max="7943" width="15.33203125" style="197" bestFit="1" customWidth="1"/>
    <col min="7944" max="7944" width="14.109375" style="197" customWidth="1"/>
    <col min="7945" max="7945" width="13.88671875" style="197" bestFit="1" customWidth="1"/>
    <col min="7946" max="7946" width="15.21875" style="197" bestFit="1" customWidth="1"/>
    <col min="7947" max="7947" width="13" style="197" bestFit="1" customWidth="1"/>
    <col min="7948" max="7949" width="14.109375" style="197" customWidth="1"/>
    <col min="7950" max="7951" width="15.21875" style="197" bestFit="1" customWidth="1"/>
    <col min="7952" max="7952" width="14.21875" style="197" bestFit="1" customWidth="1"/>
    <col min="7953" max="7953" width="14.88671875" style="197" bestFit="1" customWidth="1"/>
    <col min="7954" max="7954" width="14.33203125" style="197" customWidth="1"/>
    <col min="7955" max="7955" width="17.21875" style="197" customWidth="1"/>
    <col min="7956" max="7956" width="4.77734375" style="197" customWidth="1"/>
    <col min="7957" max="7957" width="15.21875" style="197" customWidth="1"/>
    <col min="7958" max="7958" width="10.21875" style="197" customWidth="1"/>
    <col min="7959" max="7959" width="15.21875" style="197" customWidth="1"/>
    <col min="7960" max="7960" width="13" style="197" customWidth="1"/>
    <col min="7961" max="7961" width="13.88671875" style="197" customWidth="1"/>
    <col min="7962" max="7962" width="13" style="197" customWidth="1"/>
    <col min="7963" max="7963" width="13.88671875" style="197" customWidth="1"/>
    <col min="7964" max="7964" width="15.21875" style="197" customWidth="1"/>
    <col min="7965" max="7965" width="13" style="197" customWidth="1"/>
    <col min="7966" max="7966" width="14.109375" style="197" customWidth="1"/>
    <col min="7967" max="7967" width="17.77734375" style="197" customWidth="1"/>
    <col min="7968" max="7968" width="14.109375" style="197" customWidth="1"/>
    <col min="7969" max="7969" width="15.21875" style="197" customWidth="1"/>
    <col min="7970" max="7970" width="13.21875" style="197" customWidth="1"/>
    <col min="7971" max="7971" width="14.109375" style="197" customWidth="1"/>
    <col min="7972" max="7972" width="13" style="197" customWidth="1"/>
    <col min="7973" max="7973" width="9.77734375" style="197" customWidth="1"/>
    <col min="7974" max="7974" width="16.77734375" style="197" customWidth="1"/>
    <col min="7975" max="7975" width="11.109375" style="197" customWidth="1"/>
    <col min="7976" max="7976" width="16.77734375" style="197" customWidth="1"/>
    <col min="7977" max="7977" width="15.21875" style="197" customWidth="1"/>
    <col min="7978" max="7978" width="15.21875" style="197" bestFit="1" customWidth="1"/>
    <col min="7979" max="7979" width="12.88671875" style="197" customWidth="1"/>
    <col min="7980" max="7980" width="16.33203125" style="197" bestFit="1" customWidth="1"/>
    <col min="7981" max="7983" width="13.88671875" style="197" bestFit="1" customWidth="1"/>
    <col min="7984" max="7984" width="12.6640625" style="197" bestFit="1" customWidth="1"/>
    <col min="7985" max="7985" width="13.21875" style="197" bestFit="1" customWidth="1"/>
    <col min="7986" max="7986" width="13.109375" style="197" bestFit="1" customWidth="1"/>
    <col min="7987" max="8192" width="9.21875" style="197"/>
    <col min="8193" max="8193" width="0" style="197" hidden="1" customWidth="1"/>
    <col min="8194" max="8194" width="32.6640625" style="197" customWidth="1"/>
    <col min="8195" max="8195" width="0" style="197" hidden="1" customWidth="1"/>
    <col min="8196" max="8196" width="17.6640625" style="197" customWidth="1"/>
    <col min="8197" max="8197" width="15.6640625" style="197" bestFit="1" customWidth="1"/>
    <col min="8198" max="8198" width="15.21875" style="197" customWidth="1"/>
    <col min="8199" max="8199" width="15.33203125" style="197" bestFit="1" customWidth="1"/>
    <col min="8200" max="8200" width="14.109375" style="197" customWidth="1"/>
    <col min="8201" max="8201" width="13.88671875" style="197" bestFit="1" customWidth="1"/>
    <col min="8202" max="8202" width="15.21875" style="197" bestFit="1" customWidth="1"/>
    <col min="8203" max="8203" width="13" style="197" bestFit="1" customWidth="1"/>
    <col min="8204" max="8205" width="14.109375" style="197" customWidth="1"/>
    <col min="8206" max="8207" width="15.21875" style="197" bestFit="1" customWidth="1"/>
    <col min="8208" max="8208" width="14.21875" style="197" bestFit="1" customWidth="1"/>
    <col min="8209" max="8209" width="14.88671875" style="197" bestFit="1" customWidth="1"/>
    <col min="8210" max="8210" width="14.33203125" style="197" customWidth="1"/>
    <col min="8211" max="8211" width="17.21875" style="197" customWidth="1"/>
    <col min="8212" max="8212" width="4.77734375" style="197" customWidth="1"/>
    <col min="8213" max="8213" width="15.21875" style="197" customWidth="1"/>
    <col min="8214" max="8214" width="10.21875" style="197" customWidth="1"/>
    <col min="8215" max="8215" width="15.21875" style="197" customWidth="1"/>
    <col min="8216" max="8216" width="13" style="197" customWidth="1"/>
    <col min="8217" max="8217" width="13.88671875" style="197" customWidth="1"/>
    <col min="8218" max="8218" width="13" style="197" customWidth="1"/>
    <col min="8219" max="8219" width="13.88671875" style="197" customWidth="1"/>
    <col min="8220" max="8220" width="15.21875" style="197" customWidth="1"/>
    <col min="8221" max="8221" width="13" style="197" customWidth="1"/>
    <col min="8222" max="8222" width="14.109375" style="197" customWidth="1"/>
    <col min="8223" max="8223" width="17.77734375" style="197" customWidth="1"/>
    <col min="8224" max="8224" width="14.109375" style="197" customWidth="1"/>
    <col min="8225" max="8225" width="15.21875" style="197" customWidth="1"/>
    <col min="8226" max="8226" width="13.21875" style="197" customWidth="1"/>
    <col min="8227" max="8227" width="14.109375" style="197" customWidth="1"/>
    <col min="8228" max="8228" width="13" style="197" customWidth="1"/>
    <col min="8229" max="8229" width="9.77734375" style="197" customWidth="1"/>
    <col min="8230" max="8230" width="16.77734375" style="197" customWidth="1"/>
    <col min="8231" max="8231" width="11.109375" style="197" customWidth="1"/>
    <col min="8232" max="8232" width="16.77734375" style="197" customWidth="1"/>
    <col min="8233" max="8233" width="15.21875" style="197" customWidth="1"/>
    <col min="8234" max="8234" width="15.21875" style="197" bestFit="1" customWidth="1"/>
    <col min="8235" max="8235" width="12.88671875" style="197" customWidth="1"/>
    <col min="8236" max="8236" width="16.33203125" style="197" bestFit="1" customWidth="1"/>
    <col min="8237" max="8239" width="13.88671875" style="197" bestFit="1" customWidth="1"/>
    <col min="8240" max="8240" width="12.6640625" style="197" bestFit="1" customWidth="1"/>
    <col min="8241" max="8241" width="13.21875" style="197" bestFit="1" customWidth="1"/>
    <col min="8242" max="8242" width="13.109375" style="197" bestFit="1" customWidth="1"/>
    <col min="8243" max="8448" width="9.21875" style="197"/>
    <col min="8449" max="8449" width="0" style="197" hidden="1" customWidth="1"/>
    <col min="8450" max="8450" width="32.6640625" style="197" customWidth="1"/>
    <col min="8451" max="8451" width="0" style="197" hidden="1" customWidth="1"/>
    <col min="8452" max="8452" width="17.6640625" style="197" customWidth="1"/>
    <col min="8453" max="8453" width="15.6640625" style="197" bestFit="1" customWidth="1"/>
    <col min="8454" max="8454" width="15.21875" style="197" customWidth="1"/>
    <col min="8455" max="8455" width="15.33203125" style="197" bestFit="1" customWidth="1"/>
    <col min="8456" max="8456" width="14.109375" style="197" customWidth="1"/>
    <col min="8457" max="8457" width="13.88671875" style="197" bestFit="1" customWidth="1"/>
    <col min="8458" max="8458" width="15.21875" style="197" bestFit="1" customWidth="1"/>
    <col min="8459" max="8459" width="13" style="197" bestFit="1" customWidth="1"/>
    <col min="8460" max="8461" width="14.109375" style="197" customWidth="1"/>
    <col min="8462" max="8463" width="15.21875" style="197" bestFit="1" customWidth="1"/>
    <col min="8464" max="8464" width="14.21875" style="197" bestFit="1" customWidth="1"/>
    <col min="8465" max="8465" width="14.88671875" style="197" bestFit="1" customWidth="1"/>
    <col min="8466" max="8466" width="14.33203125" style="197" customWidth="1"/>
    <col min="8467" max="8467" width="17.21875" style="197" customWidth="1"/>
    <col min="8468" max="8468" width="4.77734375" style="197" customWidth="1"/>
    <col min="8469" max="8469" width="15.21875" style="197" customWidth="1"/>
    <col min="8470" max="8470" width="10.21875" style="197" customWidth="1"/>
    <col min="8471" max="8471" width="15.21875" style="197" customWidth="1"/>
    <col min="8472" max="8472" width="13" style="197" customWidth="1"/>
    <col min="8473" max="8473" width="13.88671875" style="197" customWidth="1"/>
    <col min="8474" max="8474" width="13" style="197" customWidth="1"/>
    <col min="8475" max="8475" width="13.88671875" style="197" customWidth="1"/>
    <col min="8476" max="8476" width="15.21875" style="197" customWidth="1"/>
    <col min="8477" max="8477" width="13" style="197" customWidth="1"/>
    <col min="8478" max="8478" width="14.109375" style="197" customWidth="1"/>
    <col min="8479" max="8479" width="17.77734375" style="197" customWidth="1"/>
    <col min="8480" max="8480" width="14.109375" style="197" customWidth="1"/>
    <col min="8481" max="8481" width="15.21875" style="197" customWidth="1"/>
    <col min="8482" max="8482" width="13.21875" style="197" customWidth="1"/>
    <col min="8483" max="8483" width="14.109375" style="197" customWidth="1"/>
    <col min="8484" max="8484" width="13" style="197" customWidth="1"/>
    <col min="8485" max="8485" width="9.77734375" style="197" customWidth="1"/>
    <col min="8486" max="8486" width="16.77734375" style="197" customWidth="1"/>
    <col min="8487" max="8487" width="11.109375" style="197" customWidth="1"/>
    <col min="8488" max="8488" width="16.77734375" style="197" customWidth="1"/>
    <col min="8489" max="8489" width="15.21875" style="197" customWidth="1"/>
    <col min="8490" max="8490" width="15.21875" style="197" bestFit="1" customWidth="1"/>
    <col min="8491" max="8491" width="12.88671875" style="197" customWidth="1"/>
    <col min="8492" max="8492" width="16.33203125" style="197" bestFit="1" customWidth="1"/>
    <col min="8493" max="8495" width="13.88671875" style="197" bestFit="1" customWidth="1"/>
    <col min="8496" max="8496" width="12.6640625" style="197" bestFit="1" customWidth="1"/>
    <col min="8497" max="8497" width="13.21875" style="197" bestFit="1" customWidth="1"/>
    <col min="8498" max="8498" width="13.109375" style="197" bestFit="1" customWidth="1"/>
    <col min="8499" max="8704" width="9.21875" style="197"/>
    <col min="8705" max="8705" width="0" style="197" hidden="1" customWidth="1"/>
    <col min="8706" max="8706" width="32.6640625" style="197" customWidth="1"/>
    <col min="8707" max="8707" width="0" style="197" hidden="1" customWidth="1"/>
    <col min="8708" max="8708" width="17.6640625" style="197" customWidth="1"/>
    <col min="8709" max="8709" width="15.6640625" style="197" bestFit="1" customWidth="1"/>
    <col min="8710" max="8710" width="15.21875" style="197" customWidth="1"/>
    <col min="8711" max="8711" width="15.33203125" style="197" bestFit="1" customWidth="1"/>
    <col min="8712" max="8712" width="14.109375" style="197" customWidth="1"/>
    <col min="8713" max="8713" width="13.88671875" style="197" bestFit="1" customWidth="1"/>
    <col min="8714" max="8714" width="15.21875" style="197" bestFit="1" customWidth="1"/>
    <col min="8715" max="8715" width="13" style="197" bestFit="1" customWidth="1"/>
    <col min="8716" max="8717" width="14.109375" style="197" customWidth="1"/>
    <col min="8718" max="8719" width="15.21875" style="197" bestFit="1" customWidth="1"/>
    <col min="8720" max="8720" width="14.21875" style="197" bestFit="1" customWidth="1"/>
    <col min="8721" max="8721" width="14.88671875" style="197" bestFit="1" customWidth="1"/>
    <col min="8722" max="8722" width="14.33203125" style="197" customWidth="1"/>
    <col min="8723" max="8723" width="17.21875" style="197" customWidth="1"/>
    <col min="8724" max="8724" width="4.77734375" style="197" customWidth="1"/>
    <col min="8725" max="8725" width="15.21875" style="197" customWidth="1"/>
    <col min="8726" max="8726" width="10.21875" style="197" customWidth="1"/>
    <col min="8727" max="8727" width="15.21875" style="197" customWidth="1"/>
    <col min="8728" max="8728" width="13" style="197" customWidth="1"/>
    <col min="8729" max="8729" width="13.88671875" style="197" customWidth="1"/>
    <col min="8730" max="8730" width="13" style="197" customWidth="1"/>
    <col min="8731" max="8731" width="13.88671875" style="197" customWidth="1"/>
    <col min="8732" max="8732" width="15.21875" style="197" customWidth="1"/>
    <col min="8733" max="8733" width="13" style="197" customWidth="1"/>
    <col min="8734" max="8734" width="14.109375" style="197" customWidth="1"/>
    <col min="8735" max="8735" width="17.77734375" style="197" customWidth="1"/>
    <col min="8736" max="8736" width="14.109375" style="197" customWidth="1"/>
    <col min="8737" max="8737" width="15.21875" style="197" customWidth="1"/>
    <col min="8738" max="8738" width="13.21875" style="197" customWidth="1"/>
    <col min="8739" max="8739" width="14.109375" style="197" customWidth="1"/>
    <col min="8740" max="8740" width="13" style="197" customWidth="1"/>
    <col min="8741" max="8741" width="9.77734375" style="197" customWidth="1"/>
    <col min="8742" max="8742" width="16.77734375" style="197" customWidth="1"/>
    <col min="8743" max="8743" width="11.109375" style="197" customWidth="1"/>
    <col min="8744" max="8744" width="16.77734375" style="197" customWidth="1"/>
    <col min="8745" max="8745" width="15.21875" style="197" customWidth="1"/>
    <col min="8746" max="8746" width="15.21875" style="197" bestFit="1" customWidth="1"/>
    <col min="8747" max="8747" width="12.88671875" style="197" customWidth="1"/>
    <col min="8748" max="8748" width="16.33203125" style="197" bestFit="1" customWidth="1"/>
    <col min="8749" max="8751" width="13.88671875" style="197" bestFit="1" customWidth="1"/>
    <col min="8752" max="8752" width="12.6640625" style="197" bestFit="1" customWidth="1"/>
    <col min="8753" max="8753" width="13.21875" style="197" bestFit="1" customWidth="1"/>
    <col min="8754" max="8754" width="13.109375" style="197" bestFit="1" customWidth="1"/>
    <col min="8755" max="8960" width="9.21875" style="197"/>
    <col min="8961" max="8961" width="0" style="197" hidden="1" customWidth="1"/>
    <col min="8962" max="8962" width="32.6640625" style="197" customWidth="1"/>
    <col min="8963" max="8963" width="0" style="197" hidden="1" customWidth="1"/>
    <col min="8964" max="8964" width="17.6640625" style="197" customWidth="1"/>
    <col min="8965" max="8965" width="15.6640625" style="197" bestFit="1" customWidth="1"/>
    <col min="8966" max="8966" width="15.21875" style="197" customWidth="1"/>
    <col min="8967" max="8967" width="15.33203125" style="197" bestFit="1" customWidth="1"/>
    <col min="8968" max="8968" width="14.109375" style="197" customWidth="1"/>
    <col min="8969" max="8969" width="13.88671875" style="197" bestFit="1" customWidth="1"/>
    <col min="8970" max="8970" width="15.21875" style="197" bestFit="1" customWidth="1"/>
    <col min="8971" max="8971" width="13" style="197" bestFit="1" customWidth="1"/>
    <col min="8972" max="8973" width="14.109375" style="197" customWidth="1"/>
    <col min="8974" max="8975" width="15.21875" style="197" bestFit="1" customWidth="1"/>
    <col min="8976" max="8976" width="14.21875" style="197" bestFit="1" customWidth="1"/>
    <col min="8977" max="8977" width="14.88671875" style="197" bestFit="1" customWidth="1"/>
    <col min="8978" max="8978" width="14.33203125" style="197" customWidth="1"/>
    <col min="8979" max="8979" width="17.21875" style="197" customWidth="1"/>
    <col min="8980" max="8980" width="4.77734375" style="197" customWidth="1"/>
    <col min="8981" max="8981" width="15.21875" style="197" customWidth="1"/>
    <col min="8982" max="8982" width="10.21875" style="197" customWidth="1"/>
    <col min="8983" max="8983" width="15.21875" style="197" customWidth="1"/>
    <col min="8984" max="8984" width="13" style="197" customWidth="1"/>
    <col min="8985" max="8985" width="13.88671875" style="197" customWidth="1"/>
    <col min="8986" max="8986" width="13" style="197" customWidth="1"/>
    <col min="8987" max="8987" width="13.88671875" style="197" customWidth="1"/>
    <col min="8988" max="8988" width="15.21875" style="197" customWidth="1"/>
    <col min="8989" max="8989" width="13" style="197" customWidth="1"/>
    <col min="8990" max="8990" width="14.109375" style="197" customWidth="1"/>
    <col min="8991" max="8991" width="17.77734375" style="197" customWidth="1"/>
    <col min="8992" max="8992" width="14.109375" style="197" customWidth="1"/>
    <col min="8993" max="8993" width="15.21875" style="197" customWidth="1"/>
    <col min="8994" max="8994" width="13.21875" style="197" customWidth="1"/>
    <col min="8995" max="8995" width="14.109375" style="197" customWidth="1"/>
    <col min="8996" max="8996" width="13" style="197" customWidth="1"/>
    <col min="8997" max="8997" width="9.77734375" style="197" customWidth="1"/>
    <col min="8998" max="8998" width="16.77734375" style="197" customWidth="1"/>
    <col min="8999" max="8999" width="11.109375" style="197" customWidth="1"/>
    <col min="9000" max="9000" width="16.77734375" style="197" customWidth="1"/>
    <col min="9001" max="9001" width="15.21875" style="197" customWidth="1"/>
    <col min="9002" max="9002" width="15.21875" style="197" bestFit="1" customWidth="1"/>
    <col min="9003" max="9003" width="12.88671875" style="197" customWidth="1"/>
    <col min="9004" max="9004" width="16.33203125" style="197" bestFit="1" customWidth="1"/>
    <col min="9005" max="9007" width="13.88671875" style="197" bestFit="1" customWidth="1"/>
    <col min="9008" max="9008" width="12.6640625" style="197" bestFit="1" customWidth="1"/>
    <col min="9009" max="9009" width="13.21875" style="197" bestFit="1" customWidth="1"/>
    <col min="9010" max="9010" width="13.109375" style="197" bestFit="1" customWidth="1"/>
    <col min="9011" max="9216" width="9.21875" style="197"/>
    <col min="9217" max="9217" width="0" style="197" hidden="1" customWidth="1"/>
    <col min="9218" max="9218" width="32.6640625" style="197" customWidth="1"/>
    <col min="9219" max="9219" width="0" style="197" hidden="1" customWidth="1"/>
    <col min="9220" max="9220" width="17.6640625" style="197" customWidth="1"/>
    <col min="9221" max="9221" width="15.6640625" style="197" bestFit="1" customWidth="1"/>
    <col min="9222" max="9222" width="15.21875" style="197" customWidth="1"/>
    <col min="9223" max="9223" width="15.33203125" style="197" bestFit="1" customWidth="1"/>
    <col min="9224" max="9224" width="14.109375" style="197" customWidth="1"/>
    <col min="9225" max="9225" width="13.88671875" style="197" bestFit="1" customWidth="1"/>
    <col min="9226" max="9226" width="15.21875" style="197" bestFit="1" customWidth="1"/>
    <col min="9227" max="9227" width="13" style="197" bestFit="1" customWidth="1"/>
    <col min="9228" max="9229" width="14.109375" style="197" customWidth="1"/>
    <col min="9230" max="9231" width="15.21875" style="197" bestFit="1" customWidth="1"/>
    <col min="9232" max="9232" width="14.21875" style="197" bestFit="1" customWidth="1"/>
    <col min="9233" max="9233" width="14.88671875" style="197" bestFit="1" customWidth="1"/>
    <col min="9234" max="9234" width="14.33203125" style="197" customWidth="1"/>
    <col min="9235" max="9235" width="17.21875" style="197" customWidth="1"/>
    <col min="9236" max="9236" width="4.77734375" style="197" customWidth="1"/>
    <col min="9237" max="9237" width="15.21875" style="197" customWidth="1"/>
    <col min="9238" max="9238" width="10.21875" style="197" customWidth="1"/>
    <col min="9239" max="9239" width="15.21875" style="197" customWidth="1"/>
    <col min="9240" max="9240" width="13" style="197" customWidth="1"/>
    <col min="9241" max="9241" width="13.88671875" style="197" customWidth="1"/>
    <col min="9242" max="9242" width="13" style="197" customWidth="1"/>
    <col min="9243" max="9243" width="13.88671875" style="197" customWidth="1"/>
    <col min="9244" max="9244" width="15.21875" style="197" customWidth="1"/>
    <col min="9245" max="9245" width="13" style="197" customWidth="1"/>
    <col min="9246" max="9246" width="14.109375" style="197" customWidth="1"/>
    <col min="9247" max="9247" width="17.77734375" style="197" customWidth="1"/>
    <col min="9248" max="9248" width="14.109375" style="197" customWidth="1"/>
    <col min="9249" max="9249" width="15.21875" style="197" customWidth="1"/>
    <col min="9250" max="9250" width="13.21875" style="197" customWidth="1"/>
    <col min="9251" max="9251" width="14.109375" style="197" customWidth="1"/>
    <col min="9252" max="9252" width="13" style="197" customWidth="1"/>
    <col min="9253" max="9253" width="9.77734375" style="197" customWidth="1"/>
    <col min="9254" max="9254" width="16.77734375" style="197" customWidth="1"/>
    <col min="9255" max="9255" width="11.109375" style="197" customWidth="1"/>
    <col min="9256" max="9256" width="16.77734375" style="197" customWidth="1"/>
    <col min="9257" max="9257" width="15.21875" style="197" customWidth="1"/>
    <col min="9258" max="9258" width="15.21875" style="197" bestFit="1" customWidth="1"/>
    <col min="9259" max="9259" width="12.88671875" style="197" customWidth="1"/>
    <col min="9260" max="9260" width="16.33203125" style="197" bestFit="1" customWidth="1"/>
    <col min="9261" max="9263" width="13.88671875" style="197" bestFit="1" customWidth="1"/>
    <col min="9264" max="9264" width="12.6640625" style="197" bestFit="1" customWidth="1"/>
    <col min="9265" max="9265" width="13.21875" style="197" bestFit="1" customWidth="1"/>
    <col min="9266" max="9266" width="13.109375" style="197" bestFit="1" customWidth="1"/>
    <col min="9267" max="9472" width="9.21875" style="197"/>
    <col min="9473" max="9473" width="0" style="197" hidden="1" customWidth="1"/>
    <col min="9474" max="9474" width="32.6640625" style="197" customWidth="1"/>
    <col min="9475" max="9475" width="0" style="197" hidden="1" customWidth="1"/>
    <col min="9476" max="9476" width="17.6640625" style="197" customWidth="1"/>
    <col min="9477" max="9477" width="15.6640625" style="197" bestFit="1" customWidth="1"/>
    <col min="9478" max="9478" width="15.21875" style="197" customWidth="1"/>
    <col min="9479" max="9479" width="15.33203125" style="197" bestFit="1" customWidth="1"/>
    <col min="9480" max="9480" width="14.109375" style="197" customWidth="1"/>
    <col min="9481" max="9481" width="13.88671875" style="197" bestFit="1" customWidth="1"/>
    <col min="9482" max="9482" width="15.21875" style="197" bestFit="1" customWidth="1"/>
    <col min="9483" max="9483" width="13" style="197" bestFit="1" customWidth="1"/>
    <col min="9484" max="9485" width="14.109375" style="197" customWidth="1"/>
    <col min="9486" max="9487" width="15.21875" style="197" bestFit="1" customWidth="1"/>
    <col min="9488" max="9488" width="14.21875" style="197" bestFit="1" customWidth="1"/>
    <col min="9489" max="9489" width="14.88671875" style="197" bestFit="1" customWidth="1"/>
    <col min="9490" max="9490" width="14.33203125" style="197" customWidth="1"/>
    <col min="9491" max="9491" width="17.21875" style="197" customWidth="1"/>
    <col min="9492" max="9492" width="4.77734375" style="197" customWidth="1"/>
    <col min="9493" max="9493" width="15.21875" style="197" customWidth="1"/>
    <col min="9494" max="9494" width="10.21875" style="197" customWidth="1"/>
    <col min="9495" max="9495" width="15.21875" style="197" customWidth="1"/>
    <col min="9496" max="9496" width="13" style="197" customWidth="1"/>
    <col min="9497" max="9497" width="13.88671875" style="197" customWidth="1"/>
    <col min="9498" max="9498" width="13" style="197" customWidth="1"/>
    <col min="9499" max="9499" width="13.88671875" style="197" customWidth="1"/>
    <col min="9500" max="9500" width="15.21875" style="197" customWidth="1"/>
    <col min="9501" max="9501" width="13" style="197" customWidth="1"/>
    <col min="9502" max="9502" width="14.109375" style="197" customWidth="1"/>
    <col min="9503" max="9503" width="17.77734375" style="197" customWidth="1"/>
    <col min="9504" max="9504" width="14.109375" style="197" customWidth="1"/>
    <col min="9505" max="9505" width="15.21875" style="197" customWidth="1"/>
    <col min="9506" max="9506" width="13.21875" style="197" customWidth="1"/>
    <col min="9507" max="9507" width="14.109375" style="197" customWidth="1"/>
    <col min="9508" max="9508" width="13" style="197" customWidth="1"/>
    <col min="9509" max="9509" width="9.77734375" style="197" customWidth="1"/>
    <col min="9510" max="9510" width="16.77734375" style="197" customWidth="1"/>
    <col min="9511" max="9511" width="11.109375" style="197" customWidth="1"/>
    <col min="9512" max="9512" width="16.77734375" style="197" customWidth="1"/>
    <col min="9513" max="9513" width="15.21875" style="197" customWidth="1"/>
    <col min="9514" max="9514" width="15.21875" style="197" bestFit="1" customWidth="1"/>
    <col min="9515" max="9515" width="12.88671875" style="197" customWidth="1"/>
    <col min="9516" max="9516" width="16.33203125" style="197" bestFit="1" customWidth="1"/>
    <col min="9517" max="9519" width="13.88671875" style="197" bestFit="1" customWidth="1"/>
    <col min="9520" max="9520" width="12.6640625" style="197" bestFit="1" customWidth="1"/>
    <col min="9521" max="9521" width="13.21875" style="197" bestFit="1" customWidth="1"/>
    <col min="9522" max="9522" width="13.109375" style="197" bestFit="1" customWidth="1"/>
    <col min="9523" max="9728" width="9.21875" style="197"/>
    <col min="9729" max="9729" width="0" style="197" hidden="1" customWidth="1"/>
    <col min="9730" max="9730" width="32.6640625" style="197" customWidth="1"/>
    <col min="9731" max="9731" width="0" style="197" hidden="1" customWidth="1"/>
    <col min="9732" max="9732" width="17.6640625" style="197" customWidth="1"/>
    <col min="9733" max="9733" width="15.6640625" style="197" bestFit="1" customWidth="1"/>
    <col min="9734" max="9734" width="15.21875" style="197" customWidth="1"/>
    <col min="9735" max="9735" width="15.33203125" style="197" bestFit="1" customWidth="1"/>
    <col min="9736" max="9736" width="14.109375" style="197" customWidth="1"/>
    <col min="9737" max="9737" width="13.88671875" style="197" bestFit="1" customWidth="1"/>
    <col min="9738" max="9738" width="15.21875" style="197" bestFit="1" customWidth="1"/>
    <col min="9739" max="9739" width="13" style="197" bestFit="1" customWidth="1"/>
    <col min="9740" max="9741" width="14.109375" style="197" customWidth="1"/>
    <col min="9742" max="9743" width="15.21875" style="197" bestFit="1" customWidth="1"/>
    <col min="9744" max="9744" width="14.21875" style="197" bestFit="1" customWidth="1"/>
    <col min="9745" max="9745" width="14.88671875" style="197" bestFit="1" customWidth="1"/>
    <col min="9746" max="9746" width="14.33203125" style="197" customWidth="1"/>
    <col min="9747" max="9747" width="17.21875" style="197" customWidth="1"/>
    <col min="9748" max="9748" width="4.77734375" style="197" customWidth="1"/>
    <col min="9749" max="9749" width="15.21875" style="197" customWidth="1"/>
    <col min="9750" max="9750" width="10.21875" style="197" customWidth="1"/>
    <col min="9751" max="9751" width="15.21875" style="197" customWidth="1"/>
    <col min="9752" max="9752" width="13" style="197" customWidth="1"/>
    <col min="9753" max="9753" width="13.88671875" style="197" customWidth="1"/>
    <col min="9754" max="9754" width="13" style="197" customWidth="1"/>
    <col min="9755" max="9755" width="13.88671875" style="197" customWidth="1"/>
    <col min="9756" max="9756" width="15.21875" style="197" customWidth="1"/>
    <col min="9757" max="9757" width="13" style="197" customWidth="1"/>
    <col min="9758" max="9758" width="14.109375" style="197" customWidth="1"/>
    <col min="9759" max="9759" width="17.77734375" style="197" customWidth="1"/>
    <col min="9760" max="9760" width="14.109375" style="197" customWidth="1"/>
    <col min="9761" max="9761" width="15.21875" style="197" customWidth="1"/>
    <col min="9762" max="9762" width="13.21875" style="197" customWidth="1"/>
    <col min="9763" max="9763" width="14.109375" style="197" customWidth="1"/>
    <col min="9764" max="9764" width="13" style="197" customWidth="1"/>
    <col min="9765" max="9765" width="9.77734375" style="197" customWidth="1"/>
    <col min="9766" max="9766" width="16.77734375" style="197" customWidth="1"/>
    <col min="9767" max="9767" width="11.109375" style="197" customWidth="1"/>
    <col min="9768" max="9768" width="16.77734375" style="197" customWidth="1"/>
    <col min="9769" max="9769" width="15.21875" style="197" customWidth="1"/>
    <col min="9770" max="9770" width="15.21875" style="197" bestFit="1" customWidth="1"/>
    <col min="9771" max="9771" width="12.88671875" style="197" customWidth="1"/>
    <col min="9772" max="9772" width="16.33203125" style="197" bestFit="1" customWidth="1"/>
    <col min="9773" max="9775" width="13.88671875" style="197" bestFit="1" customWidth="1"/>
    <col min="9776" max="9776" width="12.6640625" style="197" bestFit="1" customWidth="1"/>
    <col min="9777" max="9777" width="13.21875" style="197" bestFit="1" customWidth="1"/>
    <col min="9778" max="9778" width="13.109375" style="197" bestFit="1" customWidth="1"/>
    <col min="9779" max="9984" width="9.21875" style="197"/>
    <col min="9985" max="9985" width="0" style="197" hidden="1" customWidth="1"/>
    <col min="9986" max="9986" width="32.6640625" style="197" customWidth="1"/>
    <col min="9987" max="9987" width="0" style="197" hidden="1" customWidth="1"/>
    <col min="9988" max="9988" width="17.6640625" style="197" customWidth="1"/>
    <col min="9989" max="9989" width="15.6640625" style="197" bestFit="1" customWidth="1"/>
    <col min="9990" max="9990" width="15.21875" style="197" customWidth="1"/>
    <col min="9991" max="9991" width="15.33203125" style="197" bestFit="1" customWidth="1"/>
    <col min="9992" max="9992" width="14.109375" style="197" customWidth="1"/>
    <col min="9993" max="9993" width="13.88671875" style="197" bestFit="1" customWidth="1"/>
    <col min="9994" max="9994" width="15.21875" style="197" bestFit="1" customWidth="1"/>
    <col min="9995" max="9995" width="13" style="197" bestFit="1" customWidth="1"/>
    <col min="9996" max="9997" width="14.109375" style="197" customWidth="1"/>
    <col min="9998" max="9999" width="15.21875" style="197" bestFit="1" customWidth="1"/>
    <col min="10000" max="10000" width="14.21875" style="197" bestFit="1" customWidth="1"/>
    <col min="10001" max="10001" width="14.88671875" style="197" bestFit="1" customWidth="1"/>
    <col min="10002" max="10002" width="14.33203125" style="197" customWidth="1"/>
    <col min="10003" max="10003" width="17.21875" style="197" customWidth="1"/>
    <col min="10004" max="10004" width="4.77734375" style="197" customWidth="1"/>
    <col min="10005" max="10005" width="15.21875" style="197" customWidth="1"/>
    <col min="10006" max="10006" width="10.21875" style="197" customWidth="1"/>
    <col min="10007" max="10007" width="15.21875" style="197" customWidth="1"/>
    <col min="10008" max="10008" width="13" style="197" customWidth="1"/>
    <col min="10009" max="10009" width="13.88671875" style="197" customWidth="1"/>
    <col min="10010" max="10010" width="13" style="197" customWidth="1"/>
    <col min="10011" max="10011" width="13.88671875" style="197" customWidth="1"/>
    <col min="10012" max="10012" width="15.21875" style="197" customWidth="1"/>
    <col min="10013" max="10013" width="13" style="197" customWidth="1"/>
    <col min="10014" max="10014" width="14.109375" style="197" customWidth="1"/>
    <col min="10015" max="10015" width="17.77734375" style="197" customWidth="1"/>
    <col min="10016" max="10016" width="14.109375" style="197" customWidth="1"/>
    <col min="10017" max="10017" width="15.21875" style="197" customWidth="1"/>
    <col min="10018" max="10018" width="13.21875" style="197" customWidth="1"/>
    <col min="10019" max="10019" width="14.109375" style="197" customWidth="1"/>
    <col min="10020" max="10020" width="13" style="197" customWidth="1"/>
    <col min="10021" max="10021" width="9.77734375" style="197" customWidth="1"/>
    <col min="10022" max="10022" width="16.77734375" style="197" customWidth="1"/>
    <col min="10023" max="10023" width="11.109375" style="197" customWidth="1"/>
    <col min="10024" max="10024" width="16.77734375" style="197" customWidth="1"/>
    <col min="10025" max="10025" width="15.21875" style="197" customWidth="1"/>
    <col min="10026" max="10026" width="15.21875" style="197" bestFit="1" customWidth="1"/>
    <col min="10027" max="10027" width="12.88671875" style="197" customWidth="1"/>
    <col min="10028" max="10028" width="16.33203125" style="197" bestFit="1" customWidth="1"/>
    <col min="10029" max="10031" width="13.88671875" style="197" bestFit="1" customWidth="1"/>
    <col min="10032" max="10032" width="12.6640625" style="197" bestFit="1" customWidth="1"/>
    <col min="10033" max="10033" width="13.21875" style="197" bestFit="1" customWidth="1"/>
    <col min="10034" max="10034" width="13.109375" style="197" bestFit="1" customWidth="1"/>
    <col min="10035" max="10240" width="9.21875" style="197"/>
    <col min="10241" max="10241" width="0" style="197" hidden="1" customWidth="1"/>
    <col min="10242" max="10242" width="32.6640625" style="197" customWidth="1"/>
    <col min="10243" max="10243" width="0" style="197" hidden="1" customWidth="1"/>
    <col min="10244" max="10244" width="17.6640625" style="197" customWidth="1"/>
    <col min="10245" max="10245" width="15.6640625" style="197" bestFit="1" customWidth="1"/>
    <col min="10246" max="10246" width="15.21875" style="197" customWidth="1"/>
    <col min="10247" max="10247" width="15.33203125" style="197" bestFit="1" customWidth="1"/>
    <col min="10248" max="10248" width="14.109375" style="197" customWidth="1"/>
    <col min="10249" max="10249" width="13.88671875" style="197" bestFit="1" customWidth="1"/>
    <col min="10250" max="10250" width="15.21875" style="197" bestFit="1" customWidth="1"/>
    <col min="10251" max="10251" width="13" style="197" bestFit="1" customWidth="1"/>
    <col min="10252" max="10253" width="14.109375" style="197" customWidth="1"/>
    <col min="10254" max="10255" width="15.21875" style="197" bestFit="1" customWidth="1"/>
    <col min="10256" max="10256" width="14.21875" style="197" bestFit="1" customWidth="1"/>
    <col min="10257" max="10257" width="14.88671875" style="197" bestFit="1" customWidth="1"/>
    <col min="10258" max="10258" width="14.33203125" style="197" customWidth="1"/>
    <col min="10259" max="10259" width="17.21875" style="197" customWidth="1"/>
    <col min="10260" max="10260" width="4.77734375" style="197" customWidth="1"/>
    <col min="10261" max="10261" width="15.21875" style="197" customWidth="1"/>
    <col min="10262" max="10262" width="10.21875" style="197" customWidth="1"/>
    <col min="10263" max="10263" width="15.21875" style="197" customWidth="1"/>
    <col min="10264" max="10264" width="13" style="197" customWidth="1"/>
    <col min="10265" max="10265" width="13.88671875" style="197" customWidth="1"/>
    <col min="10266" max="10266" width="13" style="197" customWidth="1"/>
    <col min="10267" max="10267" width="13.88671875" style="197" customWidth="1"/>
    <col min="10268" max="10268" width="15.21875" style="197" customWidth="1"/>
    <col min="10269" max="10269" width="13" style="197" customWidth="1"/>
    <col min="10270" max="10270" width="14.109375" style="197" customWidth="1"/>
    <col min="10271" max="10271" width="17.77734375" style="197" customWidth="1"/>
    <col min="10272" max="10272" width="14.109375" style="197" customWidth="1"/>
    <col min="10273" max="10273" width="15.21875" style="197" customWidth="1"/>
    <col min="10274" max="10274" width="13.21875" style="197" customWidth="1"/>
    <col min="10275" max="10275" width="14.109375" style="197" customWidth="1"/>
    <col min="10276" max="10276" width="13" style="197" customWidth="1"/>
    <col min="10277" max="10277" width="9.77734375" style="197" customWidth="1"/>
    <col min="10278" max="10278" width="16.77734375" style="197" customWidth="1"/>
    <col min="10279" max="10279" width="11.109375" style="197" customWidth="1"/>
    <col min="10280" max="10280" width="16.77734375" style="197" customWidth="1"/>
    <col min="10281" max="10281" width="15.21875" style="197" customWidth="1"/>
    <col min="10282" max="10282" width="15.21875" style="197" bestFit="1" customWidth="1"/>
    <col min="10283" max="10283" width="12.88671875" style="197" customWidth="1"/>
    <col min="10284" max="10284" width="16.33203125" style="197" bestFit="1" customWidth="1"/>
    <col min="10285" max="10287" width="13.88671875" style="197" bestFit="1" customWidth="1"/>
    <col min="10288" max="10288" width="12.6640625" style="197" bestFit="1" customWidth="1"/>
    <col min="10289" max="10289" width="13.21875" style="197" bestFit="1" customWidth="1"/>
    <col min="10290" max="10290" width="13.109375" style="197" bestFit="1" customWidth="1"/>
    <col min="10291" max="10496" width="9.21875" style="197"/>
    <col min="10497" max="10497" width="0" style="197" hidden="1" customWidth="1"/>
    <col min="10498" max="10498" width="32.6640625" style="197" customWidth="1"/>
    <col min="10499" max="10499" width="0" style="197" hidden="1" customWidth="1"/>
    <col min="10500" max="10500" width="17.6640625" style="197" customWidth="1"/>
    <col min="10501" max="10501" width="15.6640625" style="197" bestFit="1" customWidth="1"/>
    <col min="10502" max="10502" width="15.21875" style="197" customWidth="1"/>
    <col min="10503" max="10503" width="15.33203125" style="197" bestFit="1" customWidth="1"/>
    <col min="10504" max="10504" width="14.109375" style="197" customWidth="1"/>
    <col min="10505" max="10505" width="13.88671875" style="197" bestFit="1" customWidth="1"/>
    <col min="10506" max="10506" width="15.21875" style="197" bestFit="1" customWidth="1"/>
    <col min="10507" max="10507" width="13" style="197" bestFit="1" customWidth="1"/>
    <col min="10508" max="10509" width="14.109375" style="197" customWidth="1"/>
    <col min="10510" max="10511" width="15.21875" style="197" bestFit="1" customWidth="1"/>
    <col min="10512" max="10512" width="14.21875" style="197" bestFit="1" customWidth="1"/>
    <col min="10513" max="10513" width="14.88671875" style="197" bestFit="1" customWidth="1"/>
    <col min="10514" max="10514" width="14.33203125" style="197" customWidth="1"/>
    <col min="10515" max="10515" width="17.21875" style="197" customWidth="1"/>
    <col min="10516" max="10516" width="4.77734375" style="197" customWidth="1"/>
    <col min="10517" max="10517" width="15.21875" style="197" customWidth="1"/>
    <col min="10518" max="10518" width="10.21875" style="197" customWidth="1"/>
    <col min="10519" max="10519" width="15.21875" style="197" customWidth="1"/>
    <col min="10520" max="10520" width="13" style="197" customWidth="1"/>
    <col min="10521" max="10521" width="13.88671875" style="197" customWidth="1"/>
    <col min="10522" max="10522" width="13" style="197" customWidth="1"/>
    <col min="10523" max="10523" width="13.88671875" style="197" customWidth="1"/>
    <col min="10524" max="10524" width="15.21875" style="197" customWidth="1"/>
    <col min="10525" max="10525" width="13" style="197" customWidth="1"/>
    <col min="10526" max="10526" width="14.109375" style="197" customWidth="1"/>
    <col min="10527" max="10527" width="17.77734375" style="197" customWidth="1"/>
    <col min="10528" max="10528" width="14.109375" style="197" customWidth="1"/>
    <col min="10529" max="10529" width="15.21875" style="197" customWidth="1"/>
    <col min="10530" max="10530" width="13.21875" style="197" customWidth="1"/>
    <col min="10531" max="10531" width="14.109375" style="197" customWidth="1"/>
    <col min="10532" max="10532" width="13" style="197" customWidth="1"/>
    <col min="10533" max="10533" width="9.77734375" style="197" customWidth="1"/>
    <col min="10534" max="10534" width="16.77734375" style="197" customWidth="1"/>
    <col min="10535" max="10535" width="11.109375" style="197" customWidth="1"/>
    <col min="10536" max="10536" width="16.77734375" style="197" customWidth="1"/>
    <col min="10537" max="10537" width="15.21875" style="197" customWidth="1"/>
    <col min="10538" max="10538" width="15.21875" style="197" bestFit="1" customWidth="1"/>
    <col min="10539" max="10539" width="12.88671875" style="197" customWidth="1"/>
    <col min="10540" max="10540" width="16.33203125" style="197" bestFit="1" customWidth="1"/>
    <col min="10541" max="10543" width="13.88671875" style="197" bestFit="1" customWidth="1"/>
    <col min="10544" max="10544" width="12.6640625" style="197" bestFit="1" customWidth="1"/>
    <col min="10545" max="10545" width="13.21875" style="197" bestFit="1" customWidth="1"/>
    <col min="10546" max="10546" width="13.109375" style="197" bestFit="1" customWidth="1"/>
    <col min="10547" max="10752" width="9.21875" style="197"/>
    <col min="10753" max="10753" width="0" style="197" hidden="1" customWidth="1"/>
    <col min="10754" max="10754" width="32.6640625" style="197" customWidth="1"/>
    <col min="10755" max="10755" width="0" style="197" hidden="1" customWidth="1"/>
    <col min="10756" max="10756" width="17.6640625" style="197" customWidth="1"/>
    <col min="10757" max="10757" width="15.6640625" style="197" bestFit="1" customWidth="1"/>
    <col min="10758" max="10758" width="15.21875" style="197" customWidth="1"/>
    <col min="10759" max="10759" width="15.33203125" style="197" bestFit="1" customWidth="1"/>
    <col min="10760" max="10760" width="14.109375" style="197" customWidth="1"/>
    <col min="10761" max="10761" width="13.88671875" style="197" bestFit="1" customWidth="1"/>
    <col min="10762" max="10762" width="15.21875" style="197" bestFit="1" customWidth="1"/>
    <col min="10763" max="10763" width="13" style="197" bestFit="1" customWidth="1"/>
    <col min="10764" max="10765" width="14.109375" style="197" customWidth="1"/>
    <col min="10766" max="10767" width="15.21875" style="197" bestFit="1" customWidth="1"/>
    <col min="10768" max="10768" width="14.21875" style="197" bestFit="1" customWidth="1"/>
    <col min="10769" max="10769" width="14.88671875" style="197" bestFit="1" customWidth="1"/>
    <col min="10770" max="10770" width="14.33203125" style="197" customWidth="1"/>
    <col min="10771" max="10771" width="17.21875" style="197" customWidth="1"/>
    <col min="10772" max="10772" width="4.77734375" style="197" customWidth="1"/>
    <col min="10773" max="10773" width="15.21875" style="197" customWidth="1"/>
    <col min="10774" max="10774" width="10.21875" style="197" customWidth="1"/>
    <col min="10775" max="10775" width="15.21875" style="197" customWidth="1"/>
    <col min="10776" max="10776" width="13" style="197" customWidth="1"/>
    <col min="10777" max="10777" width="13.88671875" style="197" customWidth="1"/>
    <col min="10778" max="10778" width="13" style="197" customWidth="1"/>
    <col min="10779" max="10779" width="13.88671875" style="197" customWidth="1"/>
    <col min="10780" max="10780" width="15.21875" style="197" customWidth="1"/>
    <col min="10781" max="10781" width="13" style="197" customWidth="1"/>
    <col min="10782" max="10782" width="14.109375" style="197" customWidth="1"/>
    <col min="10783" max="10783" width="17.77734375" style="197" customWidth="1"/>
    <col min="10784" max="10784" width="14.109375" style="197" customWidth="1"/>
    <col min="10785" max="10785" width="15.21875" style="197" customWidth="1"/>
    <col min="10786" max="10786" width="13.21875" style="197" customWidth="1"/>
    <col min="10787" max="10787" width="14.109375" style="197" customWidth="1"/>
    <col min="10788" max="10788" width="13" style="197" customWidth="1"/>
    <col min="10789" max="10789" width="9.77734375" style="197" customWidth="1"/>
    <col min="10790" max="10790" width="16.77734375" style="197" customWidth="1"/>
    <col min="10791" max="10791" width="11.109375" style="197" customWidth="1"/>
    <col min="10792" max="10792" width="16.77734375" style="197" customWidth="1"/>
    <col min="10793" max="10793" width="15.21875" style="197" customWidth="1"/>
    <col min="10794" max="10794" width="15.21875" style="197" bestFit="1" customWidth="1"/>
    <col min="10795" max="10795" width="12.88671875" style="197" customWidth="1"/>
    <col min="10796" max="10796" width="16.33203125" style="197" bestFit="1" customWidth="1"/>
    <col min="10797" max="10799" width="13.88671875" style="197" bestFit="1" customWidth="1"/>
    <col min="10800" max="10800" width="12.6640625" style="197" bestFit="1" customWidth="1"/>
    <col min="10801" max="10801" width="13.21875" style="197" bestFit="1" customWidth="1"/>
    <col min="10802" max="10802" width="13.109375" style="197" bestFit="1" customWidth="1"/>
    <col min="10803" max="11008" width="9.21875" style="197"/>
    <col min="11009" max="11009" width="0" style="197" hidden="1" customWidth="1"/>
    <col min="11010" max="11010" width="32.6640625" style="197" customWidth="1"/>
    <col min="11011" max="11011" width="0" style="197" hidden="1" customWidth="1"/>
    <col min="11012" max="11012" width="17.6640625" style="197" customWidth="1"/>
    <col min="11013" max="11013" width="15.6640625" style="197" bestFit="1" customWidth="1"/>
    <col min="11014" max="11014" width="15.21875" style="197" customWidth="1"/>
    <col min="11015" max="11015" width="15.33203125" style="197" bestFit="1" customWidth="1"/>
    <col min="11016" max="11016" width="14.109375" style="197" customWidth="1"/>
    <col min="11017" max="11017" width="13.88671875" style="197" bestFit="1" customWidth="1"/>
    <col min="11018" max="11018" width="15.21875" style="197" bestFit="1" customWidth="1"/>
    <col min="11019" max="11019" width="13" style="197" bestFit="1" customWidth="1"/>
    <col min="11020" max="11021" width="14.109375" style="197" customWidth="1"/>
    <col min="11022" max="11023" width="15.21875" style="197" bestFit="1" customWidth="1"/>
    <col min="11024" max="11024" width="14.21875" style="197" bestFit="1" customWidth="1"/>
    <col min="11025" max="11025" width="14.88671875" style="197" bestFit="1" customWidth="1"/>
    <col min="11026" max="11026" width="14.33203125" style="197" customWidth="1"/>
    <col min="11027" max="11027" width="17.21875" style="197" customWidth="1"/>
    <col min="11028" max="11028" width="4.77734375" style="197" customWidth="1"/>
    <col min="11029" max="11029" width="15.21875" style="197" customWidth="1"/>
    <col min="11030" max="11030" width="10.21875" style="197" customWidth="1"/>
    <col min="11031" max="11031" width="15.21875" style="197" customWidth="1"/>
    <col min="11032" max="11032" width="13" style="197" customWidth="1"/>
    <col min="11033" max="11033" width="13.88671875" style="197" customWidth="1"/>
    <col min="11034" max="11034" width="13" style="197" customWidth="1"/>
    <col min="11035" max="11035" width="13.88671875" style="197" customWidth="1"/>
    <col min="11036" max="11036" width="15.21875" style="197" customWidth="1"/>
    <col min="11037" max="11037" width="13" style="197" customWidth="1"/>
    <col min="11038" max="11038" width="14.109375" style="197" customWidth="1"/>
    <col min="11039" max="11039" width="17.77734375" style="197" customWidth="1"/>
    <col min="11040" max="11040" width="14.109375" style="197" customWidth="1"/>
    <col min="11041" max="11041" width="15.21875" style="197" customWidth="1"/>
    <col min="11042" max="11042" width="13.21875" style="197" customWidth="1"/>
    <col min="11043" max="11043" width="14.109375" style="197" customWidth="1"/>
    <col min="11044" max="11044" width="13" style="197" customWidth="1"/>
    <col min="11045" max="11045" width="9.77734375" style="197" customWidth="1"/>
    <col min="11046" max="11046" width="16.77734375" style="197" customWidth="1"/>
    <col min="11047" max="11047" width="11.109375" style="197" customWidth="1"/>
    <col min="11048" max="11048" width="16.77734375" style="197" customWidth="1"/>
    <col min="11049" max="11049" width="15.21875" style="197" customWidth="1"/>
    <col min="11050" max="11050" width="15.21875" style="197" bestFit="1" customWidth="1"/>
    <col min="11051" max="11051" width="12.88671875" style="197" customWidth="1"/>
    <col min="11052" max="11052" width="16.33203125" style="197" bestFit="1" customWidth="1"/>
    <col min="11053" max="11055" width="13.88671875" style="197" bestFit="1" customWidth="1"/>
    <col min="11056" max="11056" width="12.6640625" style="197" bestFit="1" customWidth="1"/>
    <col min="11057" max="11057" width="13.21875" style="197" bestFit="1" customWidth="1"/>
    <col min="11058" max="11058" width="13.109375" style="197" bestFit="1" customWidth="1"/>
    <col min="11059" max="11264" width="9.21875" style="197"/>
    <col min="11265" max="11265" width="0" style="197" hidden="1" customWidth="1"/>
    <col min="11266" max="11266" width="32.6640625" style="197" customWidth="1"/>
    <col min="11267" max="11267" width="0" style="197" hidden="1" customWidth="1"/>
    <col min="11268" max="11268" width="17.6640625" style="197" customWidth="1"/>
    <col min="11269" max="11269" width="15.6640625" style="197" bestFit="1" customWidth="1"/>
    <col min="11270" max="11270" width="15.21875" style="197" customWidth="1"/>
    <col min="11271" max="11271" width="15.33203125" style="197" bestFit="1" customWidth="1"/>
    <col min="11272" max="11272" width="14.109375" style="197" customWidth="1"/>
    <col min="11273" max="11273" width="13.88671875" style="197" bestFit="1" customWidth="1"/>
    <col min="11274" max="11274" width="15.21875" style="197" bestFit="1" customWidth="1"/>
    <col min="11275" max="11275" width="13" style="197" bestFit="1" customWidth="1"/>
    <col min="11276" max="11277" width="14.109375" style="197" customWidth="1"/>
    <col min="11278" max="11279" width="15.21875" style="197" bestFit="1" customWidth="1"/>
    <col min="11280" max="11280" width="14.21875" style="197" bestFit="1" customWidth="1"/>
    <col min="11281" max="11281" width="14.88671875" style="197" bestFit="1" customWidth="1"/>
    <col min="11282" max="11282" width="14.33203125" style="197" customWidth="1"/>
    <col min="11283" max="11283" width="17.21875" style="197" customWidth="1"/>
    <col min="11284" max="11284" width="4.77734375" style="197" customWidth="1"/>
    <col min="11285" max="11285" width="15.21875" style="197" customWidth="1"/>
    <col min="11286" max="11286" width="10.21875" style="197" customWidth="1"/>
    <col min="11287" max="11287" width="15.21875" style="197" customWidth="1"/>
    <col min="11288" max="11288" width="13" style="197" customWidth="1"/>
    <col min="11289" max="11289" width="13.88671875" style="197" customWidth="1"/>
    <col min="11290" max="11290" width="13" style="197" customWidth="1"/>
    <col min="11291" max="11291" width="13.88671875" style="197" customWidth="1"/>
    <col min="11292" max="11292" width="15.21875" style="197" customWidth="1"/>
    <col min="11293" max="11293" width="13" style="197" customWidth="1"/>
    <col min="11294" max="11294" width="14.109375" style="197" customWidth="1"/>
    <col min="11295" max="11295" width="17.77734375" style="197" customWidth="1"/>
    <col min="11296" max="11296" width="14.109375" style="197" customWidth="1"/>
    <col min="11297" max="11297" width="15.21875" style="197" customWidth="1"/>
    <col min="11298" max="11298" width="13.21875" style="197" customWidth="1"/>
    <col min="11299" max="11299" width="14.109375" style="197" customWidth="1"/>
    <col min="11300" max="11300" width="13" style="197" customWidth="1"/>
    <col min="11301" max="11301" width="9.77734375" style="197" customWidth="1"/>
    <col min="11302" max="11302" width="16.77734375" style="197" customWidth="1"/>
    <col min="11303" max="11303" width="11.109375" style="197" customWidth="1"/>
    <col min="11304" max="11304" width="16.77734375" style="197" customWidth="1"/>
    <col min="11305" max="11305" width="15.21875" style="197" customWidth="1"/>
    <col min="11306" max="11306" width="15.21875" style="197" bestFit="1" customWidth="1"/>
    <col min="11307" max="11307" width="12.88671875" style="197" customWidth="1"/>
    <col min="11308" max="11308" width="16.33203125" style="197" bestFit="1" customWidth="1"/>
    <col min="11309" max="11311" width="13.88671875" style="197" bestFit="1" customWidth="1"/>
    <col min="11312" max="11312" width="12.6640625" style="197" bestFit="1" customWidth="1"/>
    <col min="11313" max="11313" width="13.21875" style="197" bestFit="1" customWidth="1"/>
    <col min="11314" max="11314" width="13.109375" style="197" bestFit="1" customWidth="1"/>
    <col min="11315" max="11520" width="9.21875" style="197"/>
    <col min="11521" max="11521" width="0" style="197" hidden="1" customWidth="1"/>
    <col min="11522" max="11522" width="32.6640625" style="197" customWidth="1"/>
    <col min="11523" max="11523" width="0" style="197" hidden="1" customWidth="1"/>
    <col min="11524" max="11524" width="17.6640625" style="197" customWidth="1"/>
    <col min="11525" max="11525" width="15.6640625" style="197" bestFit="1" customWidth="1"/>
    <col min="11526" max="11526" width="15.21875" style="197" customWidth="1"/>
    <col min="11527" max="11527" width="15.33203125" style="197" bestFit="1" customWidth="1"/>
    <col min="11528" max="11528" width="14.109375" style="197" customWidth="1"/>
    <col min="11529" max="11529" width="13.88671875" style="197" bestFit="1" customWidth="1"/>
    <col min="11530" max="11530" width="15.21875" style="197" bestFit="1" customWidth="1"/>
    <col min="11531" max="11531" width="13" style="197" bestFit="1" customWidth="1"/>
    <col min="11532" max="11533" width="14.109375" style="197" customWidth="1"/>
    <col min="11534" max="11535" width="15.21875" style="197" bestFit="1" customWidth="1"/>
    <col min="11536" max="11536" width="14.21875" style="197" bestFit="1" customWidth="1"/>
    <col min="11537" max="11537" width="14.88671875" style="197" bestFit="1" customWidth="1"/>
    <col min="11538" max="11538" width="14.33203125" style="197" customWidth="1"/>
    <col min="11539" max="11539" width="17.21875" style="197" customWidth="1"/>
    <col min="11540" max="11540" width="4.77734375" style="197" customWidth="1"/>
    <col min="11541" max="11541" width="15.21875" style="197" customWidth="1"/>
    <col min="11542" max="11542" width="10.21875" style="197" customWidth="1"/>
    <col min="11543" max="11543" width="15.21875" style="197" customWidth="1"/>
    <col min="11544" max="11544" width="13" style="197" customWidth="1"/>
    <col min="11545" max="11545" width="13.88671875" style="197" customWidth="1"/>
    <col min="11546" max="11546" width="13" style="197" customWidth="1"/>
    <col min="11547" max="11547" width="13.88671875" style="197" customWidth="1"/>
    <col min="11548" max="11548" width="15.21875" style="197" customWidth="1"/>
    <col min="11549" max="11549" width="13" style="197" customWidth="1"/>
    <col min="11550" max="11550" width="14.109375" style="197" customWidth="1"/>
    <col min="11551" max="11551" width="17.77734375" style="197" customWidth="1"/>
    <col min="11552" max="11552" width="14.109375" style="197" customWidth="1"/>
    <col min="11553" max="11553" width="15.21875" style="197" customWidth="1"/>
    <col min="11554" max="11554" width="13.21875" style="197" customWidth="1"/>
    <col min="11555" max="11555" width="14.109375" style="197" customWidth="1"/>
    <col min="11556" max="11556" width="13" style="197" customWidth="1"/>
    <col min="11557" max="11557" width="9.77734375" style="197" customWidth="1"/>
    <col min="11558" max="11558" width="16.77734375" style="197" customWidth="1"/>
    <col min="11559" max="11559" width="11.109375" style="197" customWidth="1"/>
    <col min="11560" max="11560" width="16.77734375" style="197" customWidth="1"/>
    <col min="11561" max="11561" width="15.21875" style="197" customWidth="1"/>
    <col min="11562" max="11562" width="15.21875" style="197" bestFit="1" customWidth="1"/>
    <col min="11563" max="11563" width="12.88671875" style="197" customWidth="1"/>
    <col min="11564" max="11564" width="16.33203125" style="197" bestFit="1" customWidth="1"/>
    <col min="11565" max="11567" width="13.88671875" style="197" bestFit="1" customWidth="1"/>
    <col min="11568" max="11568" width="12.6640625" style="197" bestFit="1" customWidth="1"/>
    <col min="11569" max="11569" width="13.21875" style="197" bestFit="1" customWidth="1"/>
    <col min="11570" max="11570" width="13.109375" style="197" bestFit="1" customWidth="1"/>
    <col min="11571" max="11776" width="9.21875" style="197"/>
    <col min="11777" max="11777" width="0" style="197" hidden="1" customWidth="1"/>
    <col min="11778" max="11778" width="32.6640625" style="197" customWidth="1"/>
    <col min="11779" max="11779" width="0" style="197" hidden="1" customWidth="1"/>
    <col min="11780" max="11780" width="17.6640625" style="197" customWidth="1"/>
    <col min="11781" max="11781" width="15.6640625" style="197" bestFit="1" customWidth="1"/>
    <col min="11782" max="11782" width="15.21875" style="197" customWidth="1"/>
    <col min="11783" max="11783" width="15.33203125" style="197" bestFit="1" customWidth="1"/>
    <col min="11784" max="11784" width="14.109375" style="197" customWidth="1"/>
    <col min="11785" max="11785" width="13.88671875" style="197" bestFit="1" customWidth="1"/>
    <col min="11786" max="11786" width="15.21875" style="197" bestFit="1" customWidth="1"/>
    <col min="11787" max="11787" width="13" style="197" bestFit="1" customWidth="1"/>
    <col min="11788" max="11789" width="14.109375" style="197" customWidth="1"/>
    <col min="11790" max="11791" width="15.21875" style="197" bestFit="1" customWidth="1"/>
    <col min="11792" max="11792" width="14.21875" style="197" bestFit="1" customWidth="1"/>
    <col min="11793" max="11793" width="14.88671875" style="197" bestFit="1" customWidth="1"/>
    <col min="11794" max="11794" width="14.33203125" style="197" customWidth="1"/>
    <col min="11795" max="11795" width="17.21875" style="197" customWidth="1"/>
    <col min="11796" max="11796" width="4.77734375" style="197" customWidth="1"/>
    <col min="11797" max="11797" width="15.21875" style="197" customWidth="1"/>
    <col min="11798" max="11798" width="10.21875" style="197" customWidth="1"/>
    <col min="11799" max="11799" width="15.21875" style="197" customWidth="1"/>
    <col min="11800" max="11800" width="13" style="197" customWidth="1"/>
    <col min="11801" max="11801" width="13.88671875" style="197" customWidth="1"/>
    <col min="11802" max="11802" width="13" style="197" customWidth="1"/>
    <col min="11803" max="11803" width="13.88671875" style="197" customWidth="1"/>
    <col min="11804" max="11804" width="15.21875" style="197" customWidth="1"/>
    <col min="11805" max="11805" width="13" style="197" customWidth="1"/>
    <col min="11806" max="11806" width="14.109375" style="197" customWidth="1"/>
    <col min="11807" max="11807" width="17.77734375" style="197" customWidth="1"/>
    <col min="11808" max="11808" width="14.109375" style="197" customWidth="1"/>
    <col min="11809" max="11809" width="15.21875" style="197" customWidth="1"/>
    <col min="11810" max="11810" width="13.21875" style="197" customWidth="1"/>
    <col min="11811" max="11811" width="14.109375" style="197" customWidth="1"/>
    <col min="11812" max="11812" width="13" style="197" customWidth="1"/>
    <col min="11813" max="11813" width="9.77734375" style="197" customWidth="1"/>
    <col min="11814" max="11814" width="16.77734375" style="197" customWidth="1"/>
    <col min="11815" max="11815" width="11.109375" style="197" customWidth="1"/>
    <col min="11816" max="11816" width="16.77734375" style="197" customWidth="1"/>
    <col min="11817" max="11817" width="15.21875" style="197" customWidth="1"/>
    <col min="11818" max="11818" width="15.21875" style="197" bestFit="1" customWidth="1"/>
    <col min="11819" max="11819" width="12.88671875" style="197" customWidth="1"/>
    <col min="11820" max="11820" width="16.33203125" style="197" bestFit="1" customWidth="1"/>
    <col min="11821" max="11823" width="13.88671875" style="197" bestFit="1" customWidth="1"/>
    <col min="11824" max="11824" width="12.6640625" style="197" bestFit="1" customWidth="1"/>
    <col min="11825" max="11825" width="13.21875" style="197" bestFit="1" customWidth="1"/>
    <col min="11826" max="11826" width="13.109375" style="197" bestFit="1" customWidth="1"/>
    <col min="11827" max="12032" width="9.21875" style="197"/>
    <col min="12033" max="12033" width="0" style="197" hidden="1" customWidth="1"/>
    <col min="12034" max="12034" width="32.6640625" style="197" customWidth="1"/>
    <col min="12035" max="12035" width="0" style="197" hidden="1" customWidth="1"/>
    <col min="12036" max="12036" width="17.6640625" style="197" customWidth="1"/>
    <col min="12037" max="12037" width="15.6640625" style="197" bestFit="1" customWidth="1"/>
    <col min="12038" max="12038" width="15.21875" style="197" customWidth="1"/>
    <col min="12039" max="12039" width="15.33203125" style="197" bestFit="1" customWidth="1"/>
    <col min="12040" max="12040" width="14.109375" style="197" customWidth="1"/>
    <col min="12041" max="12041" width="13.88671875" style="197" bestFit="1" customWidth="1"/>
    <col min="12042" max="12042" width="15.21875" style="197" bestFit="1" customWidth="1"/>
    <col min="12043" max="12043" width="13" style="197" bestFit="1" customWidth="1"/>
    <col min="12044" max="12045" width="14.109375" style="197" customWidth="1"/>
    <col min="12046" max="12047" width="15.21875" style="197" bestFit="1" customWidth="1"/>
    <col min="12048" max="12048" width="14.21875" style="197" bestFit="1" customWidth="1"/>
    <col min="12049" max="12049" width="14.88671875" style="197" bestFit="1" customWidth="1"/>
    <col min="12050" max="12050" width="14.33203125" style="197" customWidth="1"/>
    <col min="12051" max="12051" width="17.21875" style="197" customWidth="1"/>
    <col min="12052" max="12052" width="4.77734375" style="197" customWidth="1"/>
    <col min="12053" max="12053" width="15.21875" style="197" customWidth="1"/>
    <col min="12054" max="12054" width="10.21875" style="197" customWidth="1"/>
    <col min="12055" max="12055" width="15.21875" style="197" customWidth="1"/>
    <col min="12056" max="12056" width="13" style="197" customWidth="1"/>
    <col min="12057" max="12057" width="13.88671875" style="197" customWidth="1"/>
    <col min="12058" max="12058" width="13" style="197" customWidth="1"/>
    <col min="12059" max="12059" width="13.88671875" style="197" customWidth="1"/>
    <col min="12060" max="12060" width="15.21875" style="197" customWidth="1"/>
    <col min="12061" max="12061" width="13" style="197" customWidth="1"/>
    <col min="12062" max="12062" width="14.109375" style="197" customWidth="1"/>
    <col min="12063" max="12063" width="17.77734375" style="197" customWidth="1"/>
    <col min="12064" max="12064" width="14.109375" style="197" customWidth="1"/>
    <col min="12065" max="12065" width="15.21875" style="197" customWidth="1"/>
    <col min="12066" max="12066" width="13.21875" style="197" customWidth="1"/>
    <col min="12067" max="12067" width="14.109375" style="197" customWidth="1"/>
    <col min="12068" max="12068" width="13" style="197" customWidth="1"/>
    <col min="12069" max="12069" width="9.77734375" style="197" customWidth="1"/>
    <col min="12070" max="12070" width="16.77734375" style="197" customWidth="1"/>
    <col min="12071" max="12071" width="11.109375" style="197" customWidth="1"/>
    <col min="12072" max="12072" width="16.77734375" style="197" customWidth="1"/>
    <col min="12073" max="12073" width="15.21875" style="197" customWidth="1"/>
    <col min="12074" max="12074" width="15.21875" style="197" bestFit="1" customWidth="1"/>
    <col min="12075" max="12075" width="12.88671875" style="197" customWidth="1"/>
    <col min="12076" max="12076" width="16.33203125" style="197" bestFit="1" customWidth="1"/>
    <col min="12077" max="12079" width="13.88671875" style="197" bestFit="1" customWidth="1"/>
    <col min="12080" max="12080" width="12.6640625" style="197" bestFit="1" customWidth="1"/>
    <col min="12081" max="12081" width="13.21875" style="197" bestFit="1" customWidth="1"/>
    <col min="12082" max="12082" width="13.109375" style="197" bestFit="1" customWidth="1"/>
    <col min="12083" max="12288" width="9.21875" style="197"/>
    <col min="12289" max="12289" width="0" style="197" hidden="1" customWidth="1"/>
    <col min="12290" max="12290" width="32.6640625" style="197" customWidth="1"/>
    <col min="12291" max="12291" width="0" style="197" hidden="1" customWidth="1"/>
    <col min="12292" max="12292" width="17.6640625" style="197" customWidth="1"/>
    <col min="12293" max="12293" width="15.6640625" style="197" bestFit="1" customWidth="1"/>
    <col min="12294" max="12294" width="15.21875" style="197" customWidth="1"/>
    <col min="12295" max="12295" width="15.33203125" style="197" bestFit="1" customWidth="1"/>
    <col min="12296" max="12296" width="14.109375" style="197" customWidth="1"/>
    <col min="12297" max="12297" width="13.88671875" style="197" bestFit="1" customWidth="1"/>
    <col min="12298" max="12298" width="15.21875" style="197" bestFit="1" customWidth="1"/>
    <col min="12299" max="12299" width="13" style="197" bestFit="1" customWidth="1"/>
    <col min="12300" max="12301" width="14.109375" style="197" customWidth="1"/>
    <col min="12302" max="12303" width="15.21875" style="197" bestFit="1" customWidth="1"/>
    <col min="12304" max="12304" width="14.21875" style="197" bestFit="1" customWidth="1"/>
    <col min="12305" max="12305" width="14.88671875" style="197" bestFit="1" customWidth="1"/>
    <col min="12306" max="12306" width="14.33203125" style="197" customWidth="1"/>
    <col min="12307" max="12307" width="17.21875" style="197" customWidth="1"/>
    <col min="12308" max="12308" width="4.77734375" style="197" customWidth="1"/>
    <col min="12309" max="12309" width="15.21875" style="197" customWidth="1"/>
    <col min="12310" max="12310" width="10.21875" style="197" customWidth="1"/>
    <col min="12311" max="12311" width="15.21875" style="197" customWidth="1"/>
    <col min="12312" max="12312" width="13" style="197" customWidth="1"/>
    <col min="12313" max="12313" width="13.88671875" style="197" customWidth="1"/>
    <col min="12314" max="12314" width="13" style="197" customWidth="1"/>
    <col min="12315" max="12315" width="13.88671875" style="197" customWidth="1"/>
    <col min="12316" max="12316" width="15.21875" style="197" customWidth="1"/>
    <col min="12317" max="12317" width="13" style="197" customWidth="1"/>
    <col min="12318" max="12318" width="14.109375" style="197" customWidth="1"/>
    <col min="12319" max="12319" width="17.77734375" style="197" customWidth="1"/>
    <col min="12320" max="12320" width="14.109375" style="197" customWidth="1"/>
    <col min="12321" max="12321" width="15.21875" style="197" customWidth="1"/>
    <col min="12322" max="12322" width="13.21875" style="197" customWidth="1"/>
    <col min="12323" max="12323" width="14.109375" style="197" customWidth="1"/>
    <col min="12324" max="12324" width="13" style="197" customWidth="1"/>
    <col min="12325" max="12325" width="9.77734375" style="197" customWidth="1"/>
    <col min="12326" max="12326" width="16.77734375" style="197" customWidth="1"/>
    <col min="12327" max="12327" width="11.109375" style="197" customWidth="1"/>
    <col min="12328" max="12328" width="16.77734375" style="197" customWidth="1"/>
    <col min="12329" max="12329" width="15.21875" style="197" customWidth="1"/>
    <col min="12330" max="12330" width="15.21875" style="197" bestFit="1" customWidth="1"/>
    <col min="12331" max="12331" width="12.88671875" style="197" customWidth="1"/>
    <col min="12332" max="12332" width="16.33203125" style="197" bestFit="1" customWidth="1"/>
    <col min="12333" max="12335" width="13.88671875" style="197" bestFit="1" customWidth="1"/>
    <col min="12336" max="12336" width="12.6640625" style="197" bestFit="1" customWidth="1"/>
    <col min="12337" max="12337" width="13.21875" style="197" bestFit="1" customWidth="1"/>
    <col min="12338" max="12338" width="13.109375" style="197" bestFit="1" customWidth="1"/>
    <col min="12339" max="12544" width="9.21875" style="197"/>
    <col min="12545" max="12545" width="0" style="197" hidden="1" customWidth="1"/>
    <col min="12546" max="12546" width="32.6640625" style="197" customWidth="1"/>
    <col min="12547" max="12547" width="0" style="197" hidden="1" customWidth="1"/>
    <col min="12548" max="12548" width="17.6640625" style="197" customWidth="1"/>
    <col min="12549" max="12549" width="15.6640625" style="197" bestFit="1" customWidth="1"/>
    <col min="12550" max="12550" width="15.21875" style="197" customWidth="1"/>
    <col min="12551" max="12551" width="15.33203125" style="197" bestFit="1" customWidth="1"/>
    <col min="12552" max="12552" width="14.109375" style="197" customWidth="1"/>
    <col min="12553" max="12553" width="13.88671875" style="197" bestFit="1" customWidth="1"/>
    <col min="12554" max="12554" width="15.21875" style="197" bestFit="1" customWidth="1"/>
    <col min="12555" max="12555" width="13" style="197" bestFit="1" customWidth="1"/>
    <col min="12556" max="12557" width="14.109375" style="197" customWidth="1"/>
    <col min="12558" max="12559" width="15.21875" style="197" bestFit="1" customWidth="1"/>
    <col min="12560" max="12560" width="14.21875" style="197" bestFit="1" customWidth="1"/>
    <col min="12561" max="12561" width="14.88671875" style="197" bestFit="1" customWidth="1"/>
    <col min="12562" max="12562" width="14.33203125" style="197" customWidth="1"/>
    <col min="12563" max="12563" width="17.21875" style="197" customWidth="1"/>
    <col min="12564" max="12564" width="4.77734375" style="197" customWidth="1"/>
    <col min="12565" max="12565" width="15.21875" style="197" customWidth="1"/>
    <col min="12566" max="12566" width="10.21875" style="197" customWidth="1"/>
    <col min="12567" max="12567" width="15.21875" style="197" customWidth="1"/>
    <col min="12568" max="12568" width="13" style="197" customWidth="1"/>
    <col min="12569" max="12569" width="13.88671875" style="197" customWidth="1"/>
    <col min="12570" max="12570" width="13" style="197" customWidth="1"/>
    <col min="12571" max="12571" width="13.88671875" style="197" customWidth="1"/>
    <col min="12572" max="12572" width="15.21875" style="197" customWidth="1"/>
    <col min="12573" max="12573" width="13" style="197" customWidth="1"/>
    <col min="12574" max="12574" width="14.109375" style="197" customWidth="1"/>
    <col min="12575" max="12575" width="17.77734375" style="197" customWidth="1"/>
    <col min="12576" max="12576" width="14.109375" style="197" customWidth="1"/>
    <col min="12577" max="12577" width="15.21875" style="197" customWidth="1"/>
    <col min="12578" max="12578" width="13.21875" style="197" customWidth="1"/>
    <col min="12579" max="12579" width="14.109375" style="197" customWidth="1"/>
    <col min="12580" max="12580" width="13" style="197" customWidth="1"/>
    <col min="12581" max="12581" width="9.77734375" style="197" customWidth="1"/>
    <col min="12582" max="12582" width="16.77734375" style="197" customWidth="1"/>
    <col min="12583" max="12583" width="11.109375" style="197" customWidth="1"/>
    <col min="12584" max="12584" width="16.77734375" style="197" customWidth="1"/>
    <col min="12585" max="12585" width="15.21875" style="197" customWidth="1"/>
    <col min="12586" max="12586" width="15.21875" style="197" bestFit="1" customWidth="1"/>
    <col min="12587" max="12587" width="12.88671875" style="197" customWidth="1"/>
    <col min="12588" max="12588" width="16.33203125" style="197" bestFit="1" customWidth="1"/>
    <col min="12589" max="12591" width="13.88671875" style="197" bestFit="1" customWidth="1"/>
    <col min="12592" max="12592" width="12.6640625" style="197" bestFit="1" customWidth="1"/>
    <col min="12593" max="12593" width="13.21875" style="197" bestFit="1" customWidth="1"/>
    <col min="12594" max="12594" width="13.109375" style="197" bestFit="1" customWidth="1"/>
    <col min="12595" max="12800" width="9.21875" style="197"/>
    <col min="12801" max="12801" width="0" style="197" hidden="1" customWidth="1"/>
    <col min="12802" max="12802" width="32.6640625" style="197" customWidth="1"/>
    <col min="12803" max="12803" width="0" style="197" hidden="1" customWidth="1"/>
    <col min="12804" max="12804" width="17.6640625" style="197" customWidth="1"/>
    <col min="12805" max="12805" width="15.6640625" style="197" bestFit="1" customWidth="1"/>
    <col min="12806" max="12806" width="15.21875" style="197" customWidth="1"/>
    <col min="12807" max="12807" width="15.33203125" style="197" bestFit="1" customWidth="1"/>
    <col min="12808" max="12808" width="14.109375" style="197" customWidth="1"/>
    <col min="12809" max="12809" width="13.88671875" style="197" bestFit="1" customWidth="1"/>
    <col min="12810" max="12810" width="15.21875" style="197" bestFit="1" customWidth="1"/>
    <col min="12811" max="12811" width="13" style="197" bestFit="1" customWidth="1"/>
    <col min="12812" max="12813" width="14.109375" style="197" customWidth="1"/>
    <col min="12814" max="12815" width="15.21875" style="197" bestFit="1" customWidth="1"/>
    <col min="12816" max="12816" width="14.21875" style="197" bestFit="1" customWidth="1"/>
    <col min="12817" max="12817" width="14.88671875" style="197" bestFit="1" customWidth="1"/>
    <col min="12818" max="12818" width="14.33203125" style="197" customWidth="1"/>
    <col min="12819" max="12819" width="17.21875" style="197" customWidth="1"/>
    <col min="12820" max="12820" width="4.77734375" style="197" customWidth="1"/>
    <col min="12821" max="12821" width="15.21875" style="197" customWidth="1"/>
    <col min="12822" max="12822" width="10.21875" style="197" customWidth="1"/>
    <col min="12823" max="12823" width="15.21875" style="197" customWidth="1"/>
    <col min="12824" max="12824" width="13" style="197" customWidth="1"/>
    <col min="12825" max="12825" width="13.88671875" style="197" customWidth="1"/>
    <col min="12826" max="12826" width="13" style="197" customWidth="1"/>
    <col min="12827" max="12827" width="13.88671875" style="197" customWidth="1"/>
    <col min="12828" max="12828" width="15.21875" style="197" customWidth="1"/>
    <col min="12829" max="12829" width="13" style="197" customWidth="1"/>
    <col min="12830" max="12830" width="14.109375" style="197" customWidth="1"/>
    <col min="12831" max="12831" width="17.77734375" style="197" customWidth="1"/>
    <col min="12832" max="12832" width="14.109375" style="197" customWidth="1"/>
    <col min="12833" max="12833" width="15.21875" style="197" customWidth="1"/>
    <col min="12834" max="12834" width="13.21875" style="197" customWidth="1"/>
    <col min="12835" max="12835" width="14.109375" style="197" customWidth="1"/>
    <col min="12836" max="12836" width="13" style="197" customWidth="1"/>
    <col min="12837" max="12837" width="9.77734375" style="197" customWidth="1"/>
    <col min="12838" max="12838" width="16.77734375" style="197" customWidth="1"/>
    <col min="12839" max="12839" width="11.109375" style="197" customWidth="1"/>
    <col min="12840" max="12840" width="16.77734375" style="197" customWidth="1"/>
    <col min="12841" max="12841" width="15.21875" style="197" customWidth="1"/>
    <col min="12842" max="12842" width="15.21875" style="197" bestFit="1" customWidth="1"/>
    <col min="12843" max="12843" width="12.88671875" style="197" customWidth="1"/>
    <col min="12844" max="12844" width="16.33203125" style="197" bestFit="1" customWidth="1"/>
    <col min="12845" max="12847" width="13.88671875" style="197" bestFit="1" customWidth="1"/>
    <col min="12848" max="12848" width="12.6640625" style="197" bestFit="1" customWidth="1"/>
    <col min="12849" max="12849" width="13.21875" style="197" bestFit="1" customWidth="1"/>
    <col min="12850" max="12850" width="13.109375" style="197" bestFit="1" customWidth="1"/>
    <col min="12851" max="13056" width="9.21875" style="197"/>
    <col min="13057" max="13057" width="0" style="197" hidden="1" customWidth="1"/>
    <col min="13058" max="13058" width="32.6640625" style="197" customWidth="1"/>
    <col min="13059" max="13059" width="0" style="197" hidden="1" customWidth="1"/>
    <col min="13060" max="13060" width="17.6640625" style="197" customWidth="1"/>
    <col min="13061" max="13061" width="15.6640625" style="197" bestFit="1" customWidth="1"/>
    <col min="13062" max="13062" width="15.21875" style="197" customWidth="1"/>
    <col min="13063" max="13063" width="15.33203125" style="197" bestFit="1" customWidth="1"/>
    <col min="13064" max="13064" width="14.109375" style="197" customWidth="1"/>
    <col min="13065" max="13065" width="13.88671875" style="197" bestFit="1" customWidth="1"/>
    <col min="13066" max="13066" width="15.21875" style="197" bestFit="1" customWidth="1"/>
    <col min="13067" max="13067" width="13" style="197" bestFit="1" customWidth="1"/>
    <col min="13068" max="13069" width="14.109375" style="197" customWidth="1"/>
    <col min="13070" max="13071" width="15.21875" style="197" bestFit="1" customWidth="1"/>
    <col min="13072" max="13072" width="14.21875" style="197" bestFit="1" customWidth="1"/>
    <col min="13073" max="13073" width="14.88671875" style="197" bestFit="1" customWidth="1"/>
    <col min="13074" max="13074" width="14.33203125" style="197" customWidth="1"/>
    <col min="13075" max="13075" width="17.21875" style="197" customWidth="1"/>
    <col min="13076" max="13076" width="4.77734375" style="197" customWidth="1"/>
    <col min="13077" max="13077" width="15.21875" style="197" customWidth="1"/>
    <col min="13078" max="13078" width="10.21875" style="197" customWidth="1"/>
    <col min="13079" max="13079" width="15.21875" style="197" customWidth="1"/>
    <col min="13080" max="13080" width="13" style="197" customWidth="1"/>
    <col min="13081" max="13081" width="13.88671875" style="197" customWidth="1"/>
    <col min="13082" max="13082" width="13" style="197" customWidth="1"/>
    <col min="13083" max="13083" width="13.88671875" style="197" customWidth="1"/>
    <col min="13084" max="13084" width="15.21875" style="197" customWidth="1"/>
    <col min="13085" max="13085" width="13" style="197" customWidth="1"/>
    <col min="13086" max="13086" width="14.109375" style="197" customWidth="1"/>
    <col min="13087" max="13087" width="17.77734375" style="197" customWidth="1"/>
    <col min="13088" max="13088" width="14.109375" style="197" customWidth="1"/>
    <col min="13089" max="13089" width="15.21875" style="197" customWidth="1"/>
    <col min="13090" max="13090" width="13.21875" style="197" customWidth="1"/>
    <col min="13091" max="13091" width="14.109375" style="197" customWidth="1"/>
    <col min="13092" max="13092" width="13" style="197" customWidth="1"/>
    <col min="13093" max="13093" width="9.77734375" style="197" customWidth="1"/>
    <col min="13094" max="13094" width="16.77734375" style="197" customWidth="1"/>
    <col min="13095" max="13095" width="11.109375" style="197" customWidth="1"/>
    <col min="13096" max="13096" width="16.77734375" style="197" customWidth="1"/>
    <col min="13097" max="13097" width="15.21875" style="197" customWidth="1"/>
    <col min="13098" max="13098" width="15.21875" style="197" bestFit="1" customWidth="1"/>
    <col min="13099" max="13099" width="12.88671875" style="197" customWidth="1"/>
    <col min="13100" max="13100" width="16.33203125" style="197" bestFit="1" customWidth="1"/>
    <col min="13101" max="13103" width="13.88671875" style="197" bestFit="1" customWidth="1"/>
    <col min="13104" max="13104" width="12.6640625" style="197" bestFit="1" customWidth="1"/>
    <col min="13105" max="13105" width="13.21875" style="197" bestFit="1" customWidth="1"/>
    <col min="13106" max="13106" width="13.109375" style="197" bestFit="1" customWidth="1"/>
    <col min="13107" max="13312" width="9.21875" style="197"/>
    <col min="13313" max="13313" width="0" style="197" hidden="1" customWidth="1"/>
    <col min="13314" max="13314" width="32.6640625" style="197" customWidth="1"/>
    <col min="13315" max="13315" width="0" style="197" hidden="1" customWidth="1"/>
    <col min="13316" max="13316" width="17.6640625" style="197" customWidth="1"/>
    <col min="13317" max="13317" width="15.6640625" style="197" bestFit="1" customWidth="1"/>
    <col min="13318" max="13318" width="15.21875" style="197" customWidth="1"/>
    <col min="13319" max="13319" width="15.33203125" style="197" bestFit="1" customWidth="1"/>
    <col min="13320" max="13320" width="14.109375" style="197" customWidth="1"/>
    <col min="13321" max="13321" width="13.88671875" style="197" bestFit="1" customWidth="1"/>
    <col min="13322" max="13322" width="15.21875" style="197" bestFit="1" customWidth="1"/>
    <col min="13323" max="13323" width="13" style="197" bestFit="1" customWidth="1"/>
    <col min="13324" max="13325" width="14.109375" style="197" customWidth="1"/>
    <col min="13326" max="13327" width="15.21875" style="197" bestFit="1" customWidth="1"/>
    <col min="13328" max="13328" width="14.21875" style="197" bestFit="1" customWidth="1"/>
    <col min="13329" max="13329" width="14.88671875" style="197" bestFit="1" customWidth="1"/>
    <col min="13330" max="13330" width="14.33203125" style="197" customWidth="1"/>
    <col min="13331" max="13331" width="17.21875" style="197" customWidth="1"/>
    <col min="13332" max="13332" width="4.77734375" style="197" customWidth="1"/>
    <col min="13333" max="13333" width="15.21875" style="197" customWidth="1"/>
    <col min="13334" max="13334" width="10.21875" style="197" customWidth="1"/>
    <col min="13335" max="13335" width="15.21875" style="197" customWidth="1"/>
    <col min="13336" max="13336" width="13" style="197" customWidth="1"/>
    <col min="13337" max="13337" width="13.88671875" style="197" customWidth="1"/>
    <col min="13338" max="13338" width="13" style="197" customWidth="1"/>
    <col min="13339" max="13339" width="13.88671875" style="197" customWidth="1"/>
    <col min="13340" max="13340" width="15.21875" style="197" customWidth="1"/>
    <col min="13341" max="13341" width="13" style="197" customWidth="1"/>
    <col min="13342" max="13342" width="14.109375" style="197" customWidth="1"/>
    <col min="13343" max="13343" width="17.77734375" style="197" customWidth="1"/>
    <col min="13344" max="13344" width="14.109375" style="197" customWidth="1"/>
    <col min="13345" max="13345" width="15.21875" style="197" customWidth="1"/>
    <col min="13346" max="13346" width="13.21875" style="197" customWidth="1"/>
    <col min="13347" max="13347" width="14.109375" style="197" customWidth="1"/>
    <col min="13348" max="13348" width="13" style="197" customWidth="1"/>
    <col min="13349" max="13349" width="9.77734375" style="197" customWidth="1"/>
    <col min="13350" max="13350" width="16.77734375" style="197" customWidth="1"/>
    <col min="13351" max="13351" width="11.109375" style="197" customWidth="1"/>
    <col min="13352" max="13352" width="16.77734375" style="197" customWidth="1"/>
    <col min="13353" max="13353" width="15.21875" style="197" customWidth="1"/>
    <col min="13354" max="13354" width="15.21875" style="197" bestFit="1" customWidth="1"/>
    <col min="13355" max="13355" width="12.88671875" style="197" customWidth="1"/>
    <col min="13356" max="13356" width="16.33203125" style="197" bestFit="1" customWidth="1"/>
    <col min="13357" max="13359" width="13.88671875" style="197" bestFit="1" customWidth="1"/>
    <col min="13360" max="13360" width="12.6640625" style="197" bestFit="1" customWidth="1"/>
    <col min="13361" max="13361" width="13.21875" style="197" bestFit="1" customWidth="1"/>
    <col min="13362" max="13362" width="13.109375" style="197" bestFit="1" customWidth="1"/>
    <col min="13363" max="13568" width="9.21875" style="197"/>
    <col min="13569" max="13569" width="0" style="197" hidden="1" customWidth="1"/>
    <col min="13570" max="13570" width="32.6640625" style="197" customWidth="1"/>
    <col min="13571" max="13571" width="0" style="197" hidden="1" customWidth="1"/>
    <col min="13572" max="13572" width="17.6640625" style="197" customWidth="1"/>
    <col min="13573" max="13573" width="15.6640625" style="197" bestFit="1" customWidth="1"/>
    <col min="13574" max="13574" width="15.21875" style="197" customWidth="1"/>
    <col min="13575" max="13575" width="15.33203125" style="197" bestFit="1" customWidth="1"/>
    <col min="13576" max="13576" width="14.109375" style="197" customWidth="1"/>
    <col min="13577" max="13577" width="13.88671875" style="197" bestFit="1" customWidth="1"/>
    <col min="13578" max="13578" width="15.21875" style="197" bestFit="1" customWidth="1"/>
    <col min="13579" max="13579" width="13" style="197" bestFit="1" customWidth="1"/>
    <col min="13580" max="13581" width="14.109375" style="197" customWidth="1"/>
    <col min="13582" max="13583" width="15.21875" style="197" bestFit="1" customWidth="1"/>
    <col min="13584" max="13584" width="14.21875" style="197" bestFit="1" customWidth="1"/>
    <col min="13585" max="13585" width="14.88671875" style="197" bestFit="1" customWidth="1"/>
    <col min="13586" max="13586" width="14.33203125" style="197" customWidth="1"/>
    <col min="13587" max="13587" width="17.21875" style="197" customWidth="1"/>
    <col min="13588" max="13588" width="4.77734375" style="197" customWidth="1"/>
    <col min="13589" max="13589" width="15.21875" style="197" customWidth="1"/>
    <col min="13590" max="13590" width="10.21875" style="197" customWidth="1"/>
    <col min="13591" max="13591" width="15.21875" style="197" customWidth="1"/>
    <col min="13592" max="13592" width="13" style="197" customWidth="1"/>
    <col min="13593" max="13593" width="13.88671875" style="197" customWidth="1"/>
    <col min="13594" max="13594" width="13" style="197" customWidth="1"/>
    <col min="13595" max="13595" width="13.88671875" style="197" customWidth="1"/>
    <col min="13596" max="13596" width="15.21875" style="197" customWidth="1"/>
    <col min="13597" max="13597" width="13" style="197" customWidth="1"/>
    <col min="13598" max="13598" width="14.109375" style="197" customWidth="1"/>
    <col min="13599" max="13599" width="17.77734375" style="197" customWidth="1"/>
    <col min="13600" max="13600" width="14.109375" style="197" customWidth="1"/>
    <col min="13601" max="13601" width="15.21875" style="197" customWidth="1"/>
    <col min="13602" max="13602" width="13.21875" style="197" customWidth="1"/>
    <col min="13603" max="13603" width="14.109375" style="197" customWidth="1"/>
    <col min="13604" max="13604" width="13" style="197" customWidth="1"/>
    <col min="13605" max="13605" width="9.77734375" style="197" customWidth="1"/>
    <col min="13606" max="13606" width="16.77734375" style="197" customWidth="1"/>
    <col min="13607" max="13607" width="11.109375" style="197" customWidth="1"/>
    <col min="13608" max="13608" width="16.77734375" style="197" customWidth="1"/>
    <col min="13609" max="13609" width="15.21875" style="197" customWidth="1"/>
    <col min="13610" max="13610" width="15.21875" style="197" bestFit="1" customWidth="1"/>
    <col min="13611" max="13611" width="12.88671875" style="197" customWidth="1"/>
    <col min="13612" max="13612" width="16.33203125" style="197" bestFit="1" customWidth="1"/>
    <col min="13613" max="13615" width="13.88671875" style="197" bestFit="1" customWidth="1"/>
    <col min="13616" max="13616" width="12.6640625" style="197" bestFit="1" customWidth="1"/>
    <col min="13617" max="13617" width="13.21875" style="197" bestFit="1" customWidth="1"/>
    <col min="13618" max="13618" width="13.109375" style="197" bestFit="1" customWidth="1"/>
    <col min="13619" max="13824" width="9.21875" style="197"/>
    <col min="13825" max="13825" width="0" style="197" hidden="1" customWidth="1"/>
    <col min="13826" max="13826" width="32.6640625" style="197" customWidth="1"/>
    <col min="13827" max="13827" width="0" style="197" hidden="1" customWidth="1"/>
    <col min="13828" max="13828" width="17.6640625" style="197" customWidth="1"/>
    <col min="13829" max="13829" width="15.6640625" style="197" bestFit="1" customWidth="1"/>
    <col min="13830" max="13830" width="15.21875" style="197" customWidth="1"/>
    <col min="13831" max="13831" width="15.33203125" style="197" bestFit="1" customWidth="1"/>
    <col min="13832" max="13832" width="14.109375" style="197" customWidth="1"/>
    <col min="13833" max="13833" width="13.88671875" style="197" bestFit="1" customWidth="1"/>
    <col min="13834" max="13834" width="15.21875" style="197" bestFit="1" customWidth="1"/>
    <col min="13835" max="13835" width="13" style="197" bestFit="1" customWidth="1"/>
    <col min="13836" max="13837" width="14.109375" style="197" customWidth="1"/>
    <col min="13838" max="13839" width="15.21875" style="197" bestFit="1" customWidth="1"/>
    <col min="13840" max="13840" width="14.21875" style="197" bestFit="1" customWidth="1"/>
    <col min="13841" max="13841" width="14.88671875" style="197" bestFit="1" customWidth="1"/>
    <col min="13842" max="13842" width="14.33203125" style="197" customWidth="1"/>
    <col min="13843" max="13843" width="17.21875" style="197" customWidth="1"/>
    <col min="13844" max="13844" width="4.77734375" style="197" customWidth="1"/>
    <col min="13845" max="13845" width="15.21875" style="197" customWidth="1"/>
    <col min="13846" max="13846" width="10.21875" style="197" customWidth="1"/>
    <col min="13847" max="13847" width="15.21875" style="197" customWidth="1"/>
    <col min="13848" max="13848" width="13" style="197" customWidth="1"/>
    <col min="13849" max="13849" width="13.88671875" style="197" customWidth="1"/>
    <col min="13850" max="13850" width="13" style="197" customWidth="1"/>
    <col min="13851" max="13851" width="13.88671875" style="197" customWidth="1"/>
    <col min="13852" max="13852" width="15.21875" style="197" customWidth="1"/>
    <col min="13853" max="13853" width="13" style="197" customWidth="1"/>
    <col min="13854" max="13854" width="14.109375" style="197" customWidth="1"/>
    <col min="13855" max="13855" width="17.77734375" style="197" customWidth="1"/>
    <col min="13856" max="13856" width="14.109375" style="197" customWidth="1"/>
    <col min="13857" max="13857" width="15.21875" style="197" customWidth="1"/>
    <col min="13858" max="13858" width="13.21875" style="197" customWidth="1"/>
    <col min="13859" max="13859" width="14.109375" style="197" customWidth="1"/>
    <col min="13860" max="13860" width="13" style="197" customWidth="1"/>
    <col min="13861" max="13861" width="9.77734375" style="197" customWidth="1"/>
    <col min="13862" max="13862" width="16.77734375" style="197" customWidth="1"/>
    <col min="13863" max="13863" width="11.109375" style="197" customWidth="1"/>
    <col min="13864" max="13864" width="16.77734375" style="197" customWidth="1"/>
    <col min="13865" max="13865" width="15.21875" style="197" customWidth="1"/>
    <col min="13866" max="13866" width="15.21875" style="197" bestFit="1" customWidth="1"/>
    <col min="13867" max="13867" width="12.88671875" style="197" customWidth="1"/>
    <col min="13868" max="13868" width="16.33203125" style="197" bestFit="1" customWidth="1"/>
    <col min="13869" max="13871" width="13.88671875" style="197" bestFit="1" customWidth="1"/>
    <col min="13872" max="13872" width="12.6640625" style="197" bestFit="1" customWidth="1"/>
    <col min="13873" max="13873" width="13.21875" style="197" bestFit="1" customWidth="1"/>
    <col min="13874" max="13874" width="13.109375" style="197" bestFit="1" customWidth="1"/>
    <col min="13875" max="14080" width="9.21875" style="197"/>
    <col min="14081" max="14081" width="0" style="197" hidden="1" customWidth="1"/>
    <col min="14082" max="14082" width="32.6640625" style="197" customWidth="1"/>
    <col min="14083" max="14083" width="0" style="197" hidden="1" customWidth="1"/>
    <col min="14084" max="14084" width="17.6640625" style="197" customWidth="1"/>
    <col min="14085" max="14085" width="15.6640625" style="197" bestFit="1" customWidth="1"/>
    <col min="14086" max="14086" width="15.21875" style="197" customWidth="1"/>
    <col min="14087" max="14087" width="15.33203125" style="197" bestFit="1" customWidth="1"/>
    <col min="14088" max="14088" width="14.109375" style="197" customWidth="1"/>
    <col min="14089" max="14089" width="13.88671875" style="197" bestFit="1" customWidth="1"/>
    <col min="14090" max="14090" width="15.21875" style="197" bestFit="1" customWidth="1"/>
    <col min="14091" max="14091" width="13" style="197" bestFit="1" customWidth="1"/>
    <col min="14092" max="14093" width="14.109375" style="197" customWidth="1"/>
    <col min="14094" max="14095" width="15.21875" style="197" bestFit="1" customWidth="1"/>
    <col min="14096" max="14096" width="14.21875" style="197" bestFit="1" customWidth="1"/>
    <col min="14097" max="14097" width="14.88671875" style="197" bestFit="1" customWidth="1"/>
    <col min="14098" max="14098" width="14.33203125" style="197" customWidth="1"/>
    <col min="14099" max="14099" width="17.21875" style="197" customWidth="1"/>
    <col min="14100" max="14100" width="4.77734375" style="197" customWidth="1"/>
    <col min="14101" max="14101" width="15.21875" style="197" customWidth="1"/>
    <col min="14102" max="14102" width="10.21875" style="197" customWidth="1"/>
    <col min="14103" max="14103" width="15.21875" style="197" customWidth="1"/>
    <col min="14104" max="14104" width="13" style="197" customWidth="1"/>
    <col min="14105" max="14105" width="13.88671875" style="197" customWidth="1"/>
    <col min="14106" max="14106" width="13" style="197" customWidth="1"/>
    <col min="14107" max="14107" width="13.88671875" style="197" customWidth="1"/>
    <col min="14108" max="14108" width="15.21875" style="197" customWidth="1"/>
    <col min="14109" max="14109" width="13" style="197" customWidth="1"/>
    <col min="14110" max="14110" width="14.109375" style="197" customWidth="1"/>
    <col min="14111" max="14111" width="17.77734375" style="197" customWidth="1"/>
    <col min="14112" max="14112" width="14.109375" style="197" customWidth="1"/>
    <col min="14113" max="14113" width="15.21875" style="197" customWidth="1"/>
    <col min="14114" max="14114" width="13.21875" style="197" customWidth="1"/>
    <col min="14115" max="14115" width="14.109375" style="197" customWidth="1"/>
    <col min="14116" max="14116" width="13" style="197" customWidth="1"/>
    <col min="14117" max="14117" width="9.77734375" style="197" customWidth="1"/>
    <col min="14118" max="14118" width="16.77734375" style="197" customWidth="1"/>
    <col min="14119" max="14119" width="11.109375" style="197" customWidth="1"/>
    <col min="14120" max="14120" width="16.77734375" style="197" customWidth="1"/>
    <col min="14121" max="14121" width="15.21875" style="197" customWidth="1"/>
    <col min="14122" max="14122" width="15.21875" style="197" bestFit="1" customWidth="1"/>
    <col min="14123" max="14123" width="12.88671875" style="197" customWidth="1"/>
    <col min="14124" max="14124" width="16.33203125" style="197" bestFit="1" customWidth="1"/>
    <col min="14125" max="14127" width="13.88671875" style="197" bestFit="1" customWidth="1"/>
    <col min="14128" max="14128" width="12.6640625" style="197" bestFit="1" customWidth="1"/>
    <col min="14129" max="14129" width="13.21875" style="197" bestFit="1" customWidth="1"/>
    <col min="14130" max="14130" width="13.109375" style="197" bestFit="1" customWidth="1"/>
    <col min="14131" max="14336" width="9.21875" style="197"/>
    <col min="14337" max="14337" width="0" style="197" hidden="1" customWidth="1"/>
    <col min="14338" max="14338" width="32.6640625" style="197" customWidth="1"/>
    <col min="14339" max="14339" width="0" style="197" hidden="1" customWidth="1"/>
    <col min="14340" max="14340" width="17.6640625" style="197" customWidth="1"/>
    <col min="14341" max="14341" width="15.6640625" style="197" bestFit="1" customWidth="1"/>
    <col min="14342" max="14342" width="15.21875" style="197" customWidth="1"/>
    <col min="14343" max="14343" width="15.33203125" style="197" bestFit="1" customWidth="1"/>
    <col min="14344" max="14344" width="14.109375" style="197" customWidth="1"/>
    <col min="14345" max="14345" width="13.88671875" style="197" bestFit="1" customWidth="1"/>
    <col min="14346" max="14346" width="15.21875" style="197" bestFit="1" customWidth="1"/>
    <col min="14347" max="14347" width="13" style="197" bestFit="1" customWidth="1"/>
    <col min="14348" max="14349" width="14.109375" style="197" customWidth="1"/>
    <col min="14350" max="14351" width="15.21875" style="197" bestFit="1" customWidth="1"/>
    <col min="14352" max="14352" width="14.21875" style="197" bestFit="1" customWidth="1"/>
    <col min="14353" max="14353" width="14.88671875" style="197" bestFit="1" customWidth="1"/>
    <col min="14354" max="14354" width="14.33203125" style="197" customWidth="1"/>
    <col min="14355" max="14355" width="17.21875" style="197" customWidth="1"/>
    <col min="14356" max="14356" width="4.77734375" style="197" customWidth="1"/>
    <col min="14357" max="14357" width="15.21875" style="197" customWidth="1"/>
    <col min="14358" max="14358" width="10.21875" style="197" customWidth="1"/>
    <col min="14359" max="14359" width="15.21875" style="197" customWidth="1"/>
    <col min="14360" max="14360" width="13" style="197" customWidth="1"/>
    <col min="14361" max="14361" width="13.88671875" style="197" customWidth="1"/>
    <col min="14362" max="14362" width="13" style="197" customWidth="1"/>
    <col min="14363" max="14363" width="13.88671875" style="197" customWidth="1"/>
    <col min="14364" max="14364" width="15.21875" style="197" customWidth="1"/>
    <col min="14365" max="14365" width="13" style="197" customWidth="1"/>
    <col min="14366" max="14366" width="14.109375" style="197" customWidth="1"/>
    <col min="14367" max="14367" width="17.77734375" style="197" customWidth="1"/>
    <col min="14368" max="14368" width="14.109375" style="197" customWidth="1"/>
    <col min="14369" max="14369" width="15.21875" style="197" customWidth="1"/>
    <col min="14370" max="14370" width="13.21875" style="197" customWidth="1"/>
    <col min="14371" max="14371" width="14.109375" style="197" customWidth="1"/>
    <col min="14372" max="14372" width="13" style="197" customWidth="1"/>
    <col min="14373" max="14373" width="9.77734375" style="197" customWidth="1"/>
    <col min="14374" max="14374" width="16.77734375" style="197" customWidth="1"/>
    <col min="14375" max="14375" width="11.109375" style="197" customWidth="1"/>
    <col min="14376" max="14376" width="16.77734375" style="197" customWidth="1"/>
    <col min="14377" max="14377" width="15.21875" style="197" customWidth="1"/>
    <col min="14378" max="14378" width="15.21875" style="197" bestFit="1" customWidth="1"/>
    <col min="14379" max="14379" width="12.88671875" style="197" customWidth="1"/>
    <col min="14380" max="14380" width="16.33203125" style="197" bestFit="1" customWidth="1"/>
    <col min="14381" max="14383" width="13.88671875" style="197" bestFit="1" customWidth="1"/>
    <col min="14384" max="14384" width="12.6640625" style="197" bestFit="1" customWidth="1"/>
    <col min="14385" max="14385" width="13.21875" style="197" bestFit="1" customWidth="1"/>
    <col min="14386" max="14386" width="13.109375" style="197" bestFit="1" customWidth="1"/>
    <col min="14387" max="14592" width="9.21875" style="197"/>
    <col min="14593" max="14593" width="0" style="197" hidden="1" customWidth="1"/>
    <col min="14594" max="14594" width="32.6640625" style="197" customWidth="1"/>
    <col min="14595" max="14595" width="0" style="197" hidden="1" customWidth="1"/>
    <col min="14596" max="14596" width="17.6640625" style="197" customWidth="1"/>
    <col min="14597" max="14597" width="15.6640625" style="197" bestFit="1" customWidth="1"/>
    <col min="14598" max="14598" width="15.21875" style="197" customWidth="1"/>
    <col min="14599" max="14599" width="15.33203125" style="197" bestFit="1" customWidth="1"/>
    <col min="14600" max="14600" width="14.109375" style="197" customWidth="1"/>
    <col min="14601" max="14601" width="13.88671875" style="197" bestFit="1" customWidth="1"/>
    <col min="14602" max="14602" width="15.21875" style="197" bestFit="1" customWidth="1"/>
    <col min="14603" max="14603" width="13" style="197" bestFit="1" customWidth="1"/>
    <col min="14604" max="14605" width="14.109375" style="197" customWidth="1"/>
    <col min="14606" max="14607" width="15.21875" style="197" bestFit="1" customWidth="1"/>
    <col min="14608" max="14608" width="14.21875" style="197" bestFit="1" customWidth="1"/>
    <col min="14609" max="14609" width="14.88671875" style="197" bestFit="1" customWidth="1"/>
    <col min="14610" max="14610" width="14.33203125" style="197" customWidth="1"/>
    <col min="14611" max="14611" width="17.21875" style="197" customWidth="1"/>
    <col min="14612" max="14612" width="4.77734375" style="197" customWidth="1"/>
    <col min="14613" max="14613" width="15.21875" style="197" customWidth="1"/>
    <col min="14614" max="14614" width="10.21875" style="197" customWidth="1"/>
    <col min="14615" max="14615" width="15.21875" style="197" customWidth="1"/>
    <col min="14616" max="14616" width="13" style="197" customWidth="1"/>
    <col min="14617" max="14617" width="13.88671875" style="197" customWidth="1"/>
    <col min="14618" max="14618" width="13" style="197" customWidth="1"/>
    <col min="14619" max="14619" width="13.88671875" style="197" customWidth="1"/>
    <col min="14620" max="14620" width="15.21875" style="197" customWidth="1"/>
    <col min="14621" max="14621" width="13" style="197" customWidth="1"/>
    <col min="14622" max="14622" width="14.109375" style="197" customWidth="1"/>
    <col min="14623" max="14623" width="17.77734375" style="197" customWidth="1"/>
    <col min="14624" max="14624" width="14.109375" style="197" customWidth="1"/>
    <col min="14625" max="14625" width="15.21875" style="197" customWidth="1"/>
    <col min="14626" max="14626" width="13.21875" style="197" customWidth="1"/>
    <col min="14627" max="14627" width="14.109375" style="197" customWidth="1"/>
    <col min="14628" max="14628" width="13" style="197" customWidth="1"/>
    <col min="14629" max="14629" width="9.77734375" style="197" customWidth="1"/>
    <col min="14630" max="14630" width="16.77734375" style="197" customWidth="1"/>
    <col min="14631" max="14631" width="11.109375" style="197" customWidth="1"/>
    <col min="14632" max="14632" width="16.77734375" style="197" customWidth="1"/>
    <col min="14633" max="14633" width="15.21875" style="197" customWidth="1"/>
    <col min="14634" max="14634" width="15.21875" style="197" bestFit="1" customWidth="1"/>
    <col min="14635" max="14635" width="12.88671875" style="197" customWidth="1"/>
    <col min="14636" max="14636" width="16.33203125" style="197" bestFit="1" customWidth="1"/>
    <col min="14637" max="14639" width="13.88671875" style="197" bestFit="1" customWidth="1"/>
    <col min="14640" max="14640" width="12.6640625" style="197" bestFit="1" customWidth="1"/>
    <col min="14641" max="14641" width="13.21875" style="197" bestFit="1" customWidth="1"/>
    <col min="14642" max="14642" width="13.109375" style="197" bestFit="1" customWidth="1"/>
    <col min="14643" max="14848" width="9.21875" style="197"/>
    <col min="14849" max="14849" width="0" style="197" hidden="1" customWidth="1"/>
    <col min="14850" max="14850" width="32.6640625" style="197" customWidth="1"/>
    <col min="14851" max="14851" width="0" style="197" hidden="1" customWidth="1"/>
    <col min="14852" max="14852" width="17.6640625" style="197" customWidth="1"/>
    <col min="14853" max="14853" width="15.6640625" style="197" bestFit="1" customWidth="1"/>
    <col min="14854" max="14854" width="15.21875" style="197" customWidth="1"/>
    <col min="14855" max="14855" width="15.33203125" style="197" bestFit="1" customWidth="1"/>
    <col min="14856" max="14856" width="14.109375" style="197" customWidth="1"/>
    <col min="14857" max="14857" width="13.88671875" style="197" bestFit="1" customWidth="1"/>
    <col min="14858" max="14858" width="15.21875" style="197" bestFit="1" customWidth="1"/>
    <col min="14859" max="14859" width="13" style="197" bestFit="1" customWidth="1"/>
    <col min="14860" max="14861" width="14.109375" style="197" customWidth="1"/>
    <col min="14862" max="14863" width="15.21875" style="197" bestFit="1" customWidth="1"/>
    <col min="14864" max="14864" width="14.21875" style="197" bestFit="1" customWidth="1"/>
    <col min="14865" max="14865" width="14.88671875" style="197" bestFit="1" customWidth="1"/>
    <col min="14866" max="14866" width="14.33203125" style="197" customWidth="1"/>
    <col min="14867" max="14867" width="17.21875" style="197" customWidth="1"/>
    <col min="14868" max="14868" width="4.77734375" style="197" customWidth="1"/>
    <col min="14869" max="14869" width="15.21875" style="197" customWidth="1"/>
    <col min="14870" max="14870" width="10.21875" style="197" customWidth="1"/>
    <col min="14871" max="14871" width="15.21875" style="197" customWidth="1"/>
    <col min="14872" max="14872" width="13" style="197" customWidth="1"/>
    <col min="14873" max="14873" width="13.88671875" style="197" customWidth="1"/>
    <col min="14874" max="14874" width="13" style="197" customWidth="1"/>
    <col min="14875" max="14875" width="13.88671875" style="197" customWidth="1"/>
    <col min="14876" max="14876" width="15.21875" style="197" customWidth="1"/>
    <col min="14877" max="14877" width="13" style="197" customWidth="1"/>
    <col min="14878" max="14878" width="14.109375" style="197" customWidth="1"/>
    <col min="14879" max="14879" width="17.77734375" style="197" customWidth="1"/>
    <col min="14880" max="14880" width="14.109375" style="197" customWidth="1"/>
    <col min="14881" max="14881" width="15.21875" style="197" customWidth="1"/>
    <col min="14882" max="14882" width="13.21875" style="197" customWidth="1"/>
    <col min="14883" max="14883" width="14.109375" style="197" customWidth="1"/>
    <col min="14884" max="14884" width="13" style="197" customWidth="1"/>
    <col min="14885" max="14885" width="9.77734375" style="197" customWidth="1"/>
    <col min="14886" max="14886" width="16.77734375" style="197" customWidth="1"/>
    <col min="14887" max="14887" width="11.109375" style="197" customWidth="1"/>
    <col min="14888" max="14888" width="16.77734375" style="197" customWidth="1"/>
    <col min="14889" max="14889" width="15.21875" style="197" customWidth="1"/>
    <col min="14890" max="14890" width="15.21875" style="197" bestFit="1" customWidth="1"/>
    <col min="14891" max="14891" width="12.88671875" style="197" customWidth="1"/>
    <col min="14892" max="14892" width="16.33203125" style="197" bestFit="1" customWidth="1"/>
    <col min="14893" max="14895" width="13.88671875" style="197" bestFit="1" customWidth="1"/>
    <col min="14896" max="14896" width="12.6640625" style="197" bestFit="1" customWidth="1"/>
    <col min="14897" max="14897" width="13.21875" style="197" bestFit="1" customWidth="1"/>
    <col min="14898" max="14898" width="13.109375" style="197" bestFit="1" customWidth="1"/>
    <col min="14899" max="15104" width="9.21875" style="197"/>
    <col min="15105" max="15105" width="0" style="197" hidden="1" customWidth="1"/>
    <col min="15106" max="15106" width="32.6640625" style="197" customWidth="1"/>
    <col min="15107" max="15107" width="0" style="197" hidden="1" customWidth="1"/>
    <col min="15108" max="15108" width="17.6640625" style="197" customWidth="1"/>
    <col min="15109" max="15109" width="15.6640625" style="197" bestFit="1" customWidth="1"/>
    <col min="15110" max="15110" width="15.21875" style="197" customWidth="1"/>
    <col min="15111" max="15111" width="15.33203125" style="197" bestFit="1" customWidth="1"/>
    <col min="15112" max="15112" width="14.109375" style="197" customWidth="1"/>
    <col min="15113" max="15113" width="13.88671875" style="197" bestFit="1" customWidth="1"/>
    <col min="15114" max="15114" width="15.21875" style="197" bestFit="1" customWidth="1"/>
    <col min="15115" max="15115" width="13" style="197" bestFit="1" customWidth="1"/>
    <col min="15116" max="15117" width="14.109375" style="197" customWidth="1"/>
    <col min="15118" max="15119" width="15.21875" style="197" bestFit="1" customWidth="1"/>
    <col min="15120" max="15120" width="14.21875" style="197" bestFit="1" customWidth="1"/>
    <col min="15121" max="15121" width="14.88671875" style="197" bestFit="1" customWidth="1"/>
    <col min="15122" max="15122" width="14.33203125" style="197" customWidth="1"/>
    <col min="15123" max="15123" width="17.21875" style="197" customWidth="1"/>
    <col min="15124" max="15124" width="4.77734375" style="197" customWidth="1"/>
    <col min="15125" max="15125" width="15.21875" style="197" customWidth="1"/>
    <col min="15126" max="15126" width="10.21875" style="197" customWidth="1"/>
    <col min="15127" max="15127" width="15.21875" style="197" customWidth="1"/>
    <col min="15128" max="15128" width="13" style="197" customWidth="1"/>
    <col min="15129" max="15129" width="13.88671875" style="197" customWidth="1"/>
    <col min="15130" max="15130" width="13" style="197" customWidth="1"/>
    <col min="15131" max="15131" width="13.88671875" style="197" customWidth="1"/>
    <col min="15132" max="15132" width="15.21875" style="197" customWidth="1"/>
    <col min="15133" max="15133" width="13" style="197" customWidth="1"/>
    <col min="15134" max="15134" width="14.109375" style="197" customWidth="1"/>
    <col min="15135" max="15135" width="17.77734375" style="197" customWidth="1"/>
    <col min="15136" max="15136" width="14.109375" style="197" customWidth="1"/>
    <col min="15137" max="15137" width="15.21875" style="197" customWidth="1"/>
    <col min="15138" max="15138" width="13.21875" style="197" customWidth="1"/>
    <col min="15139" max="15139" width="14.109375" style="197" customWidth="1"/>
    <col min="15140" max="15140" width="13" style="197" customWidth="1"/>
    <col min="15141" max="15141" width="9.77734375" style="197" customWidth="1"/>
    <col min="15142" max="15142" width="16.77734375" style="197" customWidth="1"/>
    <col min="15143" max="15143" width="11.109375" style="197" customWidth="1"/>
    <col min="15144" max="15144" width="16.77734375" style="197" customWidth="1"/>
    <col min="15145" max="15145" width="15.21875" style="197" customWidth="1"/>
    <col min="15146" max="15146" width="15.21875" style="197" bestFit="1" customWidth="1"/>
    <col min="15147" max="15147" width="12.88671875" style="197" customWidth="1"/>
    <col min="15148" max="15148" width="16.33203125" style="197" bestFit="1" customWidth="1"/>
    <col min="15149" max="15151" width="13.88671875" style="197" bestFit="1" customWidth="1"/>
    <col min="15152" max="15152" width="12.6640625" style="197" bestFit="1" customWidth="1"/>
    <col min="15153" max="15153" width="13.21875" style="197" bestFit="1" customWidth="1"/>
    <col min="15154" max="15154" width="13.109375" style="197" bestFit="1" customWidth="1"/>
    <col min="15155" max="15360" width="9.21875" style="197"/>
    <col min="15361" max="15361" width="0" style="197" hidden="1" customWidth="1"/>
    <col min="15362" max="15362" width="32.6640625" style="197" customWidth="1"/>
    <col min="15363" max="15363" width="0" style="197" hidden="1" customWidth="1"/>
    <col min="15364" max="15364" width="17.6640625" style="197" customWidth="1"/>
    <col min="15365" max="15365" width="15.6640625" style="197" bestFit="1" customWidth="1"/>
    <col min="15366" max="15366" width="15.21875" style="197" customWidth="1"/>
    <col min="15367" max="15367" width="15.33203125" style="197" bestFit="1" customWidth="1"/>
    <col min="15368" max="15368" width="14.109375" style="197" customWidth="1"/>
    <col min="15369" max="15369" width="13.88671875" style="197" bestFit="1" customWidth="1"/>
    <col min="15370" max="15370" width="15.21875" style="197" bestFit="1" customWidth="1"/>
    <col min="15371" max="15371" width="13" style="197" bestFit="1" customWidth="1"/>
    <col min="15372" max="15373" width="14.109375" style="197" customWidth="1"/>
    <col min="15374" max="15375" width="15.21875" style="197" bestFit="1" customWidth="1"/>
    <col min="15376" max="15376" width="14.21875" style="197" bestFit="1" customWidth="1"/>
    <col min="15377" max="15377" width="14.88671875" style="197" bestFit="1" customWidth="1"/>
    <col min="15378" max="15378" width="14.33203125" style="197" customWidth="1"/>
    <col min="15379" max="15379" width="17.21875" style="197" customWidth="1"/>
    <col min="15380" max="15380" width="4.77734375" style="197" customWidth="1"/>
    <col min="15381" max="15381" width="15.21875" style="197" customWidth="1"/>
    <col min="15382" max="15382" width="10.21875" style="197" customWidth="1"/>
    <col min="15383" max="15383" width="15.21875" style="197" customWidth="1"/>
    <col min="15384" max="15384" width="13" style="197" customWidth="1"/>
    <col min="15385" max="15385" width="13.88671875" style="197" customWidth="1"/>
    <col min="15386" max="15386" width="13" style="197" customWidth="1"/>
    <col min="15387" max="15387" width="13.88671875" style="197" customWidth="1"/>
    <col min="15388" max="15388" width="15.21875" style="197" customWidth="1"/>
    <col min="15389" max="15389" width="13" style="197" customWidth="1"/>
    <col min="15390" max="15390" width="14.109375" style="197" customWidth="1"/>
    <col min="15391" max="15391" width="17.77734375" style="197" customWidth="1"/>
    <col min="15392" max="15392" width="14.109375" style="197" customWidth="1"/>
    <col min="15393" max="15393" width="15.21875" style="197" customWidth="1"/>
    <col min="15394" max="15394" width="13.21875" style="197" customWidth="1"/>
    <col min="15395" max="15395" width="14.109375" style="197" customWidth="1"/>
    <col min="15396" max="15396" width="13" style="197" customWidth="1"/>
    <col min="15397" max="15397" width="9.77734375" style="197" customWidth="1"/>
    <col min="15398" max="15398" width="16.77734375" style="197" customWidth="1"/>
    <col min="15399" max="15399" width="11.109375" style="197" customWidth="1"/>
    <col min="15400" max="15400" width="16.77734375" style="197" customWidth="1"/>
    <col min="15401" max="15401" width="15.21875" style="197" customWidth="1"/>
    <col min="15402" max="15402" width="15.21875" style="197" bestFit="1" customWidth="1"/>
    <col min="15403" max="15403" width="12.88671875" style="197" customWidth="1"/>
    <col min="15404" max="15404" width="16.33203125" style="197" bestFit="1" customWidth="1"/>
    <col min="15405" max="15407" width="13.88671875" style="197" bestFit="1" customWidth="1"/>
    <col min="15408" max="15408" width="12.6640625" style="197" bestFit="1" customWidth="1"/>
    <col min="15409" max="15409" width="13.21875" style="197" bestFit="1" customWidth="1"/>
    <col min="15410" max="15410" width="13.109375" style="197" bestFit="1" customWidth="1"/>
    <col min="15411" max="15616" width="9.21875" style="197"/>
    <col min="15617" max="15617" width="0" style="197" hidden="1" customWidth="1"/>
    <col min="15618" max="15618" width="32.6640625" style="197" customWidth="1"/>
    <col min="15619" max="15619" width="0" style="197" hidden="1" customWidth="1"/>
    <col min="15620" max="15620" width="17.6640625" style="197" customWidth="1"/>
    <col min="15621" max="15621" width="15.6640625" style="197" bestFit="1" customWidth="1"/>
    <col min="15622" max="15622" width="15.21875" style="197" customWidth="1"/>
    <col min="15623" max="15623" width="15.33203125" style="197" bestFit="1" customWidth="1"/>
    <col min="15624" max="15624" width="14.109375" style="197" customWidth="1"/>
    <col min="15625" max="15625" width="13.88671875" style="197" bestFit="1" customWidth="1"/>
    <col min="15626" max="15626" width="15.21875" style="197" bestFit="1" customWidth="1"/>
    <col min="15627" max="15627" width="13" style="197" bestFit="1" customWidth="1"/>
    <col min="15628" max="15629" width="14.109375" style="197" customWidth="1"/>
    <col min="15630" max="15631" width="15.21875" style="197" bestFit="1" customWidth="1"/>
    <col min="15632" max="15632" width="14.21875" style="197" bestFit="1" customWidth="1"/>
    <col min="15633" max="15633" width="14.88671875" style="197" bestFit="1" customWidth="1"/>
    <col min="15634" max="15634" width="14.33203125" style="197" customWidth="1"/>
    <col min="15635" max="15635" width="17.21875" style="197" customWidth="1"/>
    <col min="15636" max="15636" width="4.77734375" style="197" customWidth="1"/>
    <col min="15637" max="15637" width="15.21875" style="197" customWidth="1"/>
    <col min="15638" max="15638" width="10.21875" style="197" customWidth="1"/>
    <col min="15639" max="15639" width="15.21875" style="197" customWidth="1"/>
    <col min="15640" max="15640" width="13" style="197" customWidth="1"/>
    <col min="15641" max="15641" width="13.88671875" style="197" customWidth="1"/>
    <col min="15642" max="15642" width="13" style="197" customWidth="1"/>
    <col min="15643" max="15643" width="13.88671875" style="197" customWidth="1"/>
    <col min="15644" max="15644" width="15.21875" style="197" customWidth="1"/>
    <col min="15645" max="15645" width="13" style="197" customWidth="1"/>
    <col min="15646" max="15646" width="14.109375" style="197" customWidth="1"/>
    <col min="15647" max="15647" width="17.77734375" style="197" customWidth="1"/>
    <col min="15648" max="15648" width="14.109375" style="197" customWidth="1"/>
    <col min="15649" max="15649" width="15.21875" style="197" customWidth="1"/>
    <col min="15650" max="15650" width="13.21875" style="197" customWidth="1"/>
    <col min="15651" max="15651" width="14.109375" style="197" customWidth="1"/>
    <col min="15652" max="15652" width="13" style="197" customWidth="1"/>
    <col min="15653" max="15653" width="9.77734375" style="197" customWidth="1"/>
    <col min="15654" max="15654" width="16.77734375" style="197" customWidth="1"/>
    <col min="15655" max="15655" width="11.109375" style="197" customWidth="1"/>
    <col min="15656" max="15656" width="16.77734375" style="197" customWidth="1"/>
    <col min="15657" max="15657" width="15.21875" style="197" customWidth="1"/>
    <col min="15658" max="15658" width="15.21875" style="197" bestFit="1" customWidth="1"/>
    <col min="15659" max="15659" width="12.88671875" style="197" customWidth="1"/>
    <col min="15660" max="15660" width="16.33203125" style="197" bestFit="1" customWidth="1"/>
    <col min="15661" max="15663" width="13.88671875" style="197" bestFit="1" customWidth="1"/>
    <col min="15664" max="15664" width="12.6640625" style="197" bestFit="1" customWidth="1"/>
    <col min="15665" max="15665" width="13.21875" style="197" bestFit="1" customWidth="1"/>
    <col min="15666" max="15666" width="13.109375" style="197" bestFit="1" customWidth="1"/>
    <col min="15667" max="15872" width="9.21875" style="197"/>
    <col min="15873" max="15873" width="0" style="197" hidden="1" customWidth="1"/>
    <col min="15874" max="15874" width="32.6640625" style="197" customWidth="1"/>
    <col min="15875" max="15875" width="0" style="197" hidden="1" customWidth="1"/>
    <col min="15876" max="15876" width="17.6640625" style="197" customWidth="1"/>
    <col min="15877" max="15877" width="15.6640625" style="197" bestFit="1" customWidth="1"/>
    <col min="15878" max="15878" width="15.21875" style="197" customWidth="1"/>
    <col min="15879" max="15879" width="15.33203125" style="197" bestFit="1" customWidth="1"/>
    <col min="15880" max="15880" width="14.109375" style="197" customWidth="1"/>
    <col min="15881" max="15881" width="13.88671875" style="197" bestFit="1" customWidth="1"/>
    <col min="15882" max="15882" width="15.21875" style="197" bestFit="1" customWidth="1"/>
    <col min="15883" max="15883" width="13" style="197" bestFit="1" customWidth="1"/>
    <col min="15884" max="15885" width="14.109375" style="197" customWidth="1"/>
    <col min="15886" max="15887" width="15.21875" style="197" bestFit="1" customWidth="1"/>
    <col min="15888" max="15888" width="14.21875" style="197" bestFit="1" customWidth="1"/>
    <col min="15889" max="15889" width="14.88671875" style="197" bestFit="1" customWidth="1"/>
    <col min="15890" max="15890" width="14.33203125" style="197" customWidth="1"/>
    <col min="15891" max="15891" width="17.21875" style="197" customWidth="1"/>
    <col min="15892" max="15892" width="4.77734375" style="197" customWidth="1"/>
    <col min="15893" max="15893" width="15.21875" style="197" customWidth="1"/>
    <col min="15894" max="15894" width="10.21875" style="197" customWidth="1"/>
    <col min="15895" max="15895" width="15.21875" style="197" customWidth="1"/>
    <col min="15896" max="15896" width="13" style="197" customWidth="1"/>
    <col min="15897" max="15897" width="13.88671875" style="197" customWidth="1"/>
    <col min="15898" max="15898" width="13" style="197" customWidth="1"/>
    <col min="15899" max="15899" width="13.88671875" style="197" customWidth="1"/>
    <col min="15900" max="15900" width="15.21875" style="197" customWidth="1"/>
    <col min="15901" max="15901" width="13" style="197" customWidth="1"/>
    <col min="15902" max="15902" width="14.109375" style="197" customWidth="1"/>
    <col min="15903" max="15903" width="17.77734375" style="197" customWidth="1"/>
    <col min="15904" max="15904" width="14.109375" style="197" customWidth="1"/>
    <col min="15905" max="15905" width="15.21875" style="197" customWidth="1"/>
    <col min="15906" max="15906" width="13.21875" style="197" customWidth="1"/>
    <col min="15907" max="15907" width="14.109375" style="197" customWidth="1"/>
    <col min="15908" max="15908" width="13" style="197" customWidth="1"/>
    <col min="15909" max="15909" width="9.77734375" style="197" customWidth="1"/>
    <col min="15910" max="15910" width="16.77734375" style="197" customWidth="1"/>
    <col min="15911" max="15911" width="11.109375" style="197" customWidth="1"/>
    <col min="15912" max="15912" width="16.77734375" style="197" customWidth="1"/>
    <col min="15913" max="15913" width="15.21875" style="197" customWidth="1"/>
    <col min="15914" max="15914" width="15.21875" style="197" bestFit="1" customWidth="1"/>
    <col min="15915" max="15915" width="12.88671875" style="197" customWidth="1"/>
    <col min="15916" max="15916" width="16.33203125" style="197" bestFit="1" customWidth="1"/>
    <col min="15917" max="15919" width="13.88671875" style="197" bestFit="1" customWidth="1"/>
    <col min="15920" max="15920" width="12.6640625" style="197" bestFit="1" customWidth="1"/>
    <col min="15921" max="15921" width="13.21875" style="197" bestFit="1" customWidth="1"/>
    <col min="15922" max="15922" width="13.109375" style="197" bestFit="1" customWidth="1"/>
    <col min="15923" max="16128" width="9.21875" style="197"/>
    <col min="16129" max="16129" width="0" style="197" hidden="1" customWidth="1"/>
    <col min="16130" max="16130" width="32.6640625" style="197" customWidth="1"/>
    <col min="16131" max="16131" width="0" style="197" hidden="1" customWidth="1"/>
    <col min="16132" max="16132" width="17.6640625" style="197" customWidth="1"/>
    <col min="16133" max="16133" width="15.6640625" style="197" bestFit="1" customWidth="1"/>
    <col min="16134" max="16134" width="15.21875" style="197" customWidth="1"/>
    <col min="16135" max="16135" width="15.33203125" style="197" bestFit="1" customWidth="1"/>
    <col min="16136" max="16136" width="14.109375" style="197" customWidth="1"/>
    <col min="16137" max="16137" width="13.88671875" style="197" bestFit="1" customWidth="1"/>
    <col min="16138" max="16138" width="15.21875" style="197" bestFit="1" customWidth="1"/>
    <col min="16139" max="16139" width="13" style="197" bestFit="1" customWidth="1"/>
    <col min="16140" max="16141" width="14.109375" style="197" customWidth="1"/>
    <col min="16142" max="16143" width="15.21875" style="197" bestFit="1" customWidth="1"/>
    <col min="16144" max="16144" width="14.21875" style="197" bestFit="1" customWidth="1"/>
    <col min="16145" max="16145" width="14.88671875" style="197" bestFit="1" customWidth="1"/>
    <col min="16146" max="16146" width="14.33203125" style="197" customWidth="1"/>
    <col min="16147" max="16147" width="17.21875" style="197" customWidth="1"/>
    <col min="16148" max="16148" width="4.77734375" style="197" customWidth="1"/>
    <col min="16149" max="16149" width="15.21875" style="197" customWidth="1"/>
    <col min="16150" max="16150" width="10.21875" style="197" customWidth="1"/>
    <col min="16151" max="16151" width="15.21875" style="197" customWidth="1"/>
    <col min="16152" max="16152" width="13" style="197" customWidth="1"/>
    <col min="16153" max="16153" width="13.88671875" style="197" customWidth="1"/>
    <col min="16154" max="16154" width="13" style="197" customWidth="1"/>
    <col min="16155" max="16155" width="13.88671875" style="197" customWidth="1"/>
    <col min="16156" max="16156" width="15.21875" style="197" customWidth="1"/>
    <col min="16157" max="16157" width="13" style="197" customWidth="1"/>
    <col min="16158" max="16158" width="14.109375" style="197" customWidth="1"/>
    <col min="16159" max="16159" width="17.77734375" style="197" customWidth="1"/>
    <col min="16160" max="16160" width="14.109375" style="197" customWidth="1"/>
    <col min="16161" max="16161" width="15.21875" style="197" customWidth="1"/>
    <col min="16162" max="16162" width="13.21875" style="197" customWidth="1"/>
    <col min="16163" max="16163" width="14.109375" style="197" customWidth="1"/>
    <col min="16164" max="16164" width="13" style="197" customWidth="1"/>
    <col min="16165" max="16165" width="9.77734375" style="197" customWidth="1"/>
    <col min="16166" max="16166" width="16.77734375" style="197" customWidth="1"/>
    <col min="16167" max="16167" width="11.109375" style="197" customWidth="1"/>
    <col min="16168" max="16168" width="16.77734375" style="197" customWidth="1"/>
    <col min="16169" max="16169" width="15.21875" style="197" customWidth="1"/>
    <col min="16170" max="16170" width="15.21875" style="197" bestFit="1" customWidth="1"/>
    <col min="16171" max="16171" width="12.88671875" style="197" customWidth="1"/>
    <col min="16172" max="16172" width="16.33203125" style="197" bestFit="1" customWidth="1"/>
    <col min="16173" max="16175" width="13.88671875" style="197" bestFit="1" customWidth="1"/>
    <col min="16176" max="16176" width="12.6640625" style="197" bestFit="1" customWidth="1"/>
    <col min="16177" max="16177" width="13.21875" style="197" bestFit="1" customWidth="1"/>
    <col min="16178" max="16178" width="13.109375" style="197" bestFit="1" customWidth="1"/>
    <col min="16179" max="16384" width="9.21875" style="197"/>
  </cols>
  <sheetData>
    <row r="1" spans="1:50" s="195" customFormat="1">
      <c r="A1" s="288"/>
      <c r="C1" s="290"/>
      <c r="D1" s="290"/>
      <c r="E1" s="290"/>
      <c r="F1" s="290"/>
      <c r="G1" s="290"/>
      <c r="H1" s="290"/>
      <c r="I1" s="290"/>
      <c r="J1" s="196"/>
      <c r="K1" s="290"/>
      <c r="L1" s="290"/>
      <c r="M1" s="290"/>
      <c r="N1" s="290"/>
      <c r="O1" s="290"/>
      <c r="P1" s="290"/>
      <c r="Q1" s="290"/>
      <c r="R1" s="290"/>
      <c r="S1" s="290"/>
      <c r="T1" s="290"/>
      <c r="U1" s="290"/>
      <c r="V1" s="290"/>
      <c r="W1" s="290"/>
      <c r="X1" s="290"/>
      <c r="Y1" s="290"/>
      <c r="Z1" s="290"/>
      <c r="AA1" s="290"/>
      <c r="AB1" s="290"/>
      <c r="AC1" s="290"/>
      <c r="AD1" s="290"/>
      <c r="AE1" s="290"/>
      <c r="AF1" s="290"/>
      <c r="AG1" s="290"/>
      <c r="AH1" s="290"/>
      <c r="AI1" s="290"/>
      <c r="AJ1" s="290"/>
      <c r="AK1" s="290"/>
      <c r="AL1" s="290"/>
      <c r="AM1" s="290"/>
      <c r="AN1" s="290"/>
      <c r="AO1" s="290"/>
      <c r="AP1" s="290"/>
      <c r="AQ1" s="290"/>
      <c r="AR1" s="290"/>
      <c r="AS1" s="290"/>
      <c r="AT1" s="290"/>
      <c r="AU1" s="290"/>
      <c r="AV1" s="290"/>
      <c r="AW1" s="290"/>
    </row>
    <row r="2" spans="1:50" s="290" customFormat="1">
      <c r="A2" s="289" t="s">
        <v>190</v>
      </c>
      <c r="C2" s="290" t="s">
        <v>248</v>
      </c>
      <c r="D2" s="290" t="s">
        <v>252</v>
      </c>
      <c r="E2" s="290" t="s">
        <v>249</v>
      </c>
      <c r="F2" s="324" t="s">
        <v>975</v>
      </c>
      <c r="G2" s="324"/>
      <c r="H2" s="290" t="s">
        <v>168</v>
      </c>
      <c r="I2" s="290" t="s">
        <v>253</v>
      </c>
      <c r="J2" s="196" t="s">
        <v>976</v>
      </c>
      <c r="K2" s="290" t="s">
        <v>977</v>
      </c>
      <c r="L2" s="291" t="s">
        <v>978</v>
      </c>
      <c r="M2" s="291" t="s">
        <v>979</v>
      </c>
      <c r="N2" s="292" t="s">
        <v>257</v>
      </c>
      <c r="O2" s="292" t="s">
        <v>254</v>
      </c>
      <c r="P2" s="292"/>
      <c r="Q2" s="292" t="s">
        <v>980</v>
      </c>
      <c r="R2" s="290" t="s">
        <v>258</v>
      </c>
      <c r="S2" s="290" t="s">
        <v>259</v>
      </c>
      <c r="U2" s="290" t="s">
        <v>260</v>
      </c>
      <c r="V2" s="290" t="s">
        <v>261</v>
      </c>
      <c r="W2" s="290" t="s">
        <v>981</v>
      </c>
      <c r="X2" s="290" t="s">
        <v>982</v>
      </c>
      <c r="Y2" s="290" t="s">
        <v>264</v>
      </c>
      <c r="Z2" s="290" t="s">
        <v>983</v>
      </c>
      <c r="AA2" s="290" t="s">
        <v>984</v>
      </c>
      <c r="AB2" s="290" t="s">
        <v>266</v>
      </c>
      <c r="AC2" s="290" t="s">
        <v>985</v>
      </c>
      <c r="AD2" s="290" t="s">
        <v>987</v>
      </c>
      <c r="AE2" s="290" t="s">
        <v>986</v>
      </c>
      <c r="AF2" s="290" t="s">
        <v>988</v>
      </c>
      <c r="AG2" s="290" t="s">
        <v>989</v>
      </c>
      <c r="AH2" s="290" t="s">
        <v>990</v>
      </c>
      <c r="AI2" s="290" t="s">
        <v>991</v>
      </c>
      <c r="AJ2" s="290" t="s">
        <v>992</v>
      </c>
      <c r="AL2" s="290" t="s">
        <v>993</v>
      </c>
      <c r="AM2" s="290" t="s">
        <v>994</v>
      </c>
      <c r="AN2" s="290" t="s">
        <v>995</v>
      </c>
      <c r="AO2" s="290" t="s">
        <v>996</v>
      </c>
      <c r="AP2" s="290" t="s">
        <v>997</v>
      </c>
      <c r="AQ2" s="290" t="s">
        <v>998</v>
      </c>
      <c r="AR2" s="290" t="s">
        <v>974</v>
      </c>
      <c r="AS2" s="290" t="s">
        <v>270</v>
      </c>
      <c r="AT2" s="290" t="s">
        <v>999</v>
      </c>
      <c r="AU2" s="290" t="s">
        <v>1000</v>
      </c>
      <c r="AV2" s="290" t="s">
        <v>1001</v>
      </c>
      <c r="AW2" s="290" t="s">
        <v>1002</v>
      </c>
    </row>
    <row r="3" spans="1:50">
      <c r="A3" s="289" t="s">
        <v>1329</v>
      </c>
      <c r="C3" s="290"/>
      <c r="D3" s="290"/>
      <c r="E3" s="290"/>
      <c r="F3" s="290" t="s">
        <v>191</v>
      </c>
      <c r="G3" s="290" t="s">
        <v>192</v>
      </c>
      <c r="H3" s="290"/>
      <c r="I3" s="290"/>
      <c r="J3" s="196"/>
      <c r="K3" s="290"/>
      <c r="L3" s="291"/>
      <c r="M3" s="291"/>
      <c r="N3" s="290"/>
      <c r="O3" s="290" t="s">
        <v>193</v>
      </c>
      <c r="P3" s="290" t="s">
        <v>194</v>
      </c>
      <c r="Q3" s="290"/>
      <c r="R3" s="290"/>
      <c r="S3" s="290"/>
      <c r="T3" s="290"/>
      <c r="U3" s="290"/>
      <c r="V3" s="290"/>
      <c r="W3" s="290"/>
      <c r="X3" s="290"/>
      <c r="Y3" s="290"/>
      <c r="Z3" s="290"/>
      <c r="AA3" s="290"/>
      <c r="AB3" s="290"/>
      <c r="AC3" s="290"/>
      <c r="AD3" s="290"/>
      <c r="AE3" s="290"/>
      <c r="AF3" s="290"/>
      <c r="AG3" s="290"/>
      <c r="AH3" s="290"/>
      <c r="AI3" s="290"/>
      <c r="AJ3" s="290"/>
      <c r="AL3" s="290"/>
      <c r="AM3" s="290"/>
      <c r="AN3" s="290"/>
      <c r="AO3" s="290"/>
      <c r="AP3" s="290"/>
      <c r="AQ3" s="290"/>
      <c r="AR3" s="290"/>
      <c r="AS3" s="290"/>
      <c r="AT3" s="290"/>
    </row>
    <row r="4" spans="1:50">
      <c r="B4" s="198" t="s">
        <v>965</v>
      </c>
      <c r="C4" s="199">
        <f>'PRC Spreadsheet-2019.12.31'!Q9</f>
        <v>0</v>
      </c>
      <c r="D4" s="199">
        <f>'PRC Spreadsheet-2019.12.31'!Q19</f>
        <v>0</v>
      </c>
      <c r="E4" s="199">
        <f>'PRC Spreadsheet-2019.12.31'!Q10</f>
        <v>0</v>
      </c>
      <c r="F4" s="199">
        <f>'PRC Spreadsheet-2019.12.31'!Q11</f>
        <v>0</v>
      </c>
      <c r="G4" s="199">
        <f>'PRC Spreadsheet-2019.12.31'!Q12</f>
        <v>0</v>
      </c>
      <c r="H4" s="199">
        <f>'PRC Spreadsheet-2019.12.31'!Q13</f>
        <v>0</v>
      </c>
      <c r="I4" s="199">
        <f>'PRC Spreadsheet-2019.12.31'!Q17</f>
        <v>0</v>
      </c>
      <c r="J4" s="220">
        <f>'PRC Spreadsheet-2019.12.31'!Q18</f>
        <v>0</v>
      </c>
      <c r="K4" s="199">
        <f>'PRC Spreadsheet-2019.12.31'!Q14</f>
        <v>0</v>
      </c>
      <c r="L4" s="199"/>
      <c r="M4" s="199"/>
      <c r="N4" s="199">
        <f>'PRC Spreadsheet-2019.12.31'!Q32</f>
        <v>0</v>
      </c>
      <c r="O4" s="199">
        <f>'PRC Spreadsheet-2019.12.31'!Q26</f>
        <v>0</v>
      </c>
      <c r="P4" s="199">
        <f>'PRC Spreadsheet-2019.12.31'!Q27</f>
        <v>0</v>
      </c>
      <c r="Q4" s="199"/>
      <c r="R4" s="199">
        <f>'PRC Spreadsheet-2019.12.31'!Q36</f>
        <v>0</v>
      </c>
      <c r="S4" s="199">
        <f>'PRC Spreadsheet-2019.12.31'!Q42</f>
        <v>0</v>
      </c>
      <c r="T4" s="199"/>
      <c r="U4" s="197">
        <f>'PRC Spreadsheet-2019.12.31'!Q46</f>
        <v>0</v>
      </c>
      <c r="V4" s="199">
        <f>'PRC Spreadsheet-2019.12.31'!Q49</f>
        <v>0</v>
      </c>
      <c r="W4" s="199">
        <f>'PRC Spreadsheet-2019.12.31'!Q47</f>
        <v>0</v>
      </c>
      <c r="X4" s="199">
        <f>'PRC Spreadsheet-2019.12.31'!Q50</f>
        <v>0</v>
      </c>
      <c r="Y4" s="199">
        <f>'PRC Spreadsheet-2019.12.31'!Q53</f>
        <v>0</v>
      </c>
      <c r="Z4" s="199">
        <f>'PRC Spreadsheet-2019.12.31'!Q48</f>
        <v>0</v>
      </c>
      <c r="AA4" s="199">
        <v>0</v>
      </c>
      <c r="AB4" s="199">
        <f>'PRC Spreadsheet-2019.12.31'!Q51</f>
        <v>0</v>
      </c>
      <c r="AC4" s="199">
        <v>0</v>
      </c>
      <c r="AD4" s="199">
        <f>'PRC Spreadsheet-2019.12.31'!P52</f>
        <v>0</v>
      </c>
      <c r="AE4" s="199">
        <f>'PRC Spreadsheet-2019.12.31'!Q52</f>
        <v>0</v>
      </c>
      <c r="AF4" s="199">
        <f>'PRC Spreadsheet-2019.12.31'!Q56</f>
        <v>0</v>
      </c>
      <c r="AG4" s="199">
        <v>-306849861.18000001</v>
      </c>
      <c r="AH4" s="199">
        <v>0</v>
      </c>
      <c r="AI4" s="199">
        <v>0</v>
      </c>
      <c r="AJ4" s="199">
        <f>'PRC Spreadsheet-2019.12.31'!Q66</f>
        <v>0</v>
      </c>
      <c r="AK4" s="39">
        <f>SUM(C4:S4)+SUM(U4:AJ4)</f>
        <v>-306849861.18000001</v>
      </c>
      <c r="AL4" s="199"/>
      <c r="AM4" s="199"/>
      <c r="AN4" s="199"/>
      <c r="AO4" s="199"/>
      <c r="AP4" s="199"/>
      <c r="AQ4" s="199"/>
      <c r="AR4" s="199"/>
      <c r="AS4" s="199"/>
      <c r="AT4" s="199"/>
      <c r="AU4" s="199"/>
      <c r="AV4" s="199"/>
      <c r="AW4" s="199"/>
    </row>
    <row r="5" spans="1:50">
      <c r="B5" s="198" t="s">
        <v>1330</v>
      </c>
      <c r="C5" s="199">
        <f>'PRC Spreadsheet-2020.06.30'!S9</f>
        <v>18233680.629999999</v>
      </c>
      <c r="D5" s="199">
        <f>'PRC Spreadsheet-2020.06.30'!S19</f>
        <v>7612123.9400000004</v>
      </c>
      <c r="E5" s="199">
        <f>'PRC Spreadsheet-2020.06.30'!S10</f>
        <v>9758624.9000000004</v>
      </c>
      <c r="F5" s="199">
        <f>'PRC Spreadsheet-2020.06.30'!S11</f>
        <v>100479502.38462412</v>
      </c>
      <c r="G5" s="199">
        <f>'PRC Spreadsheet-2020.06.30'!S12</f>
        <v>-1492139.23</v>
      </c>
      <c r="H5" s="39">
        <f>'PRC Spreadsheet-2020.06.30'!S13</f>
        <v>28370261.780000001</v>
      </c>
      <c r="I5" s="39">
        <f>'PRC Spreadsheet-2020.06.30'!S17</f>
        <v>175010863.44</v>
      </c>
      <c r="J5" s="220">
        <f>'PRC Spreadsheet-2020.06.30'!S18</f>
        <v>-31308759.649999999</v>
      </c>
      <c r="K5" s="39">
        <f>'PRC Spreadsheet-2020.06.30'!S14</f>
        <v>10976447.130000001</v>
      </c>
      <c r="L5" s="39"/>
      <c r="M5" s="39"/>
      <c r="N5" s="39">
        <f>'PRC Spreadsheet-2020.06.30'!S31</f>
        <v>733827.72</v>
      </c>
      <c r="O5" s="39">
        <f>'PRC Spreadsheet-2020.06.30'!S26</f>
        <v>401541269.69999999</v>
      </c>
      <c r="P5" s="199">
        <f>'PRC Spreadsheet-2020.06.30'!S27</f>
        <v>-98340826.659999996</v>
      </c>
      <c r="Q5" s="39"/>
      <c r="R5" s="39">
        <f>'PRC Spreadsheet-2020.06.30'!S35</f>
        <v>47817924.460000001</v>
      </c>
      <c r="S5" s="39">
        <f>'PRC Spreadsheet-2020.06.30'!S40</f>
        <v>17470000</v>
      </c>
      <c r="T5" s="199"/>
      <c r="U5" s="197">
        <f>'PRC Spreadsheet-2020.06.30'!S44</f>
        <v>0</v>
      </c>
      <c r="V5" s="199">
        <f>'PRC Spreadsheet-2020.06.30'!S51</f>
        <v>-1275050.8700000001</v>
      </c>
      <c r="W5" s="199">
        <f>'PRC Spreadsheet-2020.06.30'!S45</f>
        <v>-132779994.89</v>
      </c>
      <c r="X5" s="199">
        <f>'PRC Spreadsheet-2020.06.30'!S47</f>
        <v>-5765045.46</v>
      </c>
      <c r="Y5" s="199">
        <f>'PRC Spreadsheet-2020.06.30'!S50</f>
        <v>-53531337</v>
      </c>
      <c r="Z5" s="199">
        <f>'PRC Spreadsheet-2020.06.30'!S46</f>
        <v>-4828747.88</v>
      </c>
      <c r="AA5" s="199">
        <v>0</v>
      </c>
      <c r="AB5" s="199">
        <f>'PRC Spreadsheet-2020.06.30'!S48</f>
        <v>-18972397.410000201</v>
      </c>
      <c r="AC5" s="199">
        <v>0</v>
      </c>
      <c r="AD5" s="199">
        <f>'PRC Spreadsheet-2020.06.30'!S52</f>
        <v>0</v>
      </c>
      <c r="AE5" s="199">
        <f>'PRC Spreadsheet-2020.06.30'!S49</f>
        <v>-1055111.53</v>
      </c>
      <c r="AF5" s="199">
        <f>'PRC Spreadsheet-2020.06.30'!S55</f>
        <v>-158438000</v>
      </c>
      <c r="AG5" s="199">
        <f>'PRC Spreadsheet-2020.06.30'!S62</f>
        <v>-306849861.18000001</v>
      </c>
      <c r="AH5" s="199">
        <v>0</v>
      </c>
      <c r="AI5" s="199">
        <f>'PRC Spreadsheet-2020.06.30'!S64</f>
        <v>0</v>
      </c>
      <c r="AJ5" s="199">
        <f>'PRC Spreadsheet-2020.06.30'!S65</f>
        <v>-28748158.049999937</v>
      </c>
      <c r="AK5" s="39">
        <f>SUM(C5:S5)+SUM(U5:AJ5)</f>
        <v>-25380903.72537601</v>
      </c>
      <c r="AL5" s="199">
        <f>'PRC Spreadsheet-2020.06.30'!S72</f>
        <v>-369791108.20999998</v>
      </c>
      <c r="AM5" s="199">
        <f>'PRC Spreadsheet-2020.06.30'!S74</f>
        <v>3218305.63</v>
      </c>
      <c r="AN5" s="199">
        <f>'PRC Spreadsheet-2020.06.30'!S73</f>
        <v>260345099.65000001</v>
      </c>
      <c r="AO5" s="199">
        <f>'PRC Spreadsheet-2020.06.30'!S78</f>
        <v>30751155.050000001</v>
      </c>
      <c r="AP5" s="199">
        <f>'PRC Spreadsheet-2020.06.30'!S79+'PRC Spreadsheet-2020.06.30'!S80</f>
        <v>44997610.850000001</v>
      </c>
      <c r="AQ5" s="199">
        <f>'PRC Spreadsheet-2020.06.30'!S81</f>
        <v>7690523.5700000003</v>
      </c>
      <c r="AR5" s="199">
        <f>'PRC Spreadsheet-2020.06.30'!S82</f>
        <v>0</v>
      </c>
      <c r="AS5" s="199">
        <f>'PRC Spreadsheet-2020.06.30'!S84</f>
        <v>-3894380.65</v>
      </c>
      <c r="AT5" s="199">
        <f>'PRC Spreadsheet-2020.06.30'!S87</f>
        <v>-366951.97</v>
      </c>
      <c r="AU5" s="199">
        <f>'PRC Spreadsheet-2020.06.30'!S88</f>
        <v>497424.54</v>
      </c>
      <c r="AV5" s="199">
        <f>'PRC Spreadsheet-2020.06.30'!S91</f>
        <v>5915000</v>
      </c>
      <c r="AW5" s="199">
        <f>'PRC Spreadsheet-2020.06.30'!S93</f>
        <v>-27643085.98999998</v>
      </c>
      <c r="AX5" s="197">
        <f>AW5-SUM(AL5:AV5)</f>
        <v>-7005764.450000003</v>
      </c>
    </row>
    <row r="6" spans="1:50" s="199" customFormat="1">
      <c r="B6" s="201" t="s">
        <v>195</v>
      </c>
      <c r="C6" s="199">
        <f t="shared" ref="C6:AV6" si="0">C5-C4</f>
        <v>18233680.629999999</v>
      </c>
      <c r="D6" s="199">
        <f t="shared" si="0"/>
        <v>7612123.9400000004</v>
      </c>
      <c r="E6" s="199">
        <f t="shared" si="0"/>
        <v>9758624.9000000004</v>
      </c>
      <c r="F6" s="199">
        <f>F5-F4</f>
        <v>100479502.38462412</v>
      </c>
      <c r="G6" s="199">
        <f t="shared" si="0"/>
        <v>-1492139.23</v>
      </c>
      <c r="H6" s="199">
        <f>H5-H4</f>
        <v>28370261.780000001</v>
      </c>
      <c r="I6" s="199">
        <f t="shared" si="0"/>
        <v>175010863.44</v>
      </c>
      <c r="J6" s="220">
        <f t="shared" si="0"/>
        <v>-31308759.649999999</v>
      </c>
      <c r="K6" s="199">
        <f t="shared" si="0"/>
        <v>10976447.130000001</v>
      </c>
      <c r="L6" s="199">
        <f t="shared" si="0"/>
        <v>0</v>
      </c>
      <c r="M6" s="199">
        <f t="shared" si="0"/>
        <v>0</v>
      </c>
      <c r="N6" s="199">
        <f t="shared" si="0"/>
        <v>733827.72</v>
      </c>
      <c r="O6" s="199">
        <f t="shared" si="0"/>
        <v>401541269.69999999</v>
      </c>
      <c r="P6" s="199">
        <f t="shared" si="0"/>
        <v>-98340826.659999996</v>
      </c>
      <c r="Q6" s="199">
        <f t="shared" si="0"/>
        <v>0</v>
      </c>
      <c r="R6" s="199">
        <f>R5-R4</f>
        <v>47817924.460000001</v>
      </c>
      <c r="S6" s="199">
        <f>S5-S4</f>
        <v>17470000</v>
      </c>
      <c r="U6" s="199">
        <f t="shared" si="0"/>
        <v>0</v>
      </c>
      <c r="V6" s="199">
        <f t="shared" si="0"/>
        <v>-1275050.8700000001</v>
      </c>
      <c r="W6" s="199">
        <f t="shared" si="0"/>
        <v>-132779994.89</v>
      </c>
      <c r="X6" s="199">
        <f t="shared" si="0"/>
        <v>-5765045.46</v>
      </c>
      <c r="Y6" s="199">
        <f t="shared" si="0"/>
        <v>-53531337</v>
      </c>
      <c r="Z6" s="199">
        <f t="shared" si="0"/>
        <v>-4828747.88</v>
      </c>
      <c r="AA6" s="199">
        <f t="shared" si="0"/>
        <v>0</v>
      </c>
      <c r="AB6" s="199">
        <f t="shared" si="0"/>
        <v>-18972397.410000201</v>
      </c>
      <c r="AC6" s="199">
        <f t="shared" si="0"/>
        <v>0</v>
      </c>
      <c r="AD6" s="199">
        <f t="shared" ref="AD6" si="1">AD5-AD4</f>
        <v>0</v>
      </c>
      <c r="AE6" s="199">
        <f t="shared" si="0"/>
        <v>-1055111.53</v>
      </c>
      <c r="AF6" s="199">
        <f t="shared" si="0"/>
        <v>-158438000</v>
      </c>
      <c r="AG6" s="199">
        <f t="shared" si="0"/>
        <v>0</v>
      </c>
      <c r="AH6" s="199">
        <f t="shared" si="0"/>
        <v>0</v>
      </c>
      <c r="AI6" s="199">
        <f>AI5-AI4</f>
        <v>0</v>
      </c>
      <c r="AJ6" s="199">
        <f>AJ5-AJ4</f>
        <v>-28748158.049999937</v>
      </c>
      <c r="AK6" s="39">
        <f>AK5-AK4</f>
        <v>281468957.454624</v>
      </c>
      <c r="AL6" s="199">
        <f t="shared" si="0"/>
        <v>-369791108.20999998</v>
      </c>
      <c r="AM6" s="199">
        <f t="shared" si="0"/>
        <v>3218305.63</v>
      </c>
      <c r="AN6" s="199">
        <f t="shared" si="0"/>
        <v>260345099.65000001</v>
      </c>
      <c r="AO6" s="199">
        <f t="shared" si="0"/>
        <v>30751155.050000001</v>
      </c>
      <c r="AP6" s="199">
        <f t="shared" si="0"/>
        <v>44997610.850000001</v>
      </c>
      <c r="AQ6" s="199">
        <f t="shared" si="0"/>
        <v>7690523.5700000003</v>
      </c>
      <c r="AR6" s="199">
        <f t="shared" si="0"/>
        <v>0</v>
      </c>
      <c r="AS6" s="199">
        <f t="shared" si="0"/>
        <v>-3894380.65</v>
      </c>
      <c r="AT6" s="199">
        <f t="shared" si="0"/>
        <v>-366951.97</v>
      </c>
      <c r="AU6" s="199">
        <f t="shared" si="0"/>
        <v>497424.54</v>
      </c>
      <c r="AV6" s="199">
        <f t="shared" si="0"/>
        <v>5915000</v>
      </c>
      <c r="AW6" s="199">
        <f>-(AW5-AW4)</f>
        <v>27643085.98999998</v>
      </c>
      <c r="AX6" s="197"/>
    </row>
    <row r="7" spans="1:50">
      <c r="A7" s="203" t="s">
        <v>196</v>
      </c>
      <c r="B7" s="204" t="s">
        <v>1331</v>
      </c>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c r="AP7" s="200"/>
      <c r="AQ7" s="200"/>
      <c r="AR7" s="200"/>
      <c r="AS7" s="200"/>
      <c r="AT7" s="200"/>
      <c r="AU7" s="200"/>
      <c r="AV7" s="200"/>
      <c r="AW7" s="200"/>
    </row>
    <row r="8" spans="1:50">
      <c r="A8" s="205" t="s">
        <v>1003</v>
      </c>
      <c r="C8" s="200"/>
      <c r="D8" s="200"/>
      <c r="E8" s="200"/>
      <c r="F8" s="200"/>
      <c r="G8" s="200"/>
      <c r="H8" s="200"/>
      <c r="I8" s="200"/>
      <c r="J8" s="200"/>
      <c r="K8" s="200"/>
      <c r="L8" s="200"/>
      <c r="M8" s="200"/>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200"/>
      <c r="AQ8" s="200"/>
      <c r="AR8" s="200"/>
      <c r="AS8" s="200"/>
      <c r="AT8" s="200"/>
      <c r="AU8" s="200"/>
      <c r="AV8" s="200"/>
      <c r="AW8" s="200"/>
    </row>
    <row r="9" spans="1:50">
      <c r="A9" s="206" t="s">
        <v>1004</v>
      </c>
      <c r="B9" s="197">
        <f>SUM(C9:AW9)</f>
        <v>345594124.84537584</v>
      </c>
      <c r="C9" s="200"/>
      <c r="D9" s="200"/>
      <c r="E9" s="200">
        <f>-E6-E18</f>
        <v>-10758624.9</v>
      </c>
      <c r="F9" s="200">
        <f>-F6</f>
        <v>-100479502.38462412</v>
      </c>
      <c r="G9" s="200"/>
      <c r="H9" s="200"/>
      <c r="I9" s="200"/>
      <c r="J9" s="200"/>
      <c r="K9" s="200"/>
      <c r="L9" s="200"/>
      <c r="M9" s="200"/>
      <c r="N9" s="200"/>
      <c r="O9" s="200"/>
      <c r="P9" s="200"/>
      <c r="Q9" s="200"/>
      <c r="R9" s="200"/>
      <c r="S9" s="200"/>
      <c r="T9" s="200"/>
      <c r="U9" s="200"/>
      <c r="V9" s="200"/>
      <c r="W9" s="68"/>
      <c r="X9" s="200">
        <f>-X6</f>
        <v>5765045.46</v>
      </c>
      <c r="Y9" s="200"/>
      <c r="Z9" s="200"/>
      <c r="AA9" s="200"/>
      <c r="AB9" s="200">
        <v>81276098.459999993</v>
      </c>
      <c r="AC9" s="68"/>
      <c r="AD9" s="200"/>
      <c r="AE9" s="200"/>
      <c r="AF9" s="200"/>
      <c r="AG9" s="200"/>
      <c r="AH9" s="200"/>
      <c r="AI9" s="200"/>
      <c r="AJ9" s="200"/>
      <c r="AK9" s="200"/>
      <c r="AL9" s="200">
        <f>-AL6</f>
        <v>369791108.20999998</v>
      </c>
      <c r="AM9" s="200"/>
      <c r="AN9" s="68"/>
      <c r="AO9" s="200"/>
      <c r="AP9" s="200"/>
      <c r="AQ9" s="200"/>
      <c r="AR9" s="200"/>
      <c r="AS9" s="200"/>
      <c r="AT9" s="200"/>
      <c r="AU9" s="200"/>
      <c r="AV9" s="200"/>
      <c r="AW9" s="200"/>
    </row>
    <row r="10" spans="1:50">
      <c r="A10" s="206" t="s">
        <v>1005</v>
      </c>
      <c r="B10" s="197">
        <f>SUM(C10:AW10)</f>
        <v>3774895.21</v>
      </c>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v>3749785.55</v>
      </c>
      <c r="AC10" s="200"/>
      <c r="AD10" s="200"/>
      <c r="AE10" s="200"/>
      <c r="AF10" s="200"/>
      <c r="AG10" s="200"/>
      <c r="AH10" s="200"/>
      <c r="AI10" s="200"/>
      <c r="AJ10" s="200"/>
      <c r="AK10" s="200"/>
      <c r="AL10" s="200"/>
      <c r="AM10" s="200"/>
      <c r="AN10" s="200"/>
      <c r="AO10" s="200"/>
      <c r="AP10" s="200"/>
      <c r="AQ10" s="200"/>
      <c r="AR10" s="200"/>
      <c r="AS10" s="200"/>
      <c r="AT10" s="200">
        <v>25109.66</v>
      </c>
      <c r="AU10" s="200"/>
      <c r="AV10" s="200"/>
      <c r="AW10" s="200"/>
    </row>
    <row r="11" spans="1:50">
      <c r="A11" s="206" t="s">
        <v>1006</v>
      </c>
      <c r="B11" s="197">
        <f>SUM(C11:AW11)</f>
        <v>-22883901.140000004</v>
      </c>
      <c r="C11" s="200"/>
      <c r="D11" s="200"/>
      <c r="E11" s="200"/>
      <c r="F11" s="200"/>
      <c r="G11" s="200"/>
      <c r="H11" s="200">
        <f>-H6-H16</f>
        <v>-23225743.450000003</v>
      </c>
      <c r="I11" s="200"/>
      <c r="J11" s="200"/>
      <c r="K11" s="200"/>
      <c r="L11" s="200"/>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68"/>
      <c r="AS11" s="200"/>
      <c r="AT11" s="200">
        <f>-AT6-AT38-AT10</f>
        <v>341842.31</v>
      </c>
      <c r="AU11" s="68"/>
      <c r="AV11" s="200"/>
      <c r="AW11" s="200"/>
    </row>
    <row r="12" spans="1:50">
      <c r="A12" s="207" t="s">
        <v>1007</v>
      </c>
      <c r="B12" s="208">
        <f>SUM(B9:B11)</f>
        <v>326485118.91537583</v>
      </c>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row>
    <row r="13" spans="1:50">
      <c r="A13" s="206" t="s">
        <v>1008</v>
      </c>
      <c r="B13" s="197">
        <f>SUM(C13:AW13)</f>
        <v>-159365846.67999998</v>
      </c>
      <c r="C13" s="200"/>
      <c r="D13" s="200"/>
      <c r="E13" s="200"/>
      <c r="F13" s="200"/>
      <c r="G13" s="200"/>
      <c r="H13" s="200"/>
      <c r="I13" s="200">
        <f>-I6-I20</f>
        <v>-157326669.22999999</v>
      </c>
      <c r="J13" s="200"/>
      <c r="K13" s="200">
        <f>-K6</f>
        <v>-10976447.130000001</v>
      </c>
      <c r="L13" s="200"/>
      <c r="M13" s="200"/>
      <c r="N13" s="200"/>
      <c r="O13" s="200"/>
      <c r="P13" s="200"/>
      <c r="Q13" s="200"/>
      <c r="R13" s="200"/>
      <c r="S13" s="200"/>
      <c r="T13" s="200"/>
      <c r="U13" s="200"/>
      <c r="V13" s="200"/>
      <c r="W13" s="200">
        <f>-W6</f>
        <v>132779994.89</v>
      </c>
      <c r="X13" s="200"/>
      <c r="Y13" s="200"/>
      <c r="Z13" s="200"/>
      <c r="AA13" s="200"/>
      <c r="AB13" s="68">
        <v>-69055522.140000001</v>
      </c>
      <c r="AC13" s="200"/>
      <c r="AD13" s="200"/>
      <c r="AE13" s="200"/>
      <c r="AF13" s="200"/>
      <c r="AG13" s="200"/>
      <c r="AH13" s="200"/>
      <c r="AI13" s="200"/>
      <c r="AJ13" s="200"/>
      <c r="AK13" s="200"/>
      <c r="AL13" s="200"/>
      <c r="AM13" s="200"/>
      <c r="AN13" s="200">
        <f>-AN6-AN14-AN27-AN26-AN22-AN16</f>
        <v>-205146191.17000002</v>
      </c>
      <c r="AO13" s="200"/>
      <c r="AP13" s="200"/>
      <c r="AQ13" s="200">
        <f>-8079011.9-AQ30</f>
        <v>150358988.09999999</v>
      </c>
      <c r="AR13" s="200"/>
      <c r="AS13" s="200"/>
      <c r="AT13" s="200"/>
      <c r="AU13" s="200"/>
      <c r="AV13" s="200"/>
      <c r="AW13" s="200"/>
    </row>
    <row r="14" spans="1:50">
      <c r="A14" s="206" t="s">
        <v>1009</v>
      </c>
      <c r="B14" s="197">
        <f>SUM(C14:AW14)</f>
        <v>-42972489.940000005</v>
      </c>
      <c r="C14" s="200"/>
      <c r="D14" s="200"/>
      <c r="E14" s="200"/>
      <c r="F14" s="200"/>
      <c r="G14" s="200"/>
      <c r="H14" s="200"/>
      <c r="I14" s="200"/>
      <c r="J14" s="200"/>
      <c r="K14" s="200"/>
      <c r="L14" s="200"/>
      <c r="M14" s="200"/>
      <c r="N14" s="200"/>
      <c r="O14" s="200"/>
      <c r="P14" s="200"/>
      <c r="Q14" s="200"/>
      <c r="R14" s="200"/>
      <c r="S14" s="200"/>
      <c r="T14" s="200"/>
      <c r="U14" s="200"/>
      <c r="V14" s="200"/>
      <c r="W14" s="200"/>
      <c r="X14" s="200"/>
      <c r="Y14" s="200"/>
      <c r="Z14" s="200">
        <f>-Z6</f>
        <v>4828747.88</v>
      </c>
      <c r="AA14" s="200"/>
      <c r="AB14" s="200">
        <v>19767.139999999799</v>
      </c>
      <c r="AC14" s="200"/>
      <c r="AD14" s="68"/>
      <c r="AE14" s="68"/>
      <c r="AF14" s="200"/>
      <c r="AG14" s="200"/>
      <c r="AH14" s="200"/>
      <c r="AI14" s="200"/>
      <c r="AJ14" s="200"/>
      <c r="AK14" s="200"/>
      <c r="AL14" s="200"/>
      <c r="AM14" s="200"/>
      <c r="AN14" s="200">
        <v>-41614597.670000002</v>
      </c>
      <c r="AO14" s="200">
        <v>-6206407.2899999991</v>
      </c>
      <c r="AP14" s="200"/>
      <c r="AQ14" s="200"/>
      <c r="AR14" s="200"/>
      <c r="AS14" s="200"/>
      <c r="AT14" s="200"/>
      <c r="AU14" s="200"/>
      <c r="AV14" s="200"/>
      <c r="AW14" s="200"/>
    </row>
    <row r="15" spans="1:50">
      <c r="A15" s="206" t="s">
        <v>1010</v>
      </c>
      <c r="B15" s="197">
        <f>SUM(C15:AW15)</f>
        <v>-21644666.799999788</v>
      </c>
      <c r="C15" s="200"/>
      <c r="D15" s="200">
        <f>1976370.43</f>
        <v>1976370.43</v>
      </c>
      <c r="E15" s="200"/>
      <c r="F15" s="200"/>
      <c r="G15" s="200"/>
      <c r="I15" s="200"/>
      <c r="J15" s="200"/>
      <c r="K15" s="200"/>
      <c r="L15" s="200"/>
      <c r="M15" s="200"/>
      <c r="N15" s="200"/>
      <c r="O15" s="200"/>
      <c r="P15" s="200"/>
      <c r="Q15" s="200"/>
      <c r="R15" s="200"/>
      <c r="S15" s="39">
        <f>-S6</f>
        <v>-17470000</v>
      </c>
      <c r="T15" s="200"/>
      <c r="U15" s="200"/>
      <c r="V15" s="200"/>
      <c r="W15" s="200"/>
      <c r="X15" s="200"/>
      <c r="Y15" s="200"/>
      <c r="Z15" s="200"/>
      <c r="AA15" s="200">
        <f>-AA6</f>
        <v>0</v>
      </c>
      <c r="AB15" s="200">
        <f>AB6*-1-AB9-AB13-AB14-AB10</f>
        <v>2982268.4000002127</v>
      </c>
      <c r="AC15" s="200"/>
      <c r="AD15" s="200"/>
      <c r="AE15" s="200"/>
      <c r="AF15" s="200"/>
      <c r="AG15" s="200"/>
      <c r="AH15" s="200"/>
      <c r="AI15" s="200"/>
      <c r="AJ15" s="200"/>
      <c r="AK15" s="200"/>
      <c r="AL15" s="200"/>
      <c r="AM15" s="200">
        <f>-AM6</f>
        <v>-3218305.63</v>
      </c>
      <c r="AN15" s="200"/>
      <c r="AO15" s="200"/>
      <c r="AP15" s="200"/>
      <c r="AQ15" s="200"/>
      <c r="AR15" s="200"/>
      <c r="AS15" s="200"/>
      <c r="AT15" s="200"/>
      <c r="AU15" s="200"/>
      <c r="AV15" s="68">
        <f>-AV6</f>
        <v>-5915000</v>
      </c>
      <c r="AW15" s="200"/>
    </row>
    <row r="16" spans="1:50">
      <c r="A16" s="206" t="s">
        <v>1011</v>
      </c>
      <c r="B16" s="197">
        <f>SUM(C16:AW16)</f>
        <v>32619856.750000015</v>
      </c>
      <c r="C16" s="200"/>
      <c r="E16" s="200"/>
      <c r="F16" s="200"/>
      <c r="G16" s="200"/>
      <c r="H16" s="200">
        <f>-789219.12-4355299.21</f>
        <v>-5144518.33</v>
      </c>
      <c r="I16" s="200"/>
      <c r="J16" s="200"/>
      <c r="K16" s="200"/>
      <c r="L16" s="68"/>
      <c r="M16" s="39"/>
      <c r="N16" s="39"/>
      <c r="O16" s="200"/>
      <c r="P16" s="200"/>
      <c r="Q16" s="200"/>
      <c r="R16" s="200"/>
      <c r="S16" s="200"/>
      <c r="T16" s="200"/>
      <c r="U16" s="200"/>
      <c r="V16" s="200"/>
      <c r="W16" s="200"/>
      <c r="X16" s="200"/>
      <c r="Y16" s="200">
        <f>Y6*-1-Y13-Y42</f>
        <v>53531337</v>
      </c>
      <c r="Z16" s="200"/>
      <c r="AA16" s="200"/>
      <c r="AB16" s="200"/>
      <c r="AC16" s="200">
        <f>-AC6-AC13-AC57</f>
        <v>0</v>
      </c>
      <c r="AD16" s="68"/>
      <c r="AE16" s="200">
        <f>-AE6-AE39</f>
        <v>6271792.5200000005</v>
      </c>
      <c r="AF16" s="200"/>
      <c r="AG16" s="200"/>
      <c r="AH16" s="200"/>
      <c r="AI16" s="200"/>
      <c r="AJ16" s="200"/>
      <c r="AK16" s="200"/>
      <c r="AL16" s="200"/>
      <c r="AM16" s="200"/>
      <c r="AN16" s="200"/>
      <c r="AO16" s="200">
        <f>-AO6-AO14-AO15</f>
        <v>-24544747.760000002</v>
      </c>
      <c r="AP16" s="200">
        <f>-AP6-AP14-AP15-AP23-AP27-AP19-AP22-AP18-AP26-AP42-AP44</f>
        <v>-7855401.9200000018</v>
      </c>
      <c r="AQ16" s="200">
        <f>AQ6*-1-AQ13-AQ30-AQ57</f>
        <v>10003746.790000014</v>
      </c>
      <c r="AS16" s="200"/>
      <c r="AT16" s="200"/>
      <c r="AU16" s="200">
        <f>-AU6-AU38</f>
        <v>357648.45</v>
      </c>
      <c r="AV16" s="200"/>
      <c r="AW16" s="200"/>
    </row>
    <row r="17" spans="1:49">
      <c r="A17" s="207" t="s">
        <v>1012</v>
      </c>
      <c r="B17" s="208">
        <f>SUM(B13:B16)</f>
        <v>-191363146.66999978</v>
      </c>
      <c r="C17" s="200"/>
      <c r="D17" s="200"/>
      <c r="E17" s="200"/>
      <c r="F17" s="200"/>
      <c r="G17" s="200"/>
      <c r="H17" s="200"/>
      <c r="I17" s="200"/>
      <c r="J17" s="200"/>
      <c r="K17" s="200"/>
      <c r="L17" s="200"/>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row>
    <row r="18" spans="1:49">
      <c r="A18" s="209" t="s">
        <v>197</v>
      </c>
      <c r="B18" s="197">
        <f t="shared" ref="B18:B30" si="2">SUM(C18:AW18)</f>
        <v>1407939.95</v>
      </c>
      <c r="C18" s="200"/>
      <c r="D18" s="200"/>
      <c r="E18" s="200">
        <f>1000000</f>
        <v>1000000</v>
      </c>
      <c r="F18" s="200"/>
      <c r="G18" s="200">
        <f>-G6</f>
        <v>1492139.23</v>
      </c>
      <c r="H18" s="200"/>
      <c r="I18" s="200"/>
      <c r="J18" s="200"/>
      <c r="K18" s="200"/>
      <c r="L18" s="200"/>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c r="AL18" s="200"/>
      <c r="AM18" s="200"/>
      <c r="AN18" s="200"/>
      <c r="AO18" s="200"/>
      <c r="AP18" s="200"/>
      <c r="AQ18" s="200"/>
      <c r="AR18" s="200">
        <f>-84199.28-1000000</f>
        <v>-1084199.28</v>
      </c>
      <c r="AS18" s="200"/>
      <c r="AT18" s="200"/>
      <c r="AU18" s="200"/>
      <c r="AV18" s="200"/>
      <c r="AW18" s="200"/>
    </row>
    <row r="19" spans="1:49">
      <c r="A19" s="209" t="s">
        <v>198</v>
      </c>
      <c r="B19" s="197">
        <f t="shared" si="2"/>
        <v>0</v>
      </c>
      <c r="C19" s="200"/>
      <c r="D19" s="200"/>
      <c r="E19" s="200"/>
      <c r="F19" s="200"/>
      <c r="G19" s="200"/>
      <c r="H19" s="200"/>
      <c r="I19" s="200"/>
      <c r="J19" s="200">
        <v>13624565.439999999</v>
      </c>
      <c r="K19" s="200"/>
      <c r="L19" s="68"/>
      <c r="M19" s="68"/>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f>-N19-J19</f>
        <v>-13624565.439999999</v>
      </c>
      <c r="AS19" s="200"/>
      <c r="AT19" s="200"/>
      <c r="AU19" s="200"/>
      <c r="AV19" s="200"/>
      <c r="AW19" s="200"/>
    </row>
    <row r="20" spans="1:49">
      <c r="A20" s="209" t="s">
        <v>1039</v>
      </c>
      <c r="B20" s="197">
        <f t="shared" si="2"/>
        <v>0</v>
      </c>
      <c r="C20" s="200"/>
      <c r="D20" s="200"/>
      <c r="E20" s="200"/>
      <c r="F20" s="200"/>
      <c r="G20" s="200"/>
      <c r="H20" s="200"/>
      <c r="I20" s="200">
        <f>-J20</f>
        <v>-17684194.210000001</v>
      </c>
      <c r="J20" s="200">
        <f>-J6-J19</f>
        <v>17684194.210000001</v>
      </c>
      <c r="K20" s="200"/>
      <c r="L20" s="68"/>
      <c r="M20" s="68"/>
      <c r="N20" s="200"/>
      <c r="O20" s="200"/>
      <c r="P20" s="200"/>
      <c r="Q20" s="200"/>
      <c r="R20" s="200"/>
      <c r="S20" s="200"/>
      <c r="T20" s="200"/>
      <c r="U20" s="200"/>
      <c r="V20" s="200"/>
      <c r="W20" s="200"/>
      <c r="X20" s="200"/>
      <c r="Y20" s="200"/>
      <c r="Z20" s="200"/>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c r="AW20" s="200"/>
    </row>
    <row r="21" spans="1:49">
      <c r="A21" s="209" t="s">
        <v>199</v>
      </c>
      <c r="B21" s="197">
        <f t="shared" si="2"/>
        <v>0</v>
      </c>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row>
    <row r="22" spans="1:49">
      <c r="A22" s="209" t="s">
        <v>200</v>
      </c>
      <c r="B22" s="197">
        <f t="shared" si="2"/>
        <v>0</v>
      </c>
      <c r="C22" s="200"/>
      <c r="D22" s="200"/>
      <c r="E22" s="200"/>
      <c r="F22" s="200"/>
      <c r="G22" s="200"/>
      <c r="H22" s="200"/>
      <c r="I22" s="200"/>
      <c r="J22" s="200"/>
      <c r="K22" s="200"/>
      <c r="L22" s="200"/>
      <c r="M22" s="200"/>
      <c r="N22" s="200"/>
      <c r="O22" s="200"/>
      <c r="P22" s="200"/>
      <c r="Q22" s="200"/>
      <c r="R22" s="200">
        <f>-R6</f>
        <v>-47817924.460000001</v>
      </c>
      <c r="S22" s="200"/>
      <c r="T22" s="200"/>
      <c r="U22" s="200"/>
      <c r="V22" s="200"/>
      <c r="W22" s="200"/>
      <c r="X22" s="200"/>
      <c r="Y22" s="200"/>
      <c r="Z22" s="200"/>
      <c r="AA22" s="200"/>
      <c r="AB22" s="200"/>
      <c r="AC22" s="200"/>
      <c r="AD22" s="200"/>
      <c r="AE22" s="200"/>
      <c r="AF22" s="200"/>
      <c r="AG22" s="200"/>
      <c r="AH22" s="200"/>
      <c r="AI22" s="200"/>
      <c r="AJ22" s="200"/>
      <c r="AK22" s="200"/>
      <c r="AL22" s="200"/>
      <c r="AM22" s="200"/>
      <c r="AN22" s="200"/>
      <c r="AO22" s="200"/>
      <c r="AP22" s="200">
        <f>-R22</f>
        <v>47817924.460000001</v>
      </c>
      <c r="AQ22" s="200"/>
      <c r="AR22" s="200"/>
      <c r="AS22" s="200"/>
      <c r="AT22" s="200"/>
      <c r="AU22" s="200"/>
      <c r="AV22" s="200"/>
      <c r="AW22" s="200"/>
    </row>
    <row r="23" spans="1:49">
      <c r="A23" s="209" t="s">
        <v>201</v>
      </c>
      <c r="B23" s="197">
        <f t="shared" si="2"/>
        <v>0</v>
      </c>
      <c r="C23" s="200"/>
      <c r="D23" s="200"/>
      <c r="E23" s="200"/>
      <c r="F23" s="200"/>
      <c r="G23" s="200"/>
      <c r="H23" s="200"/>
      <c r="I23" s="200"/>
      <c r="J23" s="200"/>
      <c r="K23" s="200"/>
      <c r="L23" s="200"/>
      <c r="M23" s="200"/>
      <c r="N23" s="200">
        <v>10781698.890000001</v>
      </c>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0"/>
      <c r="AM23" s="200"/>
      <c r="AN23" s="200"/>
      <c r="AO23" s="200"/>
      <c r="AP23" s="200"/>
      <c r="AQ23" s="200"/>
      <c r="AR23" s="200">
        <f>-10781698.89</f>
        <v>-10781698.890000001</v>
      </c>
      <c r="AS23" s="200"/>
      <c r="AT23" s="200"/>
      <c r="AU23" s="200"/>
      <c r="AV23" s="200"/>
      <c r="AW23" s="200"/>
    </row>
    <row r="24" spans="1:49">
      <c r="A24" s="209" t="s">
        <v>202</v>
      </c>
      <c r="B24" s="197">
        <f t="shared" si="2"/>
        <v>0</v>
      </c>
      <c r="C24" s="200"/>
      <c r="D24" s="200"/>
      <c r="E24" s="200"/>
      <c r="F24" s="200"/>
      <c r="G24" s="200"/>
      <c r="H24" s="200"/>
      <c r="I24" s="200"/>
      <c r="J24" s="200"/>
      <c r="K24" s="200"/>
      <c r="L24" s="200"/>
      <c r="M24" s="200"/>
      <c r="N24" s="200"/>
      <c r="O24" s="200"/>
      <c r="P24" s="200"/>
      <c r="Q24" s="200"/>
      <c r="R24" s="200"/>
      <c r="S24" s="200"/>
      <c r="T24" s="200"/>
      <c r="U24" s="200"/>
      <c r="V24" s="200"/>
      <c r="W24" s="200"/>
      <c r="X24" s="200"/>
      <c r="Y24" s="200"/>
      <c r="Z24" s="200"/>
      <c r="AA24" s="200"/>
      <c r="AB24" s="200"/>
      <c r="AC24" s="200"/>
      <c r="AD24" s="200"/>
      <c r="AE24" s="200"/>
      <c r="AF24" s="200"/>
      <c r="AG24" s="200"/>
      <c r="AH24" s="200"/>
      <c r="AI24" s="200"/>
      <c r="AJ24" s="200"/>
      <c r="AK24" s="200"/>
      <c r="AL24" s="200"/>
      <c r="AM24" s="200"/>
      <c r="AN24" s="200"/>
      <c r="AO24" s="200"/>
      <c r="AP24" s="200"/>
      <c r="AQ24" s="200"/>
      <c r="AR24" s="200"/>
      <c r="AS24" s="200"/>
      <c r="AT24" s="200"/>
      <c r="AU24" s="200"/>
      <c r="AV24" s="200"/>
      <c r="AW24" s="200"/>
    </row>
    <row r="25" spans="1:49">
      <c r="A25" s="209" t="s">
        <v>203</v>
      </c>
      <c r="B25" s="197">
        <f t="shared" si="2"/>
        <v>0</v>
      </c>
      <c r="C25" s="200"/>
      <c r="D25" s="200"/>
      <c r="E25" s="200"/>
      <c r="F25" s="200"/>
      <c r="G25" s="200"/>
      <c r="H25" s="200"/>
      <c r="I25" s="200"/>
      <c r="J25" s="200"/>
      <c r="K25" s="200"/>
      <c r="L25" s="200"/>
      <c r="M25" s="200"/>
      <c r="N25" s="200"/>
      <c r="O25" s="200"/>
      <c r="P25" s="200"/>
      <c r="Q25" s="200"/>
      <c r="R25" s="200"/>
      <c r="S25" s="200"/>
      <c r="T25" s="200"/>
      <c r="U25" s="200"/>
      <c r="V25" s="200"/>
      <c r="W25" s="200"/>
      <c r="X25" s="200"/>
      <c r="Y25" s="200"/>
      <c r="Z25" s="200"/>
      <c r="AA25" s="200"/>
      <c r="AB25" s="200">
        <f>-AV25</f>
        <v>0</v>
      </c>
      <c r="AC25" s="200"/>
      <c r="AD25" s="200"/>
      <c r="AE25" s="200"/>
      <c r="AF25" s="200"/>
      <c r="AG25" s="200"/>
      <c r="AH25" s="200"/>
      <c r="AI25" s="200"/>
      <c r="AJ25" s="200"/>
      <c r="AK25" s="200"/>
      <c r="AL25" s="200"/>
      <c r="AM25" s="200"/>
      <c r="AN25" s="200"/>
      <c r="AO25" s="200"/>
      <c r="AP25" s="200"/>
      <c r="AQ25" s="200"/>
      <c r="AR25" s="200"/>
      <c r="AS25" s="200"/>
      <c r="AT25" s="200"/>
      <c r="AU25" s="200"/>
      <c r="AV25" s="200"/>
      <c r="AW25" s="200"/>
    </row>
    <row r="26" spans="1:49">
      <c r="A26" s="209" t="s">
        <v>1013</v>
      </c>
      <c r="B26" s="197">
        <f t="shared" si="2"/>
        <v>0</v>
      </c>
      <c r="C26" s="200"/>
      <c r="D26" s="200"/>
      <c r="E26" s="200"/>
      <c r="F26" s="200"/>
      <c r="G26" s="200"/>
      <c r="H26" s="200"/>
      <c r="I26" s="200"/>
      <c r="J26" s="200"/>
      <c r="K26" s="200"/>
      <c r="L26" s="200"/>
      <c r="M26" s="200"/>
      <c r="N26" s="200"/>
      <c r="O26" s="200"/>
      <c r="P26" s="200"/>
      <c r="Q26" s="200"/>
      <c r="R26" s="200"/>
      <c r="S26" s="200"/>
      <c r="T26" s="200"/>
      <c r="U26" s="200"/>
      <c r="V26" s="200"/>
      <c r="W26" s="200"/>
      <c r="X26" s="200"/>
      <c r="Y26" s="200"/>
      <c r="Z26" s="200"/>
      <c r="AA26" s="68"/>
      <c r="AB26" s="200"/>
      <c r="AC26" s="200"/>
      <c r="AD26" s="200"/>
      <c r="AE26" s="200"/>
      <c r="AF26" s="200"/>
      <c r="AG26" s="200"/>
      <c r="AH26" s="200"/>
      <c r="AI26" s="200"/>
      <c r="AJ26" s="200"/>
      <c r="AK26" s="200"/>
      <c r="AL26" s="200"/>
      <c r="AM26" s="200"/>
      <c r="AN26" s="200"/>
      <c r="AO26" s="200"/>
      <c r="AP26" s="200"/>
      <c r="AQ26" s="200"/>
      <c r="AR26" s="200"/>
      <c r="AS26" s="200"/>
      <c r="AT26" s="200"/>
      <c r="AU26" s="200"/>
      <c r="AV26" s="200"/>
      <c r="AW26" s="200"/>
    </row>
    <row r="27" spans="1:49">
      <c r="A27" s="209" t="s">
        <v>204</v>
      </c>
      <c r="B27" s="197">
        <f t="shared" si="2"/>
        <v>0</v>
      </c>
      <c r="C27" s="200"/>
      <c r="D27" s="200"/>
      <c r="E27" s="200"/>
      <c r="F27" s="200"/>
      <c r="G27" s="200"/>
      <c r="H27" s="200"/>
      <c r="I27" s="200"/>
      <c r="J27" s="200"/>
      <c r="K27" s="200"/>
      <c r="L27" s="200"/>
      <c r="M27" s="200"/>
      <c r="N27" s="200"/>
      <c r="O27" s="200"/>
      <c r="P27" s="200">
        <f>-P6-P38</f>
        <v>98544444.200000003</v>
      </c>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v>-13584310.810000001</v>
      </c>
      <c r="AO27" s="200"/>
      <c r="AP27" s="200">
        <f>-AN27-P27</f>
        <v>-84960133.390000001</v>
      </c>
      <c r="AQ27" s="200"/>
      <c r="AR27" s="200"/>
      <c r="AS27" s="200"/>
      <c r="AT27" s="200"/>
      <c r="AU27" s="200"/>
      <c r="AV27" s="200"/>
      <c r="AW27" s="200"/>
    </row>
    <row r="28" spans="1:49">
      <c r="A28" s="209" t="s">
        <v>205</v>
      </c>
      <c r="B28" s="197">
        <f t="shared" si="2"/>
        <v>1105072.0599999577</v>
      </c>
      <c r="C28" s="200"/>
      <c r="D28" s="200"/>
      <c r="E28" s="200"/>
      <c r="F28" s="200"/>
      <c r="G28" s="200"/>
      <c r="H28" s="200"/>
      <c r="I28" s="200"/>
      <c r="J28" s="200"/>
      <c r="K28" s="200"/>
      <c r="L28" s="200"/>
      <c r="M28" s="200"/>
      <c r="N28" s="200"/>
      <c r="O28" s="200"/>
      <c r="P28" s="200"/>
      <c r="Q28" s="200"/>
      <c r="R28" s="200"/>
      <c r="S28" s="200"/>
      <c r="T28" s="200"/>
      <c r="U28" s="200"/>
      <c r="V28" s="200"/>
      <c r="W28" s="200"/>
      <c r="X28" s="200"/>
      <c r="Y28" s="200"/>
      <c r="Z28" s="200"/>
      <c r="AA28" s="200"/>
      <c r="AB28" s="200"/>
      <c r="AC28" s="200"/>
      <c r="AD28" s="200"/>
      <c r="AE28" s="200"/>
      <c r="AF28" s="200"/>
      <c r="AG28" s="200"/>
      <c r="AH28" s="200"/>
      <c r="AI28" s="200">
        <f>-AI6</f>
        <v>0</v>
      </c>
      <c r="AJ28" s="68">
        <f>-AJ6</f>
        <v>28748158.049999937</v>
      </c>
      <c r="AK28" s="200"/>
      <c r="AL28" s="200"/>
      <c r="AM28" s="200"/>
      <c r="AN28" s="200"/>
      <c r="AO28" s="200"/>
      <c r="AP28" s="200"/>
      <c r="AQ28" s="200"/>
      <c r="AR28" s="200"/>
      <c r="AS28" s="200"/>
      <c r="AT28" s="200"/>
      <c r="AU28" s="200"/>
      <c r="AV28" s="200"/>
      <c r="AW28" s="200">
        <f>-AW6</f>
        <v>-27643085.98999998</v>
      </c>
    </row>
    <row r="29" spans="1:49">
      <c r="A29" s="209" t="s">
        <v>206</v>
      </c>
      <c r="B29" s="197">
        <f t="shared" si="2"/>
        <v>0</v>
      </c>
      <c r="C29" s="200"/>
      <c r="D29" s="200"/>
      <c r="E29" s="200"/>
      <c r="F29" s="200"/>
      <c r="G29" s="200"/>
      <c r="H29" s="200"/>
      <c r="I29" s="200"/>
      <c r="J29" s="200"/>
      <c r="K29" s="200"/>
      <c r="L29" s="200"/>
      <c r="M29" s="200"/>
      <c r="N29" s="200"/>
      <c r="O29" s="200"/>
      <c r="P29" s="200"/>
      <c r="Q29" s="200"/>
      <c r="R29" s="200"/>
      <c r="S29" s="200"/>
      <c r="T29" s="200"/>
      <c r="U29" s="200"/>
      <c r="V29" s="200"/>
      <c r="W29" s="200"/>
      <c r="X29" s="200"/>
      <c r="Y29" s="200"/>
      <c r="Z29" s="200"/>
      <c r="AA29" s="200"/>
      <c r="AB29" s="200"/>
      <c r="AC29" s="200"/>
      <c r="AD29" s="200"/>
      <c r="AE29" s="200"/>
      <c r="AF29" s="200"/>
      <c r="AG29" s="200"/>
      <c r="AH29" s="200"/>
      <c r="AI29" s="200"/>
      <c r="AJ29" s="200"/>
      <c r="AK29" s="200"/>
      <c r="AL29" s="200"/>
      <c r="AM29" s="200"/>
      <c r="AN29" s="200"/>
      <c r="AO29" s="200"/>
      <c r="AP29" s="200"/>
      <c r="AQ29" s="200"/>
      <c r="AR29" s="200"/>
      <c r="AS29" s="200"/>
      <c r="AT29" s="200"/>
      <c r="AU29" s="200"/>
      <c r="AV29" s="200"/>
      <c r="AW29" s="200"/>
    </row>
    <row r="30" spans="1:49">
      <c r="A30" s="209" t="s">
        <v>1041</v>
      </c>
      <c r="B30" s="197">
        <f t="shared" si="2"/>
        <v>0</v>
      </c>
      <c r="C30" s="200"/>
      <c r="D30" s="200"/>
      <c r="E30" s="200"/>
      <c r="F30" s="200"/>
      <c r="G30" s="200"/>
      <c r="H30" s="200"/>
      <c r="I30" s="200"/>
      <c r="J30" s="200"/>
      <c r="K30" s="200"/>
      <c r="L30" s="200"/>
      <c r="M30" s="200"/>
      <c r="N30" s="200"/>
      <c r="O30" s="200"/>
      <c r="P30" s="200"/>
      <c r="Q30" s="200"/>
      <c r="R30" s="200"/>
      <c r="S30" s="200"/>
      <c r="T30" s="200"/>
      <c r="U30" s="200"/>
      <c r="V30" s="200"/>
      <c r="W30" s="200"/>
      <c r="X30" s="200"/>
      <c r="Y30" s="200"/>
      <c r="Z30" s="200"/>
      <c r="AA30" s="200"/>
      <c r="AB30" s="200"/>
      <c r="AC30" s="200"/>
      <c r="AD30" s="200">
        <f>-AD6-AD51</f>
        <v>158438000</v>
      </c>
      <c r="AE30" s="200"/>
      <c r="AF30" s="200"/>
      <c r="AG30" s="200"/>
      <c r="AH30" s="200">
        <f>-AH6</f>
        <v>0</v>
      </c>
      <c r="AI30" s="200"/>
      <c r="AJ30" s="200"/>
      <c r="AK30" s="200"/>
      <c r="AL30" s="200"/>
      <c r="AM30" s="200"/>
      <c r="AN30" s="200"/>
      <c r="AO30" s="200"/>
      <c r="AP30" s="200"/>
      <c r="AQ30" s="200">
        <f>-AH30-AD30</f>
        <v>-158438000</v>
      </c>
      <c r="AR30" s="200"/>
      <c r="AS30" s="200"/>
      <c r="AT30" s="200"/>
      <c r="AU30" s="200"/>
      <c r="AV30" s="200"/>
      <c r="AW30" s="200"/>
    </row>
    <row r="31" spans="1:49">
      <c r="A31" s="207"/>
      <c r="C31" s="200"/>
      <c r="D31" s="200"/>
      <c r="E31" s="200"/>
      <c r="F31" s="200"/>
      <c r="G31" s="200"/>
      <c r="H31" s="200"/>
      <c r="I31" s="200"/>
      <c r="J31" s="200"/>
      <c r="K31" s="200"/>
      <c r="L31" s="200"/>
      <c r="M31" s="200"/>
      <c r="N31" s="200"/>
      <c r="O31" s="200"/>
      <c r="P31" s="200"/>
      <c r="Q31" s="200"/>
      <c r="R31" s="200"/>
      <c r="S31" s="200"/>
      <c r="T31" s="200"/>
      <c r="U31" s="200"/>
      <c r="V31" s="200"/>
      <c r="W31" s="200"/>
      <c r="X31" s="200"/>
      <c r="Y31" s="200"/>
      <c r="Z31" s="200"/>
      <c r="AA31" s="200"/>
      <c r="AB31" s="200"/>
      <c r="AC31" s="200"/>
      <c r="AD31" s="200"/>
      <c r="AE31" s="200"/>
      <c r="AF31" s="200"/>
      <c r="AG31" s="200"/>
      <c r="AH31" s="200"/>
      <c r="AI31" s="200"/>
      <c r="AJ31" s="200"/>
      <c r="AK31" s="200"/>
      <c r="AL31" s="200"/>
      <c r="AM31" s="200"/>
      <c r="AN31" s="200"/>
      <c r="AO31" s="200"/>
      <c r="AP31" s="200"/>
      <c r="AQ31" s="200"/>
      <c r="AR31" s="200"/>
      <c r="AS31" s="200"/>
      <c r="AT31" s="200"/>
      <c r="AU31" s="200"/>
      <c r="AV31" s="200"/>
      <c r="AW31" s="200"/>
    </row>
    <row r="32" spans="1:49" ht="13.8" thickBot="1">
      <c r="A32" s="205" t="s">
        <v>1014</v>
      </c>
      <c r="B32" s="210">
        <f>B12+B17+B20</f>
        <v>135121972.24537605</v>
      </c>
      <c r="C32" s="200"/>
      <c r="D32" s="200"/>
      <c r="E32" s="200"/>
      <c r="F32" s="200"/>
      <c r="G32" s="200"/>
      <c r="H32" s="200"/>
      <c r="I32" s="200"/>
      <c r="J32" s="200"/>
      <c r="K32" s="200"/>
      <c r="L32" s="200"/>
      <c r="M32" s="200"/>
      <c r="N32" s="200"/>
      <c r="O32" s="200"/>
      <c r="P32" s="200"/>
      <c r="Q32" s="200"/>
      <c r="R32" s="200"/>
      <c r="S32" s="200"/>
      <c r="T32" s="200"/>
      <c r="U32" s="200"/>
      <c r="V32" s="200"/>
      <c r="W32" s="200"/>
      <c r="X32" s="200"/>
      <c r="Y32" s="200"/>
      <c r="Z32" s="200"/>
      <c r="AA32" s="200"/>
      <c r="AB32" s="200"/>
      <c r="AC32" s="200"/>
      <c r="AD32" s="200"/>
      <c r="AE32" s="200"/>
      <c r="AF32" s="200"/>
      <c r="AG32" s="200"/>
      <c r="AH32" s="200"/>
      <c r="AI32" s="200"/>
      <c r="AJ32" s="200"/>
      <c r="AK32" s="200"/>
      <c r="AL32" s="200"/>
      <c r="AM32" s="200"/>
      <c r="AN32" s="200"/>
      <c r="AO32" s="200"/>
      <c r="AP32" s="200"/>
      <c r="AQ32" s="200"/>
      <c r="AR32" s="200"/>
      <c r="AS32" s="200"/>
      <c r="AT32" s="200"/>
      <c r="AU32" s="200"/>
      <c r="AV32" s="200"/>
      <c r="AW32" s="200"/>
    </row>
    <row r="33" spans="1:49" ht="13.8" thickTop="1">
      <c r="A33" s="211"/>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row>
    <row r="34" spans="1:49">
      <c r="A34" s="212" t="s">
        <v>1015</v>
      </c>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row>
    <row r="35" spans="1:49">
      <c r="A35" s="213"/>
      <c r="B35" s="197">
        <f>SUM(C35:AW35)</f>
        <v>0</v>
      </c>
      <c r="C35" s="200"/>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c r="AD35" s="200"/>
      <c r="AE35" s="200"/>
      <c r="AF35" s="200"/>
      <c r="AG35" s="200"/>
      <c r="AH35" s="200"/>
      <c r="AI35" s="200"/>
      <c r="AJ35" s="200"/>
      <c r="AK35" s="200"/>
      <c r="AL35" s="200"/>
      <c r="AM35" s="200"/>
      <c r="AN35" s="200"/>
      <c r="AO35" s="200"/>
      <c r="AP35" s="200"/>
      <c r="AQ35" s="200"/>
      <c r="AR35" s="200"/>
      <c r="AS35" s="200"/>
      <c r="AT35" s="200"/>
      <c r="AU35" s="200"/>
      <c r="AV35" s="200"/>
      <c r="AW35" s="200"/>
    </row>
    <row r="36" spans="1:49">
      <c r="A36" s="206" t="s">
        <v>1016</v>
      </c>
      <c r="B36" s="197">
        <f>SUM(C36:AW36)</f>
        <v>0</v>
      </c>
      <c r="C36" s="200"/>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row>
    <row r="37" spans="1:49" ht="13.5" customHeight="1">
      <c r="A37" s="206" t="s">
        <v>1017</v>
      </c>
      <c r="B37" s="197">
        <f>SUM(C37:AW37)</f>
        <v>0</v>
      </c>
      <c r="C37" s="200"/>
      <c r="D37" s="200"/>
      <c r="E37" s="200"/>
      <c r="F37" s="200"/>
      <c r="G37" s="200"/>
      <c r="H37" s="200"/>
      <c r="I37" s="200"/>
      <c r="J37" s="200"/>
      <c r="K37" s="200"/>
      <c r="L37" s="200"/>
      <c r="M37" s="200"/>
      <c r="N37" s="200"/>
      <c r="O37" s="68"/>
      <c r="P37" s="200"/>
      <c r="Q37" s="200"/>
      <c r="R37" s="200"/>
      <c r="S37" s="200"/>
      <c r="T37" s="200"/>
      <c r="U37" s="200"/>
      <c r="V37" s="200"/>
      <c r="W37" s="200"/>
      <c r="X37" s="200"/>
      <c r="Y37" s="200"/>
      <c r="Z37" s="200"/>
      <c r="AA37" s="200"/>
      <c r="AB37" s="200"/>
      <c r="AC37" s="200"/>
      <c r="AD37" s="200"/>
      <c r="AE37" s="200"/>
      <c r="AF37" s="200"/>
      <c r="AG37" s="200"/>
      <c r="AH37" s="200"/>
      <c r="AI37" s="200"/>
      <c r="AJ37" s="200"/>
      <c r="AK37" s="200"/>
      <c r="AL37" s="200"/>
      <c r="AM37" s="200"/>
      <c r="AN37" s="200"/>
      <c r="AO37" s="200"/>
      <c r="AP37" s="200"/>
      <c r="AQ37" s="200"/>
      <c r="AR37" s="200"/>
      <c r="AT37" s="200"/>
      <c r="AU37" s="200"/>
      <c r="AV37" s="200"/>
      <c r="AW37" s="200"/>
    </row>
    <row r="38" spans="1:49">
      <c r="A38" s="206" t="s">
        <v>1018</v>
      </c>
      <c r="B38" s="197">
        <f>SUM(C38:AW38)</f>
        <v>0</v>
      </c>
      <c r="C38" s="200"/>
      <c r="D38" s="200"/>
      <c r="E38" s="200"/>
      <c r="F38" s="200"/>
      <c r="G38" s="200"/>
      <c r="H38" s="200"/>
      <c r="I38" s="200"/>
      <c r="J38" s="200"/>
      <c r="K38" s="200"/>
      <c r="L38" s="200"/>
      <c r="M38" s="200"/>
      <c r="N38" s="200">
        <v>57777.77</v>
      </c>
      <c r="O38" s="200">
        <v>1000912.76</v>
      </c>
      <c r="P38" s="200">
        <v>-203617.54</v>
      </c>
      <c r="Q38" s="200"/>
      <c r="R38" s="200"/>
      <c r="S38" s="200"/>
      <c r="T38" s="200"/>
      <c r="U38" s="200"/>
      <c r="V38" s="200"/>
      <c r="W38" s="200"/>
      <c r="X38" s="200"/>
      <c r="Y38" s="200"/>
      <c r="Z38" s="200"/>
      <c r="AA38" s="200"/>
      <c r="AB38" s="200"/>
      <c r="AC38" s="200"/>
      <c r="AD38" s="200"/>
      <c r="AE38" s="200"/>
      <c r="AF38" s="200"/>
      <c r="AG38" s="200"/>
      <c r="AH38" s="200"/>
      <c r="AI38" s="200"/>
      <c r="AJ38" s="200"/>
      <c r="AK38" s="200"/>
      <c r="AL38" s="200"/>
      <c r="AM38" s="200"/>
      <c r="AN38" s="200"/>
      <c r="AO38" s="200"/>
      <c r="AP38" s="200"/>
      <c r="AQ38" s="200"/>
      <c r="AS38" s="200"/>
      <c r="AT38" s="200"/>
      <c r="AU38" s="200">
        <v>-855072.99</v>
      </c>
      <c r="AV38" s="200"/>
      <c r="AW38" s="200"/>
    </row>
    <row r="39" spans="1:49">
      <c r="A39" s="206" t="s">
        <v>1019</v>
      </c>
      <c r="B39" s="197">
        <f>SUM(C39:AW39)</f>
        <v>-2994924.9100000011</v>
      </c>
      <c r="C39" s="200"/>
      <c r="D39" s="197">
        <f>-3717743.29</f>
        <v>-3717743.29</v>
      </c>
      <c r="E39" s="200"/>
      <c r="F39" s="200"/>
      <c r="G39" s="200"/>
      <c r="H39" s="31"/>
      <c r="I39" s="200"/>
      <c r="J39" s="200"/>
      <c r="K39" s="200"/>
      <c r="L39" s="200"/>
      <c r="M39" s="200"/>
      <c r="N39" s="200"/>
      <c r="O39" s="200"/>
      <c r="P39" s="200"/>
      <c r="Q39" s="200"/>
      <c r="R39" s="200"/>
      <c r="S39" s="200"/>
      <c r="T39" s="200"/>
      <c r="U39" s="200"/>
      <c r="V39" s="200"/>
      <c r="W39" s="200"/>
      <c r="X39" s="200"/>
      <c r="Y39" s="200"/>
      <c r="Z39" s="200"/>
      <c r="AA39" s="200"/>
      <c r="AB39" s="200"/>
      <c r="AC39" s="200"/>
      <c r="AD39" s="200"/>
      <c r="AE39" s="200">
        <f>-5216680.99</f>
        <v>-5216680.99</v>
      </c>
      <c r="AF39" s="200"/>
      <c r="AG39" s="200"/>
      <c r="AH39" s="200"/>
      <c r="AI39" s="200"/>
      <c r="AJ39" s="200"/>
      <c r="AK39" s="200"/>
      <c r="AL39" s="200"/>
      <c r="AM39" s="200"/>
      <c r="AN39" s="200"/>
      <c r="AO39" s="200"/>
      <c r="AP39" s="200"/>
      <c r="AQ39" s="306"/>
      <c r="AR39" s="197"/>
      <c r="AS39" s="200">
        <f>-AS6-AS57</f>
        <v>5939499.3700000001</v>
      </c>
      <c r="AT39" s="200"/>
      <c r="AU39" s="200"/>
      <c r="AV39" s="200"/>
      <c r="AW39" s="200"/>
    </row>
    <row r="40" spans="1:49">
      <c r="A40" s="207" t="s">
        <v>1007</v>
      </c>
      <c r="B40" s="214">
        <f>SUM(B36:B39)</f>
        <v>-2994924.9100000011</v>
      </c>
      <c r="C40" s="200"/>
      <c r="D40" s="200"/>
      <c r="E40" s="200"/>
      <c r="F40" s="200"/>
      <c r="G40" s="200"/>
      <c r="H40" s="200"/>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0"/>
      <c r="AF40" s="200"/>
      <c r="AG40" s="200"/>
      <c r="AH40" s="200"/>
      <c r="AI40" s="200"/>
      <c r="AJ40" s="200"/>
      <c r="AK40" s="200"/>
      <c r="AL40" s="200"/>
      <c r="AM40" s="200"/>
      <c r="AN40" s="200"/>
      <c r="AO40" s="200"/>
      <c r="AP40" s="200"/>
      <c r="AQ40" s="200"/>
      <c r="AR40" s="200"/>
      <c r="AS40" s="200"/>
      <c r="AT40" s="200"/>
      <c r="AU40" s="200"/>
      <c r="AV40" s="200"/>
      <c r="AW40" s="200"/>
    </row>
    <row r="41" spans="1:49">
      <c r="A41" s="207"/>
      <c r="B41" s="195"/>
      <c r="C41" s="200"/>
      <c r="D41" s="200"/>
      <c r="E41" s="200"/>
      <c r="F41" s="200"/>
      <c r="G41" s="200"/>
      <c r="H41" s="200"/>
      <c r="I41" s="200"/>
      <c r="J41" s="200"/>
      <c r="K41" s="200"/>
      <c r="L41" s="200"/>
      <c r="M41" s="200"/>
      <c r="N41" s="200"/>
      <c r="O41" s="200"/>
      <c r="P41" s="200"/>
      <c r="Q41" s="200"/>
      <c r="R41" s="200"/>
      <c r="S41" s="200"/>
      <c r="T41" s="200"/>
      <c r="U41" s="200"/>
      <c r="V41" s="200"/>
      <c r="W41" s="200"/>
      <c r="X41" s="200"/>
      <c r="Y41" s="200"/>
      <c r="Z41" s="200"/>
      <c r="AA41" s="200"/>
      <c r="AB41" s="200"/>
      <c r="AC41" s="200"/>
      <c r="AD41" s="200"/>
      <c r="AE41" s="200"/>
      <c r="AF41" s="200"/>
      <c r="AG41" s="200"/>
      <c r="AH41" s="200"/>
      <c r="AI41" s="200"/>
      <c r="AJ41" s="200"/>
      <c r="AK41" s="200"/>
      <c r="AL41" s="200"/>
      <c r="AM41" s="200"/>
      <c r="AN41" s="200"/>
      <c r="AO41" s="200"/>
      <c r="AP41" s="200"/>
      <c r="AQ41" s="200"/>
      <c r="AR41" s="200"/>
      <c r="AS41" s="200"/>
      <c r="AT41" s="200"/>
      <c r="AU41" s="200"/>
      <c r="AV41" s="200"/>
      <c r="AW41" s="200"/>
    </row>
    <row r="42" spans="1:49">
      <c r="A42" s="206" t="s">
        <v>1020</v>
      </c>
      <c r="B42" s="197">
        <f>SUM(C42:AW42)</f>
        <v>-414115486.83999997</v>
      </c>
      <c r="C42" s="200"/>
      <c r="D42" s="200"/>
      <c r="E42" s="200"/>
      <c r="F42" s="200"/>
      <c r="G42" s="200"/>
      <c r="H42" s="200"/>
      <c r="I42" s="200"/>
      <c r="J42" s="200"/>
      <c r="K42" s="200"/>
      <c r="L42" s="200"/>
      <c r="M42" s="200">
        <f>-M6</f>
        <v>0</v>
      </c>
      <c r="N42" s="200">
        <f>-N6-N38-N19-N23</f>
        <v>-11573304.380000001</v>
      </c>
      <c r="O42" s="200">
        <f>-O6-O38</f>
        <v>-402542182.45999998</v>
      </c>
      <c r="P42" s="200"/>
      <c r="Q42" s="200"/>
      <c r="R42" s="200">
        <v>0</v>
      </c>
      <c r="S42" s="200"/>
      <c r="T42" s="200"/>
      <c r="U42" s="200"/>
      <c r="V42" s="200"/>
      <c r="W42" s="200"/>
      <c r="X42" s="200"/>
      <c r="Y42" s="200"/>
      <c r="Z42" s="200"/>
      <c r="AA42" s="200"/>
      <c r="AB42" s="200"/>
      <c r="AC42" s="200"/>
      <c r="AD42" s="200"/>
      <c r="AE42" s="200"/>
      <c r="AF42" s="200"/>
      <c r="AG42" s="200"/>
      <c r="AH42" s="200"/>
      <c r="AI42" s="200"/>
      <c r="AJ42" s="200"/>
      <c r="AK42" s="200"/>
      <c r="AL42" s="200"/>
      <c r="AM42" s="200"/>
      <c r="AN42" s="200"/>
      <c r="AO42" s="200"/>
      <c r="AP42" s="200"/>
      <c r="AQ42" s="200"/>
      <c r="AR42" s="200"/>
      <c r="AS42" s="200"/>
      <c r="AT42" s="200"/>
      <c r="AU42" s="200"/>
      <c r="AV42" s="200"/>
      <c r="AW42" s="200"/>
    </row>
    <row r="43" spans="1:49">
      <c r="A43" s="206" t="s">
        <v>1021</v>
      </c>
      <c r="B43" s="197">
        <f>SUM(C43:AW43)</f>
        <v>0</v>
      </c>
      <c r="C43" s="200"/>
      <c r="D43" s="197"/>
      <c r="E43" s="200"/>
      <c r="F43" s="200"/>
      <c r="G43" s="200"/>
      <c r="H43" s="197"/>
      <c r="I43" s="200"/>
      <c r="J43" s="200"/>
      <c r="K43" s="200"/>
      <c r="L43" s="200"/>
      <c r="M43" s="200"/>
      <c r="N43" s="200"/>
      <c r="O43" s="200"/>
      <c r="P43" s="200"/>
      <c r="Q43" s="200"/>
      <c r="R43" s="200"/>
      <c r="S43" s="200"/>
      <c r="T43" s="200"/>
      <c r="U43" s="200"/>
      <c r="V43" s="200"/>
      <c r="W43" s="200"/>
      <c r="X43" s="200"/>
      <c r="Y43" s="200"/>
      <c r="Z43" s="200"/>
      <c r="AA43" s="200"/>
      <c r="AB43" s="200"/>
      <c r="AC43" s="200"/>
      <c r="AD43" s="200"/>
      <c r="AE43" s="197"/>
      <c r="AF43" s="200"/>
      <c r="AG43" s="200"/>
      <c r="AH43" s="200"/>
      <c r="AI43" s="200"/>
      <c r="AJ43" s="200"/>
      <c r="AK43" s="200"/>
      <c r="AL43" s="200"/>
      <c r="AM43" s="200"/>
      <c r="AN43" s="200"/>
      <c r="AO43" s="200"/>
      <c r="AP43" s="200"/>
      <c r="AQ43" s="200"/>
      <c r="AR43" s="200"/>
      <c r="AS43" s="200"/>
      <c r="AT43" s="200"/>
      <c r="AU43" s="200"/>
      <c r="AV43" s="200"/>
      <c r="AW43" s="200"/>
    </row>
    <row r="44" spans="1:49">
      <c r="A44" s="206" t="s">
        <v>1022</v>
      </c>
      <c r="B44" s="197">
        <f>SUM(C44:AW44)</f>
        <v>0</v>
      </c>
      <c r="C44" s="200"/>
      <c r="D44" s="200"/>
      <c r="E44" s="200"/>
      <c r="F44" s="200"/>
      <c r="G44" s="200"/>
      <c r="H44" s="200"/>
      <c r="I44" s="200"/>
      <c r="J44" s="200"/>
      <c r="K44" s="200"/>
      <c r="L44" s="200"/>
      <c r="M44" s="200"/>
      <c r="N44" s="200"/>
      <c r="O44" s="200"/>
      <c r="P44" s="200"/>
      <c r="Q44" s="200">
        <f>-Q6-Q21</f>
        <v>0</v>
      </c>
      <c r="R44" s="200"/>
      <c r="S44" s="200"/>
      <c r="T44" s="200"/>
      <c r="U44" s="200"/>
      <c r="V44" s="200"/>
      <c r="W44" s="200"/>
      <c r="X44" s="200"/>
      <c r="Y44" s="200"/>
      <c r="Z44" s="200"/>
      <c r="AA44" s="200"/>
      <c r="AB44" s="200"/>
      <c r="AC44" s="200"/>
      <c r="AD44" s="200"/>
      <c r="AF44" s="200"/>
      <c r="AG44" s="200"/>
      <c r="AH44" s="200"/>
      <c r="AI44" s="200"/>
      <c r="AJ44" s="200"/>
      <c r="AK44" s="200"/>
      <c r="AL44" s="200"/>
      <c r="AM44" s="200"/>
      <c r="AN44" s="200"/>
      <c r="AO44" s="200"/>
      <c r="AP44" s="200"/>
      <c r="AQ44" s="200"/>
      <c r="AR44" s="200"/>
      <c r="AS44" s="200"/>
      <c r="AT44" s="200"/>
      <c r="AU44" s="200"/>
      <c r="AV44" s="200"/>
      <c r="AW44" s="200"/>
    </row>
    <row r="45" spans="1:49">
      <c r="A45" s="207" t="s">
        <v>1012</v>
      </c>
      <c r="B45" s="214">
        <f>SUM(B42:B44)</f>
        <v>-414115486.83999997</v>
      </c>
      <c r="C45" s="200"/>
      <c r="D45" s="200"/>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row>
    <row r="46" spans="1:49">
      <c r="A46" s="207"/>
      <c r="C46" s="200"/>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row>
    <row r="47" spans="1:49" ht="13.8" thickBot="1">
      <c r="A47" s="212" t="s">
        <v>1023</v>
      </c>
      <c r="B47" s="215">
        <f>B40+B45</f>
        <v>-417110411.75</v>
      </c>
      <c r="C47" s="200"/>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row>
    <row r="48" spans="1:49" ht="13.8" thickTop="1">
      <c r="A48" s="213"/>
      <c r="C48" s="200"/>
      <c r="D48" s="200"/>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c r="AE48" s="200"/>
      <c r="AF48" s="200"/>
      <c r="AG48" s="200"/>
      <c r="AH48" s="200"/>
      <c r="AI48" s="200"/>
      <c r="AJ48" s="200"/>
      <c r="AK48" s="200"/>
      <c r="AL48" s="200"/>
      <c r="AM48" s="200"/>
      <c r="AN48" s="200"/>
      <c r="AO48" s="200"/>
      <c r="AP48" s="200"/>
      <c r="AQ48" s="200"/>
      <c r="AR48" s="200"/>
      <c r="AS48" s="200"/>
      <c r="AT48" s="200"/>
      <c r="AU48" s="200"/>
      <c r="AV48" s="200"/>
      <c r="AW48" s="200"/>
    </row>
    <row r="49" spans="1:49">
      <c r="A49" s="212" t="s">
        <v>1024</v>
      </c>
      <c r="C49" s="200"/>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row>
    <row r="50" spans="1:49">
      <c r="A50" s="213"/>
      <c r="C50" s="200"/>
      <c r="D50" s="200"/>
      <c r="E50" s="200"/>
      <c r="F50" s="200"/>
      <c r="G50" s="200"/>
      <c r="H50" s="200"/>
      <c r="I50" s="200"/>
      <c r="J50" s="200"/>
      <c r="K50" s="200"/>
      <c r="L50" s="200"/>
      <c r="M50" s="200"/>
      <c r="N50" s="200"/>
      <c r="O50" s="200"/>
      <c r="P50" s="200"/>
      <c r="Q50" s="200"/>
      <c r="R50" s="200"/>
      <c r="S50" s="200"/>
      <c r="T50" s="200"/>
      <c r="U50" s="200"/>
      <c r="V50" s="200"/>
      <c r="W50" s="200"/>
      <c r="X50" s="200"/>
      <c r="Y50" s="200"/>
      <c r="Z50" s="200"/>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row>
    <row r="51" spans="1:49">
      <c r="A51" s="206" t="s">
        <v>1025</v>
      </c>
      <c r="B51" s="197">
        <f>SUM(C51:AW51)</f>
        <v>0</v>
      </c>
      <c r="C51" s="200"/>
      <c r="D51" s="200"/>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f>-AF51</f>
        <v>-158438000</v>
      </c>
      <c r="AE51" s="200"/>
      <c r="AF51" s="200">
        <f>-AF6</f>
        <v>158438000</v>
      </c>
      <c r="AG51" s="200">
        <f>-AG6</f>
        <v>0</v>
      </c>
      <c r="AH51" s="200"/>
      <c r="AI51" s="200"/>
      <c r="AJ51" s="200"/>
      <c r="AK51" s="200"/>
      <c r="AL51" s="200"/>
      <c r="AM51" s="200"/>
      <c r="AN51" s="200"/>
      <c r="AO51" s="200"/>
      <c r="AP51" s="200"/>
      <c r="AQ51" s="200"/>
      <c r="AR51" s="200"/>
      <c r="AS51" s="200"/>
      <c r="AT51" s="200"/>
      <c r="AU51" s="200"/>
      <c r="AV51" s="200"/>
      <c r="AW51" s="200"/>
    </row>
    <row r="52" spans="1:49">
      <c r="A52" s="206" t="s">
        <v>1026</v>
      </c>
      <c r="B52" s="197">
        <f>SUM(C52:AW52)</f>
        <v>0</v>
      </c>
      <c r="C52" s="200"/>
      <c r="D52" s="200"/>
      <c r="E52" s="200"/>
      <c r="F52" s="200"/>
      <c r="G52" s="200"/>
      <c r="H52" s="200"/>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0">
        <v>0</v>
      </c>
      <c r="AG52" s="200"/>
      <c r="AH52" s="200"/>
      <c r="AI52" s="200"/>
      <c r="AJ52" s="200"/>
      <c r="AK52" s="200"/>
      <c r="AL52" s="200"/>
      <c r="AM52" s="200"/>
      <c r="AN52" s="200"/>
      <c r="AO52" s="200"/>
      <c r="AP52" s="200"/>
      <c r="AQ52" s="200"/>
      <c r="AR52" s="200"/>
      <c r="AS52" s="200"/>
      <c r="AT52" s="200"/>
      <c r="AU52" s="200"/>
      <c r="AV52" s="200"/>
      <c r="AW52" s="200"/>
    </row>
    <row r="53" spans="1:49">
      <c r="A53" s="206" t="s">
        <v>1027</v>
      </c>
      <c r="B53" s="197">
        <f>SUM(C53:AW53)</f>
        <v>0</v>
      </c>
      <c r="C53" s="200"/>
      <c r="D53" s="200"/>
      <c r="E53" s="200"/>
      <c r="F53" s="200"/>
      <c r="G53" s="200"/>
      <c r="H53" s="200"/>
      <c r="I53" s="200"/>
      <c r="J53" s="200"/>
      <c r="K53" s="200"/>
      <c r="L53" s="200"/>
      <c r="M53" s="200"/>
      <c r="N53" s="200"/>
      <c r="O53" s="200"/>
      <c r="P53" s="200"/>
      <c r="Q53" s="200"/>
      <c r="R53" s="200"/>
      <c r="S53" s="200"/>
      <c r="T53" s="200"/>
      <c r="U53" s="200"/>
      <c r="V53" s="200"/>
      <c r="W53" s="200"/>
      <c r="X53" s="200"/>
      <c r="Y53" s="200"/>
      <c r="Z53" s="200"/>
      <c r="AA53" s="200"/>
      <c r="AB53" s="200"/>
      <c r="AC53" s="200"/>
      <c r="AD53" s="200"/>
      <c r="AE53" s="200"/>
      <c r="AF53" s="39"/>
      <c r="AG53" s="200"/>
      <c r="AH53" s="200"/>
      <c r="AI53" s="200"/>
      <c r="AJ53" s="200"/>
      <c r="AK53" s="200"/>
      <c r="AL53" s="200"/>
      <c r="AM53" s="200"/>
      <c r="AN53" s="200"/>
      <c r="AO53" s="200"/>
      <c r="AP53" s="200"/>
      <c r="AQ53" s="68">
        <f>-V53</f>
        <v>0</v>
      </c>
      <c r="AR53" s="200"/>
      <c r="AS53" s="200"/>
      <c r="AT53" s="200"/>
      <c r="AU53" s="200"/>
      <c r="AV53" s="200"/>
      <c r="AW53" s="200"/>
    </row>
    <row r="54" spans="1:49">
      <c r="A54" s="207" t="s">
        <v>1007</v>
      </c>
      <c r="B54" s="214">
        <f>SUM(B51:B53)</f>
        <v>0</v>
      </c>
      <c r="C54" s="200"/>
      <c r="D54" s="200"/>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c r="AE54" s="200"/>
      <c r="AF54" s="39"/>
      <c r="AG54" s="200"/>
      <c r="AH54" s="200"/>
      <c r="AI54" s="200"/>
      <c r="AJ54" s="200"/>
      <c r="AK54" s="200"/>
      <c r="AL54" s="200"/>
      <c r="AM54" s="200"/>
      <c r="AN54" s="200"/>
      <c r="AO54" s="200"/>
      <c r="AP54" s="200"/>
      <c r="AQ54" s="200"/>
      <c r="AR54" s="200"/>
      <c r="AS54" s="200"/>
      <c r="AT54" s="200"/>
      <c r="AU54" s="200"/>
      <c r="AV54" s="200"/>
      <c r="AW54" s="200"/>
    </row>
    <row r="55" spans="1:49">
      <c r="A55" s="207"/>
      <c r="C55" s="200"/>
      <c r="D55" s="200"/>
      <c r="E55" s="200"/>
      <c r="F55" s="200"/>
      <c r="G55" s="200"/>
      <c r="H55" s="200"/>
      <c r="I55" s="200"/>
      <c r="J55" s="200"/>
      <c r="K55" s="200"/>
      <c r="L55" s="200"/>
      <c r="M55" s="200"/>
      <c r="N55" s="200"/>
      <c r="O55" s="200"/>
      <c r="P55" s="200"/>
      <c r="Q55" s="200"/>
      <c r="R55" s="200"/>
      <c r="S55" s="200"/>
      <c r="T55" s="200"/>
      <c r="U55" s="200"/>
      <c r="V55" s="200"/>
      <c r="W55" s="200"/>
      <c r="X55" s="200"/>
      <c r="Y55" s="200"/>
      <c r="Z55" s="200"/>
      <c r="AA55" s="200"/>
      <c r="AB55" s="200"/>
      <c r="AC55" s="200"/>
      <c r="AD55" s="200"/>
      <c r="AE55" s="200"/>
      <c r="AF55" s="39"/>
      <c r="AG55" s="200"/>
      <c r="AH55" s="200"/>
      <c r="AI55" s="200"/>
      <c r="AJ55" s="200"/>
      <c r="AK55" s="200"/>
      <c r="AL55" s="200"/>
      <c r="AM55" s="200"/>
      <c r="AN55" s="200"/>
      <c r="AO55" s="200"/>
      <c r="AP55" s="200"/>
      <c r="AQ55" s="200"/>
      <c r="AR55" s="200"/>
      <c r="AS55" s="200"/>
      <c r="AT55" s="200"/>
      <c r="AU55" s="200"/>
      <c r="AV55" s="200"/>
      <c r="AW55" s="200"/>
    </row>
    <row r="56" spans="1:49">
      <c r="A56" s="206" t="s">
        <v>1028</v>
      </c>
      <c r="B56" s="197">
        <f>SUM(C56:AW56)</f>
        <v>0</v>
      </c>
      <c r="C56" s="200"/>
      <c r="D56" s="200"/>
      <c r="E56" s="200"/>
      <c r="F56" s="200"/>
      <c r="G56" s="200"/>
      <c r="H56" s="200"/>
      <c r="I56" s="200"/>
      <c r="J56" s="200"/>
      <c r="K56" s="200"/>
      <c r="L56" s="200"/>
      <c r="M56" s="200"/>
      <c r="N56" s="200"/>
      <c r="O56" s="200"/>
      <c r="P56" s="200"/>
      <c r="Q56" s="200"/>
      <c r="R56" s="200"/>
      <c r="S56" s="200"/>
      <c r="T56" s="200"/>
      <c r="U56" s="200">
        <f>-U6-U52</f>
        <v>0</v>
      </c>
      <c r="V56" s="200"/>
      <c r="W56" s="200"/>
      <c r="X56" s="200"/>
      <c r="Y56" s="200"/>
      <c r="Z56" s="200"/>
      <c r="AA56" s="200"/>
      <c r="AB56" s="200"/>
      <c r="AC56" s="200"/>
      <c r="AD56" s="200"/>
      <c r="AE56" s="200"/>
      <c r="AF56" s="39"/>
      <c r="AG56" s="200"/>
      <c r="AH56" s="200"/>
      <c r="AI56" s="200"/>
      <c r="AJ56" s="200"/>
      <c r="AK56" s="200"/>
      <c r="AL56" s="200"/>
      <c r="AM56" s="200"/>
      <c r="AN56" s="200"/>
      <c r="AO56" s="200"/>
      <c r="AP56" s="200"/>
      <c r="AQ56" s="200"/>
      <c r="AR56" s="200"/>
      <c r="AS56" s="200"/>
      <c r="AT56" s="200"/>
      <c r="AU56" s="200"/>
      <c r="AV56" s="200"/>
      <c r="AW56" s="200"/>
    </row>
    <row r="57" spans="1:49">
      <c r="A57" s="206" t="s">
        <v>1029</v>
      </c>
      <c r="B57" s="197">
        <f>SUM(C57:AW57)</f>
        <v>-10385326.310000001</v>
      </c>
      <c r="C57" s="200"/>
      <c r="D57" s="200"/>
      <c r="E57" s="200"/>
      <c r="F57" s="200"/>
      <c r="G57" s="200"/>
      <c r="H57" s="200"/>
      <c r="I57" s="200"/>
      <c r="J57" s="200"/>
      <c r="K57" s="200"/>
      <c r="L57" s="200"/>
      <c r="M57" s="200"/>
      <c r="N57" s="200"/>
      <c r="O57" s="200"/>
      <c r="P57" s="200"/>
      <c r="Q57" s="200"/>
      <c r="R57" s="200"/>
      <c r="S57" s="200"/>
      <c r="T57" s="200"/>
      <c r="U57" s="200"/>
      <c r="V57" s="200">
        <f>-V6</f>
        <v>1275050.8700000001</v>
      </c>
      <c r="W57" s="200"/>
      <c r="X57" s="200"/>
      <c r="Y57" s="200"/>
      <c r="Z57" s="200"/>
      <c r="AA57" s="200"/>
      <c r="AB57" s="200"/>
      <c r="AC57" s="39"/>
      <c r="AD57" s="200"/>
      <c r="AE57" s="200"/>
      <c r="AF57" s="39"/>
      <c r="AG57" s="200"/>
      <c r="AH57" s="200"/>
      <c r="AI57" s="200"/>
      <c r="AJ57" s="39"/>
      <c r="AK57" s="200"/>
      <c r="AL57" s="200"/>
      <c r="AM57" s="200"/>
      <c r="AN57" s="200"/>
      <c r="AO57" s="200"/>
      <c r="AP57" s="200"/>
      <c r="AQ57" s="200">
        <f>-9615258.46</f>
        <v>-9615258.4600000009</v>
      </c>
      <c r="AR57" s="200"/>
      <c r="AS57" s="148">
        <f>-2045118.72</f>
        <v>-2045118.72</v>
      </c>
      <c r="AT57" s="200"/>
      <c r="AU57" s="200"/>
      <c r="AV57" s="200"/>
      <c r="AW57" s="200"/>
    </row>
    <row r="58" spans="1:49">
      <c r="A58" s="206" t="s">
        <v>1030</v>
      </c>
      <c r="B58" s="197">
        <f>SUM(C58:AW58)</f>
        <v>0</v>
      </c>
      <c r="C58" s="200"/>
      <c r="D58" s="200"/>
      <c r="E58" s="200"/>
      <c r="F58" s="200"/>
      <c r="G58" s="200"/>
      <c r="H58" s="200"/>
      <c r="I58" s="200"/>
      <c r="J58" s="200"/>
      <c r="K58" s="200"/>
      <c r="L58" s="200"/>
      <c r="M58" s="200"/>
      <c r="N58" s="200"/>
      <c r="O58" s="200"/>
      <c r="P58" s="200"/>
      <c r="Q58" s="200"/>
      <c r="R58" s="200"/>
      <c r="S58" s="200"/>
      <c r="T58" s="200"/>
      <c r="U58" s="200"/>
      <c r="W58" s="200"/>
      <c r="X58" s="200"/>
      <c r="Y58" s="200"/>
      <c r="Z58" s="200"/>
      <c r="AA58" s="200"/>
      <c r="AB58" s="200"/>
      <c r="AC58" s="200"/>
      <c r="AD58" s="200"/>
      <c r="AE58" s="200"/>
      <c r="AF58" s="39"/>
      <c r="AG58" s="200"/>
      <c r="AH58" s="200"/>
      <c r="AI58" s="200"/>
      <c r="AJ58" s="200"/>
      <c r="AK58" s="200"/>
      <c r="AL58" s="200"/>
      <c r="AM58" s="200"/>
      <c r="AN58" s="200"/>
      <c r="AO58" s="200"/>
      <c r="AP58" s="200"/>
      <c r="AR58" s="200"/>
      <c r="AS58" s="200"/>
      <c r="AT58" s="200"/>
      <c r="AU58" s="200"/>
      <c r="AV58" s="200"/>
      <c r="AW58" s="200"/>
    </row>
    <row r="59" spans="1:49">
      <c r="A59" s="206" t="s">
        <v>1031</v>
      </c>
      <c r="B59" s="197">
        <f>SUM(C59:AW59)</f>
        <v>0</v>
      </c>
      <c r="C59" s="200"/>
      <c r="D59" s="200"/>
      <c r="E59" s="200"/>
      <c r="F59" s="200"/>
      <c r="G59" s="200"/>
      <c r="H59" s="200"/>
      <c r="I59" s="200"/>
      <c r="J59" s="200"/>
      <c r="K59" s="200"/>
      <c r="L59" s="200"/>
      <c r="M59" s="200"/>
      <c r="N59" s="200"/>
      <c r="O59" s="200"/>
      <c r="P59" s="200"/>
      <c r="Q59" s="200"/>
      <c r="R59" s="200"/>
      <c r="S59" s="200"/>
      <c r="T59" s="200"/>
      <c r="U59" s="200"/>
      <c r="V59" s="200"/>
      <c r="W59" s="200"/>
      <c r="X59" s="200"/>
      <c r="Y59" s="200"/>
      <c r="Z59" s="200"/>
      <c r="AA59" s="200"/>
      <c r="AB59" s="200"/>
      <c r="AC59" s="200"/>
      <c r="AD59" s="200"/>
      <c r="AE59" s="200"/>
      <c r="AF59" s="39"/>
      <c r="AG59" s="200"/>
      <c r="AH59" s="200"/>
      <c r="AI59" s="200"/>
      <c r="AJ59" s="200"/>
      <c r="AK59" s="200"/>
      <c r="AL59" s="200"/>
      <c r="AM59" s="200"/>
      <c r="AN59" s="200"/>
      <c r="AO59" s="200"/>
      <c r="AP59" s="200"/>
      <c r="AQ59" s="200"/>
      <c r="AR59" s="200"/>
      <c r="AS59" s="200"/>
      <c r="AT59" s="200"/>
      <c r="AU59" s="200"/>
      <c r="AV59" s="200"/>
      <c r="AW59" s="200"/>
    </row>
    <row r="60" spans="1:49">
      <c r="A60" s="207" t="s">
        <v>1012</v>
      </c>
      <c r="B60" s="214">
        <f>SUM(B56:B59)</f>
        <v>-10385326.310000001</v>
      </c>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200"/>
      <c r="AA60" s="200"/>
      <c r="AB60" s="200"/>
      <c r="AC60" s="200"/>
      <c r="AD60" s="200"/>
      <c r="AE60" s="200"/>
      <c r="AF60" s="39"/>
      <c r="AG60" s="200"/>
      <c r="AH60" s="200"/>
      <c r="AI60" s="200"/>
      <c r="AJ60" s="200"/>
      <c r="AK60" s="200"/>
      <c r="AL60" s="200"/>
      <c r="AM60" s="200"/>
      <c r="AN60" s="200"/>
      <c r="AO60" s="200"/>
      <c r="AP60" s="200"/>
      <c r="AQ60" s="200"/>
      <c r="AR60" s="200"/>
      <c r="AS60" s="200"/>
      <c r="AT60" s="200"/>
      <c r="AU60" s="200"/>
      <c r="AV60" s="200"/>
      <c r="AW60" s="200"/>
    </row>
    <row r="61" spans="1:49">
      <c r="A61" s="207"/>
      <c r="B61" s="195"/>
      <c r="C61" s="200"/>
      <c r="D61" s="200"/>
      <c r="E61" s="200"/>
      <c r="F61" s="200"/>
      <c r="G61" s="200"/>
      <c r="H61" s="200"/>
      <c r="I61" s="200"/>
      <c r="J61" s="200"/>
      <c r="K61" s="200"/>
      <c r="L61" s="200"/>
      <c r="M61" s="200"/>
      <c r="N61" s="200"/>
      <c r="O61" s="200"/>
      <c r="P61" s="200"/>
      <c r="Q61" s="200"/>
      <c r="R61" s="200"/>
      <c r="S61" s="200"/>
      <c r="T61" s="200"/>
      <c r="U61" s="200"/>
      <c r="V61" s="200"/>
      <c r="W61" s="200"/>
      <c r="X61" s="200"/>
      <c r="Y61" s="200"/>
      <c r="Z61" s="200"/>
      <c r="AA61" s="200"/>
      <c r="AB61" s="200"/>
      <c r="AC61" s="200"/>
      <c r="AD61" s="200"/>
      <c r="AE61" s="200"/>
      <c r="AF61" s="39"/>
      <c r="AG61" s="200"/>
      <c r="AH61" s="200"/>
      <c r="AI61" s="200"/>
      <c r="AJ61" s="200"/>
      <c r="AK61" s="200"/>
      <c r="AL61" s="200"/>
      <c r="AM61" s="200"/>
      <c r="AN61" s="200"/>
      <c r="AO61" s="200"/>
      <c r="AP61" s="200"/>
      <c r="AQ61" s="200"/>
      <c r="AR61" s="200"/>
      <c r="AS61" s="200"/>
      <c r="AT61" s="200"/>
      <c r="AU61" s="200"/>
      <c r="AV61" s="200"/>
      <c r="AW61" s="200"/>
    </row>
    <row r="62" spans="1:49" ht="13.8" thickBot="1">
      <c r="A62" s="212" t="s">
        <v>1032</v>
      </c>
      <c r="B62" s="215">
        <f>B54+B60</f>
        <v>-10385326.310000001</v>
      </c>
      <c r="C62" s="200"/>
      <c r="D62" s="200"/>
      <c r="E62" s="200"/>
      <c r="F62" s="200"/>
      <c r="G62" s="200"/>
      <c r="H62" s="200"/>
      <c r="I62" s="200"/>
      <c r="J62" s="200"/>
      <c r="K62" s="200"/>
      <c r="L62" s="200"/>
      <c r="M62" s="200"/>
      <c r="N62" s="200"/>
      <c r="O62" s="200"/>
      <c r="P62" s="200"/>
      <c r="Q62" s="200"/>
      <c r="R62" s="200"/>
      <c r="S62" s="200"/>
      <c r="T62" s="200"/>
      <c r="U62" s="200"/>
      <c r="V62" s="200"/>
      <c r="W62" s="200"/>
      <c r="X62" s="200"/>
      <c r="Y62" s="200"/>
      <c r="Z62" s="200"/>
      <c r="AA62" s="200"/>
      <c r="AB62" s="200"/>
      <c r="AC62" s="200"/>
      <c r="AD62" s="200"/>
      <c r="AE62" s="200"/>
      <c r="AF62" s="39"/>
      <c r="AG62" s="200"/>
      <c r="AH62" s="200"/>
      <c r="AI62" s="200"/>
      <c r="AJ62" s="200"/>
      <c r="AK62" s="200"/>
      <c r="AL62" s="200"/>
      <c r="AM62" s="200"/>
      <c r="AN62" s="200"/>
      <c r="AO62" s="200"/>
      <c r="AP62" s="200"/>
      <c r="AQ62" s="200"/>
      <c r="AR62" s="200"/>
      <c r="AS62" s="200"/>
      <c r="AT62" s="200"/>
      <c r="AU62" s="200"/>
      <c r="AV62" s="200"/>
      <c r="AW62" s="200"/>
    </row>
    <row r="63" spans="1:49" ht="13.8" thickTop="1">
      <c r="A63" s="207"/>
      <c r="C63" s="200"/>
      <c r="D63" s="200"/>
      <c r="E63" s="200"/>
      <c r="F63" s="200"/>
      <c r="G63" s="200"/>
      <c r="H63" s="200"/>
      <c r="I63" s="200"/>
      <c r="J63" s="200"/>
      <c r="K63" s="200"/>
      <c r="L63" s="200"/>
      <c r="M63" s="200"/>
      <c r="N63" s="200"/>
      <c r="O63" s="200"/>
      <c r="P63" s="200"/>
      <c r="Q63" s="200"/>
      <c r="R63" s="200"/>
      <c r="S63" s="200"/>
      <c r="T63" s="200"/>
      <c r="U63" s="200"/>
      <c r="V63" s="200"/>
      <c r="W63" s="200"/>
      <c r="X63" s="200"/>
      <c r="Y63" s="200"/>
      <c r="Z63" s="200"/>
      <c r="AA63" s="200"/>
      <c r="AB63" s="200"/>
      <c r="AC63" s="200"/>
      <c r="AD63" s="200"/>
      <c r="AE63" s="200"/>
      <c r="AF63" s="200"/>
      <c r="AG63" s="200"/>
      <c r="AH63" s="200"/>
      <c r="AI63" s="200"/>
      <c r="AJ63" s="200"/>
      <c r="AK63" s="200"/>
      <c r="AL63" s="200"/>
      <c r="AM63" s="200"/>
      <c r="AN63" s="200"/>
      <c r="AO63" s="200"/>
      <c r="AP63" s="200"/>
      <c r="AQ63" s="200"/>
      <c r="AR63" s="200"/>
      <c r="AS63" s="200"/>
      <c r="AT63" s="200"/>
      <c r="AU63" s="200"/>
      <c r="AV63" s="200"/>
      <c r="AW63" s="200"/>
    </row>
    <row r="64" spans="1:49">
      <c r="A64" s="212" t="s">
        <v>1033</v>
      </c>
      <c r="B64" s="197">
        <f>SUM(C64:AW64)</f>
        <v>0</v>
      </c>
      <c r="C64" s="200"/>
      <c r="D64" s="200"/>
      <c r="E64" s="200"/>
      <c r="F64" s="200"/>
      <c r="G64" s="200"/>
      <c r="H64" s="200"/>
      <c r="I64" s="200"/>
      <c r="J64" s="200"/>
      <c r="K64" s="200"/>
      <c r="L64" s="200"/>
      <c r="M64" s="200"/>
      <c r="N64" s="200"/>
      <c r="O64" s="200"/>
      <c r="P64" s="200"/>
      <c r="Q64" s="200"/>
      <c r="R64" s="200"/>
      <c r="S64" s="200"/>
      <c r="T64" s="200"/>
      <c r="U64" s="200"/>
      <c r="V64" s="200"/>
      <c r="W64" s="200"/>
      <c r="X64" s="200"/>
      <c r="Y64" s="200"/>
      <c r="Z64" s="200"/>
      <c r="AA64" s="200"/>
      <c r="AB64" s="200"/>
      <c r="AC64" s="200"/>
      <c r="AD64" s="200"/>
      <c r="AE64" s="200"/>
      <c r="AF64" s="200"/>
      <c r="AG64" s="200"/>
      <c r="AH64" s="200"/>
      <c r="AI64" s="200"/>
      <c r="AJ64" s="200"/>
      <c r="AK64" s="200"/>
      <c r="AL64" s="200"/>
      <c r="AM64" s="200"/>
      <c r="AN64" s="200"/>
      <c r="AO64" s="200"/>
      <c r="AP64" s="200"/>
      <c r="AQ64" s="200"/>
      <c r="AR64" s="200"/>
      <c r="AS64" s="200"/>
      <c r="AT64" s="200"/>
      <c r="AU64" s="200"/>
      <c r="AV64" s="200"/>
      <c r="AW64" s="200"/>
    </row>
    <row r="65" spans="1:49">
      <c r="A65" s="213"/>
      <c r="C65" s="200"/>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200"/>
      <c r="AB65" s="200"/>
      <c r="AC65" s="200"/>
      <c r="AD65" s="200"/>
      <c r="AE65" s="200"/>
      <c r="AF65" s="200"/>
      <c r="AG65" s="200"/>
      <c r="AH65" s="200"/>
      <c r="AI65" s="200"/>
      <c r="AJ65" s="200"/>
      <c r="AK65" s="200"/>
      <c r="AL65" s="200"/>
      <c r="AM65" s="200"/>
      <c r="AN65" s="200"/>
      <c r="AO65" s="200"/>
      <c r="AP65" s="200"/>
      <c r="AQ65" s="200"/>
      <c r="AR65" s="200"/>
      <c r="AS65" s="200"/>
      <c r="AT65" s="200"/>
      <c r="AU65" s="200"/>
      <c r="AV65" s="200"/>
      <c r="AW65" s="200"/>
    </row>
    <row r="66" spans="1:49" ht="13.8" thickBot="1">
      <c r="A66" s="212" t="s">
        <v>1034</v>
      </c>
      <c r="B66" s="215">
        <f>SUM(B32,B47,B62,B64)</f>
        <v>-292373765.81462395</v>
      </c>
      <c r="C66" s="200">
        <f>-C6</f>
        <v>-18233680.629999999</v>
      </c>
      <c r="D66" s="200"/>
      <c r="E66" s="200"/>
      <c r="F66" s="200"/>
      <c r="G66" s="200"/>
      <c r="H66" s="200"/>
      <c r="I66" s="200"/>
      <c r="J66" s="200"/>
      <c r="K66" s="200"/>
      <c r="L66" s="200"/>
      <c r="M66" s="200"/>
      <c r="N66" s="200"/>
      <c r="O66" s="200"/>
      <c r="P66" s="200"/>
      <c r="Q66" s="200"/>
      <c r="R66" s="200"/>
      <c r="S66" s="200"/>
      <c r="T66" s="200"/>
      <c r="U66" s="200"/>
      <c r="V66" s="200"/>
      <c r="W66" s="200"/>
      <c r="X66" s="200"/>
      <c r="Y66" s="200"/>
      <c r="Z66" s="200"/>
      <c r="AA66" s="200"/>
      <c r="AB66" s="200"/>
      <c r="AC66" s="200"/>
      <c r="AD66" s="200"/>
      <c r="AE66" s="200"/>
      <c r="AF66" s="200"/>
      <c r="AG66" s="200"/>
      <c r="AH66" s="200"/>
      <c r="AI66" s="200"/>
      <c r="AJ66" s="200"/>
      <c r="AK66" s="200"/>
      <c r="AL66" s="200"/>
      <c r="AM66" s="200"/>
      <c r="AN66" s="200"/>
      <c r="AO66" s="200"/>
      <c r="AP66" s="200"/>
      <c r="AQ66" s="200"/>
      <c r="AR66" s="200"/>
      <c r="AS66" s="200"/>
      <c r="AT66" s="200"/>
      <c r="AU66" s="200"/>
      <c r="AV66" s="200"/>
      <c r="AW66" s="200"/>
    </row>
    <row r="67" spans="1:49" ht="13.8" thickTop="1">
      <c r="A67" s="213"/>
      <c r="C67" s="68"/>
      <c r="D67" s="200"/>
      <c r="E67" s="200"/>
      <c r="F67" s="200"/>
      <c r="G67" s="200"/>
      <c r="H67" s="200"/>
      <c r="I67" s="200"/>
      <c r="J67" s="200"/>
      <c r="K67" s="200"/>
      <c r="L67" s="200"/>
      <c r="M67" s="200"/>
      <c r="N67" s="200"/>
      <c r="O67" s="200"/>
      <c r="P67" s="200"/>
      <c r="Q67" s="200"/>
      <c r="R67" s="200"/>
      <c r="S67" s="200"/>
      <c r="T67" s="200"/>
      <c r="U67" s="200"/>
      <c r="V67" s="200"/>
      <c r="W67" s="200"/>
      <c r="X67" s="200"/>
      <c r="Y67" s="200"/>
      <c r="Z67" s="200"/>
      <c r="AA67" s="200"/>
      <c r="AB67" s="200"/>
      <c r="AC67" s="200"/>
      <c r="AD67" s="200"/>
      <c r="AE67" s="200"/>
      <c r="AF67" s="200"/>
      <c r="AG67" s="200"/>
      <c r="AH67" s="200"/>
      <c r="AI67" s="200"/>
      <c r="AJ67" s="200"/>
      <c r="AK67" s="200"/>
      <c r="AL67" s="200"/>
      <c r="AM67" s="200"/>
      <c r="AN67" s="200"/>
      <c r="AO67" s="200"/>
      <c r="AP67" s="200"/>
      <c r="AQ67" s="200"/>
      <c r="AR67" s="200"/>
      <c r="AS67" s="200"/>
      <c r="AT67" s="200"/>
      <c r="AU67" s="200"/>
      <c r="AV67" s="200"/>
      <c r="AW67" s="200"/>
    </row>
    <row r="68" spans="1:49">
      <c r="A68" s="213" t="s">
        <v>207</v>
      </c>
      <c r="B68" s="197">
        <f>B66-C6</f>
        <v>-310607446.44462395</v>
      </c>
      <c r="C68" s="216">
        <f t="shared" ref="C68:AW68" si="3">SUM(C6:C66)</f>
        <v>0</v>
      </c>
      <c r="D68" s="216">
        <f t="shared" si="3"/>
        <v>5870751.080000001</v>
      </c>
      <c r="E68" s="216">
        <f t="shared" si="3"/>
        <v>0</v>
      </c>
      <c r="F68" s="216">
        <f t="shared" si="3"/>
        <v>0</v>
      </c>
      <c r="G68" s="216">
        <f t="shared" si="3"/>
        <v>0</v>
      </c>
      <c r="H68" s="216">
        <f t="shared" si="3"/>
        <v>0</v>
      </c>
      <c r="I68" s="216">
        <f t="shared" si="3"/>
        <v>0</v>
      </c>
      <c r="J68" s="216">
        <f t="shared" si="3"/>
        <v>0</v>
      </c>
      <c r="K68" s="216">
        <f t="shared" si="3"/>
        <v>0</v>
      </c>
      <c r="L68" s="216">
        <f t="shared" si="3"/>
        <v>0</v>
      </c>
      <c r="M68" s="216">
        <f t="shared" si="3"/>
        <v>0</v>
      </c>
      <c r="N68" s="216">
        <f t="shared" si="3"/>
        <v>0</v>
      </c>
      <c r="O68" s="216">
        <f t="shared" si="3"/>
        <v>0</v>
      </c>
      <c r="P68" s="216">
        <f t="shared" si="3"/>
        <v>6.5483618527650833E-9</v>
      </c>
      <c r="Q68" s="216">
        <f t="shared" si="3"/>
        <v>0</v>
      </c>
      <c r="R68" s="216">
        <f t="shared" si="3"/>
        <v>0</v>
      </c>
      <c r="S68" s="216">
        <f t="shared" si="3"/>
        <v>0</v>
      </c>
      <c r="T68" s="216">
        <f t="shared" si="3"/>
        <v>0</v>
      </c>
      <c r="U68" s="216">
        <f t="shared" si="3"/>
        <v>0</v>
      </c>
      <c r="V68" s="216">
        <f t="shared" si="3"/>
        <v>0</v>
      </c>
      <c r="W68" s="216">
        <f t="shared" si="3"/>
        <v>0</v>
      </c>
      <c r="X68" s="216">
        <f t="shared" si="3"/>
        <v>0</v>
      </c>
      <c r="Y68" s="216">
        <f t="shared" si="3"/>
        <v>0</v>
      </c>
      <c r="Z68" s="216">
        <f t="shared" si="3"/>
        <v>0</v>
      </c>
      <c r="AA68" s="216">
        <f t="shared" si="3"/>
        <v>0</v>
      </c>
      <c r="AB68" s="216">
        <f t="shared" si="3"/>
        <v>-2.7939677238464355E-9</v>
      </c>
      <c r="AC68" s="216">
        <f t="shared" si="3"/>
        <v>0</v>
      </c>
      <c r="AD68" s="216">
        <f t="shared" si="3"/>
        <v>0</v>
      </c>
      <c r="AE68" s="216">
        <f t="shared" si="3"/>
        <v>0</v>
      </c>
      <c r="AF68" s="216">
        <f t="shared" si="3"/>
        <v>0</v>
      </c>
      <c r="AG68" s="216">
        <f t="shared" si="3"/>
        <v>0</v>
      </c>
      <c r="AH68" s="216">
        <f t="shared" si="3"/>
        <v>0</v>
      </c>
      <c r="AI68" s="216">
        <f t="shared" si="3"/>
        <v>0</v>
      </c>
      <c r="AJ68" s="216">
        <f t="shared" si="3"/>
        <v>0</v>
      </c>
      <c r="AK68" s="216">
        <f t="shared" si="3"/>
        <v>281468957.454624</v>
      </c>
      <c r="AL68" s="216">
        <f t="shared" si="3"/>
        <v>0</v>
      </c>
      <c r="AM68" s="216">
        <f t="shared" si="3"/>
        <v>0</v>
      </c>
      <c r="AN68" s="216">
        <f t="shared" si="3"/>
        <v>0</v>
      </c>
      <c r="AO68" s="216">
        <f t="shared" si="3"/>
        <v>0</v>
      </c>
      <c r="AP68" s="216">
        <f t="shared" si="3"/>
        <v>0</v>
      </c>
      <c r="AQ68" s="216">
        <f t="shared" si="3"/>
        <v>0</v>
      </c>
      <c r="AR68" s="216">
        <f t="shared" si="3"/>
        <v>-25490463.609999999</v>
      </c>
      <c r="AS68" s="216">
        <f t="shared" si="3"/>
        <v>0</v>
      </c>
      <c r="AT68" s="216">
        <f t="shared" si="3"/>
        <v>0</v>
      </c>
      <c r="AU68" s="216">
        <f t="shared" si="3"/>
        <v>0</v>
      </c>
      <c r="AV68" s="216">
        <f t="shared" si="3"/>
        <v>0</v>
      </c>
      <c r="AW68" s="216">
        <f t="shared" si="3"/>
        <v>0</v>
      </c>
    </row>
    <row r="69" spans="1:49">
      <c r="A69" s="213"/>
      <c r="C69" s="200"/>
      <c r="D69" s="200"/>
      <c r="E69" s="200"/>
      <c r="F69" s="200"/>
      <c r="G69" s="200"/>
      <c r="H69" s="200"/>
      <c r="I69" s="200"/>
      <c r="J69" s="200"/>
      <c r="K69" s="200"/>
      <c r="L69" s="200"/>
      <c r="M69" s="200"/>
      <c r="N69" s="200"/>
      <c r="O69" s="200"/>
      <c r="P69" s="200"/>
      <c r="Q69" s="200"/>
      <c r="R69" s="200"/>
      <c r="S69" s="200"/>
      <c r="T69" s="200"/>
      <c r="U69" s="200"/>
      <c r="V69" s="200"/>
      <c r="W69" s="200"/>
      <c r="X69" s="200"/>
      <c r="Y69" s="200"/>
      <c r="Z69" s="200"/>
      <c r="AA69" s="200"/>
      <c r="AB69" s="200"/>
      <c r="AC69" s="200"/>
      <c r="AD69" s="200"/>
      <c r="AE69" s="200"/>
      <c r="AF69" s="200"/>
      <c r="AG69" s="200"/>
      <c r="AH69" s="200"/>
      <c r="AI69" s="200"/>
      <c r="AJ69" s="200"/>
      <c r="AK69" s="200"/>
      <c r="AL69" s="200"/>
      <c r="AM69" s="200"/>
      <c r="AN69" s="200"/>
      <c r="AO69" s="200"/>
      <c r="AP69" s="200"/>
      <c r="AQ69" s="200"/>
      <c r="AR69" s="200"/>
      <c r="AS69" s="200"/>
      <c r="AT69" s="200"/>
      <c r="AU69" s="200"/>
      <c r="AV69" s="200"/>
      <c r="AW69" s="200"/>
    </row>
    <row r="70" spans="1:49">
      <c r="A70" s="211" t="s">
        <v>1035</v>
      </c>
      <c r="B70" s="195">
        <f>SUM(B69:B69)</f>
        <v>0</v>
      </c>
      <c r="C70" s="200"/>
      <c r="D70" s="200"/>
      <c r="E70" s="200"/>
      <c r="F70" s="200"/>
      <c r="G70" s="200"/>
      <c r="H70" s="200"/>
      <c r="I70" s="200"/>
      <c r="J70" s="200"/>
      <c r="K70" s="200"/>
      <c r="L70" s="200"/>
      <c r="M70" s="200"/>
      <c r="N70" s="200"/>
      <c r="O70" s="200"/>
      <c r="P70" s="200"/>
      <c r="Q70" s="200"/>
      <c r="R70" s="200"/>
      <c r="S70" s="200"/>
      <c r="T70" s="200"/>
      <c r="U70" s="200"/>
      <c r="V70" s="200"/>
      <c r="W70" s="200"/>
      <c r="X70" s="200"/>
      <c r="Y70" s="200"/>
      <c r="Z70" s="200"/>
      <c r="AA70" s="200"/>
      <c r="AB70" s="200"/>
      <c r="AC70" s="200"/>
      <c r="AD70" s="200"/>
      <c r="AE70" s="200"/>
      <c r="AF70" s="200"/>
      <c r="AG70" s="200"/>
      <c r="AH70" s="200"/>
      <c r="AI70" s="200"/>
      <c r="AJ70" s="200"/>
      <c r="AK70" s="200"/>
      <c r="AL70" s="200"/>
      <c r="AM70" s="200"/>
      <c r="AN70" s="200"/>
      <c r="AO70" s="200"/>
      <c r="AP70" s="200"/>
      <c r="AQ70" s="200"/>
      <c r="AR70" s="200"/>
      <c r="AS70" s="200"/>
      <c r="AT70" s="200"/>
      <c r="AU70" s="200"/>
      <c r="AV70" s="200"/>
      <c r="AW70" s="200"/>
    </row>
    <row r="71" spans="1:49">
      <c r="A71" s="213" t="s">
        <v>208</v>
      </c>
      <c r="B71" s="195">
        <f>SUM(C71:AW71)</f>
        <v>21742393.599999949</v>
      </c>
      <c r="C71" s="200"/>
      <c r="D71" s="200"/>
      <c r="E71" s="200"/>
      <c r="F71" s="200"/>
      <c r="G71" s="200"/>
      <c r="H71" s="200"/>
      <c r="I71" s="200"/>
      <c r="J71" s="200"/>
      <c r="K71" s="200"/>
      <c r="L71" s="200"/>
      <c r="M71" s="200"/>
      <c r="N71" s="200"/>
      <c r="O71" s="200"/>
      <c r="P71" s="200"/>
      <c r="Q71" s="200"/>
      <c r="R71" s="200"/>
      <c r="S71" s="200"/>
      <c r="T71" s="200"/>
      <c r="U71" s="200"/>
      <c r="V71" s="200"/>
      <c r="W71" s="200"/>
      <c r="X71" s="200"/>
      <c r="Y71" s="200"/>
      <c r="Z71" s="200"/>
      <c r="AA71" s="200"/>
      <c r="AB71" s="200"/>
      <c r="AC71" s="200"/>
      <c r="AD71" s="200"/>
      <c r="AE71" s="200"/>
      <c r="AF71" s="200"/>
      <c r="AG71" s="200"/>
      <c r="AH71" s="200"/>
      <c r="AI71" s="200">
        <f>AI28</f>
        <v>0</v>
      </c>
      <c r="AJ71" s="200">
        <f>AJ28</f>
        <v>28748158.049999937</v>
      </c>
      <c r="AK71" s="200"/>
      <c r="AL71" s="200">
        <f>-AL6</f>
        <v>369791108.20999998</v>
      </c>
      <c r="AM71" s="200">
        <f>-AM6</f>
        <v>-3218305.63</v>
      </c>
      <c r="AN71" s="200">
        <f>-AN6</f>
        <v>-260345099.65000001</v>
      </c>
      <c r="AO71" s="200">
        <f>-AO6</f>
        <v>-30751155.050000001</v>
      </c>
      <c r="AP71" s="200">
        <f>-AP6-AP77</f>
        <v>-44997610.850000001</v>
      </c>
      <c r="AQ71" s="200">
        <f t="shared" ref="AQ71:AW71" si="4">-AQ6</f>
        <v>-7690523.5700000003</v>
      </c>
      <c r="AR71" s="200">
        <f t="shared" si="4"/>
        <v>0</v>
      </c>
      <c r="AS71" s="200">
        <f t="shared" si="4"/>
        <v>3894380.65</v>
      </c>
      <c r="AT71" s="200">
        <f t="shared" si="4"/>
        <v>366951.97</v>
      </c>
      <c r="AU71" s="200">
        <f t="shared" si="4"/>
        <v>-497424.54</v>
      </c>
      <c r="AV71" s="200">
        <f t="shared" si="4"/>
        <v>-5915000</v>
      </c>
      <c r="AW71" s="200">
        <f t="shared" si="4"/>
        <v>-27643085.98999998</v>
      </c>
    </row>
    <row r="72" spans="1:49">
      <c r="A72" s="213" t="s">
        <v>209</v>
      </c>
      <c r="B72" s="195">
        <f t="shared" ref="B72:B76" si="5">SUM(C72:AW72)</f>
        <v>0</v>
      </c>
      <c r="C72" s="200"/>
      <c r="D72" s="200"/>
      <c r="E72" s="200"/>
      <c r="F72" s="200"/>
      <c r="G72" s="200"/>
      <c r="H72" s="200"/>
      <c r="I72" s="200"/>
      <c r="J72" s="200"/>
      <c r="K72" s="200"/>
      <c r="L72" s="200"/>
      <c r="M72" s="200"/>
      <c r="N72" s="200"/>
      <c r="O72" s="200"/>
      <c r="P72" s="200"/>
      <c r="Q72" s="200"/>
      <c r="R72" s="200"/>
      <c r="S72" s="200"/>
      <c r="T72" s="200"/>
      <c r="U72" s="200"/>
      <c r="V72" s="200"/>
      <c r="W72" s="200"/>
      <c r="X72" s="200"/>
      <c r="Y72" s="200"/>
      <c r="Z72" s="200"/>
      <c r="AA72" s="200"/>
      <c r="AB72" s="200"/>
      <c r="AC72" s="200"/>
      <c r="AD72" s="200"/>
      <c r="AE72" s="200"/>
      <c r="AF72" s="200"/>
      <c r="AG72" s="200"/>
      <c r="AH72" s="200"/>
      <c r="AI72" s="200"/>
      <c r="AJ72" s="200"/>
      <c r="AK72" s="200"/>
      <c r="AL72" s="200"/>
      <c r="AM72" s="200"/>
      <c r="AN72" s="200"/>
      <c r="AO72" s="200"/>
      <c r="AP72" s="200"/>
      <c r="AQ72" s="200"/>
      <c r="AR72" s="200"/>
      <c r="AS72" s="200"/>
      <c r="AT72" s="200"/>
      <c r="AU72" s="200"/>
      <c r="AV72" s="200"/>
      <c r="AW72" s="200"/>
    </row>
    <row r="73" spans="1:49">
      <c r="A73" s="213" t="s">
        <v>210</v>
      </c>
      <c r="B73" s="195">
        <f t="shared" si="5"/>
        <v>0</v>
      </c>
      <c r="C73" s="200"/>
      <c r="D73" s="200"/>
      <c r="E73" s="200"/>
      <c r="F73" s="200"/>
      <c r="G73" s="200"/>
      <c r="H73" s="200"/>
      <c r="I73" s="200"/>
      <c r="J73" s="200"/>
      <c r="K73" s="200"/>
      <c r="L73" s="200"/>
      <c r="M73" s="200"/>
      <c r="N73" s="200"/>
      <c r="O73" s="200"/>
      <c r="P73" s="200"/>
      <c r="Q73" s="200"/>
      <c r="R73" s="200"/>
      <c r="S73" s="200"/>
      <c r="T73" s="200"/>
      <c r="U73" s="200"/>
      <c r="V73" s="200"/>
      <c r="W73" s="200"/>
      <c r="X73" s="200"/>
      <c r="Y73" s="200"/>
      <c r="Z73" s="200"/>
      <c r="AA73" s="200"/>
      <c r="AB73" s="200"/>
      <c r="AC73" s="200"/>
      <c r="AD73" s="200"/>
      <c r="AE73" s="200"/>
      <c r="AF73" s="200"/>
      <c r="AG73" s="200"/>
      <c r="AH73" s="200"/>
      <c r="AI73" s="200"/>
      <c r="AJ73" s="200"/>
      <c r="AK73" s="200"/>
      <c r="AL73" s="200"/>
      <c r="AM73" s="200"/>
      <c r="AN73" s="200"/>
      <c r="AO73" s="200"/>
      <c r="AP73" s="200"/>
      <c r="AQ73" s="200"/>
      <c r="AR73" s="200"/>
      <c r="AS73" s="200"/>
      <c r="AT73" s="200"/>
      <c r="AU73" s="200"/>
      <c r="AV73" s="200"/>
      <c r="AW73" s="200"/>
    </row>
    <row r="74" spans="1:49">
      <c r="A74" s="213" t="s">
        <v>211</v>
      </c>
      <c r="B74" s="195">
        <f t="shared" si="5"/>
        <v>16116704.67</v>
      </c>
      <c r="C74" s="200"/>
      <c r="D74" s="200"/>
      <c r="E74" s="200">
        <v>1000000</v>
      </c>
      <c r="F74" s="200"/>
      <c r="G74" s="200">
        <f>-G6</f>
        <v>1492139.23</v>
      </c>
      <c r="H74" s="200"/>
      <c r="I74" s="200"/>
      <c r="J74" s="200">
        <f>J19</f>
        <v>13624565.439999999</v>
      </c>
      <c r="K74" s="200"/>
      <c r="L74" s="200"/>
      <c r="M74" s="200"/>
      <c r="N74" s="200">
        <f>N19</f>
        <v>0</v>
      </c>
      <c r="O74" s="200"/>
      <c r="P74" s="200"/>
      <c r="Q74" s="200"/>
      <c r="R74" s="200"/>
      <c r="S74" s="200"/>
      <c r="T74" s="200"/>
      <c r="U74" s="200"/>
      <c r="V74" s="200"/>
      <c r="W74" s="200"/>
      <c r="X74" s="200"/>
      <c r="Y74" s="200"/>
      <c r="Z74" s="200"/>
      <c r="AA74" s="200"/>
      <c r="AB74" s="200"/>
      <c r="AC74" s="200"/>
      <c r="AD74" s="200"/>
      <c r="AE74" s="200"/>
      <c r="AF74" s="200"/>
      <c r="AG74" s="200"/>
      <c r="AH74" s="200"/>
      <c r="AI74" s="200"/>
      <c r="AJ74" s="200"/>
      <c r="AK74" s="200"/>
      <c r="AL74" s="200"/>
      <c r="AM74" s="200"/>
      <c r="AN74" s="200"/>
      <c r="AO74" s="200"/>
      <c r="AP74" s="200"/>
      <c r="AQ74" s="200"/>
      <c r="AR74" s="200"/>
      <c r="AS74" s="200"/>
      <c r="AT74" s="200"/>
      <c r="AU74" s="200"/>
      <c r="AV74" s="200"/>
      <c r="AW74" s="200"/>
    </row>
    <row r="75" spans="1:49">
      <c r="A75" s="305" t="s">
        <v>1357</v>
      </c>
      <c r="B75" s="195">
        <f t="shared" si="5"/>
        <v>10781698.890000001</v>
      </c>
      <c r="C75" s="200"/>
      <c r="D75" s="200"/>
      <c r="E75" s="200"/>
      <c r="F75" s="200"/>
      <c r="G75" s="200"/>
      <c r="H75" s="200"/>
      <c r="I75" s="200"/>
      <c r="J75" s="200"/>
      <c r="K75" s="200"/>
      <c r="L75" s="200"/>
      <c r="M75" s="200"/>
      <c r="N75" s="200">
        <f>N23</f>
        <v>10781698.890000001</v>
      </c>
      <c r="O75" s="200"/>
      <c r="P75" s="200"/>
      <c r="Q75" s="200"/>
      <c r="R75" s="200"/>
      <c r="S75" s="200"/>
      <c r="T75" s="200"/>
      <c r="U75" s="200"/>
      <c r="V75" s="200"/>
      <c r="W75" s="200"/>
      <c r="X75" s="200"/>
      <c r="Y75" s="200"/>
      <c r="Z75" s="200"/>
      <c r="AA75" s="200"/>
      <c r="AB75" s="200"/>
      <c r="AC75" s="200"/>
      <c r="AD75" s="200"/>
      <c r="AE75" s="200"/>
      <c r="AF75" s="200"/>
      <c r="AG75" s="200"/>
      <c r="AH75" s="200"/>
      <c r="AI75" s="200"/>
      <c r="AJ75" s="200"/>
      <c r="AK75" s="200"/>
      <c r="AL75" s="200"/>
      <c r="AM75" s="200"/>
      <c r="AN75" s="200"/>
      <c r="AO75" s="200"/>
      <c r="AP75" s="200"/>
      <c r="AQ75" s="200"/>
      <c r="AR75" s="200"/>
      <c r="AS75" s="200"/>
      <c r="AT75" s="200"/>
      <c r="AU75" s="200"/>
      <c r="AV75" s="200"/>
      <c r="AW75" s="200"/>
    </row>
    <row r="76" spans="1:49">
      <c r="A76" s="213" t="s">
        <v>212</v>
      </c>
      <c r="B76" s="195">
        <f t="shared" si="5"/>
        <v>98544444.200000003</v>
      </c>
      <c r="C76" s="200"/>
      <c r="D76" s="200"/>
      <c r="E76" s="200"/>
      <c r="F76" s="200"/>
      <c r="G76" s="200"/>
      <c r="H76" s="200"/>
      <c r="I76" s="200"/>
      <c r="J76" s="200"/>
      <c r="K76" s="200"/>
      <c r="L76" s="200"/>
      <c r="M76" s="200"/>
      <c r="N76" s="200"/>
      <c r="O76" s="200"/>
      <c r="P76" s="200">
        <f>P27</f>
        <v>98544444.200000003</v>
      </c>
      <c r="Q76" s="200"/>
      <c r="R76" s="200"/>
      <c r="S76" s="200"/>
      <c r="T76" s="200"/>
      <c r="U76" s="200"/>
      <c r="V76" s="200"/>
      <c r="W76" s="200"/>
      <c r="X76" s="200"/>
      <c r="Y76" s="200"/>
      <c r="Z76" s="200"/>
      <c r="AA76" s="200"/>
      <c r="AB76" s="200"/>
      <c r="AC76" s="200"/>
      <c r="AD76" s="200"/>
      <c r="AE76" s="200"/>
      <c r="AF76" s="200"/>
      <c r="AG76" s="200"/>
      <c r="AH76" s="200"/>
      <c r="AI76" s="200"/>
      <c r="AJ76" s="200"/>
      <c r="AK76" s="200"/>
      <c r="AL76" s="200"/>
      <c r="AM76" s="200"/>
      <c r="AN76" s="200">
        <f>-AN42</f>
        <v>0</v>
      </c>
      <c r="AO76" s="200"/>
      <c r="AP76" s="200"/>
      <c r="AQ76" s="200"/>
      <c r="AR76" s="200"/>
      <c r="AS76" s="200"/>
      <c r="AT76" s="200"/>
      <c r="AU76" s="200"/>
      <c r="AV76" s="200"/>
      <c r="AW76" s="200"/>
    </row>
    <row r="77" spans="1:49">
      <c r="A77" s="213" t="s">
        <v>213</v>
      </c>
      <c r="B77" s="195">
        <f t="shared" ref="B77:B89" si="6">SUM(C77:AW77)</f>
        <v>-47817924.460000001</v>
      </c>
      <c r="C77" s="200"/>
      <c r="D77" s="200"/>
      <c r="E77" s="200"/>
      <c r="F77" s="200"/>
      <c r="G77" s="200"/>
      <c r="H77" s="200"/>
      <c r="I77" s="200"/>
      <c r="J77" s="200"/>
      <c r="K77" s="200"/>
      <c r="L77" s="200"/>
      <c r="M77" s="200"/>
      <c r="N77" s="200"/>
      <c r="O77" s="200"/>
      <c r="P77" s="200"/>
      <c r="Q77" s="200"/>
      <c r="R77" s="200">
        <f>R22</f>
        <v>-47817924.460000001</v>
      </c>
      <c r="S77" s="200">
        <f>S22</f>
        <v>0</v>
      </c>
      <c r="T77" s="200"/>
      <c r="U77" s="200"/>
      <c r="V77" s="200"/>
      <c r="W77" s="200"/>
      <c r="X77" s="200"/>
      <c r="Y77" s="200"/>
      <c r="Z77" s="200"/>
      <c r="AA77" s="200"/>
      <c r="AB77" s="200"/>
      <c r="AC77" s="200"/>
      <c r="AD77" s="200"/>
      <c r="AE77" s="200"/>
      <c r="AF77" s="200"/>
      <c r="AG77" s="200"/>
      <c r="AH77" s="200"/>
      <c r="AI77" s="200"/>
      <c r="AJ77" s="200"/>
      <c r="AK77" s="200"/>
      <c r="AL77" s="200"/>
      <c r="AM77" s="200"/>
      <c r="AN77" s="200"/>
      <c r="AO77" s="200"/>
      <c r="AP77" s="200"/>
      <c r="AQ77" s="200"/>
      <c r="AR77" s="200"/>
      <c r="AS77" s="200"/>
      <c r="AT77" s="200"/>
      <c r="AU77" s="200"/>
      <c r="AV77" s="200"/>
      <c r="AW77" s="200"/>
    </row>
    <row r="78" spans="1:49">
      <c r="A78" s="213" t="s">
        <v>214</v>
      </c>
      <c r="B78" s="195">
        <f t="shared" si="6"/>
        <v>0</v>
      </c>
      <c r="C78" s="200"/>
      <c r="D78" s="200"/>
      <c r="E78" s="200"/>
      <c r="F78" s="200"/>
      <c r="G78" s="200"/>
      <c r="H78" s="200"/>
      <c r="I78" s="200"/>
      <c r="J78" s="200"/>
      <c r="K78" s="200"/>
      <c r="L78" s="200"/>
      <c r="M78" s="200"/>
      <c r="N78" s="200"/>
      <c r="O78" s="200"/>
      <c r="P78" s="200"/>
      <c r="Q78" s="68">
        <f>Q21</f>
        <v>0</v>
      </c>
      <c r="R78" s="200"/>
      <c r="S78" s="200"/>
      <c r="T78" s="200"/>
      <c r="U78" s="200"/>
      <c r="V78" s="200"/>
      <c r="W78" s="200"/>
      <c r="X78" s="200"/>
      <c r="Y78" s="200"/>
      <c r="Z78" s="200"/>
      <c r="AA78" s="68"/>
      <c r="AB78" s="200"/>
      <c r="AC78" s="200"/>
      <c r="AD78" s="200"/>
      <c r="AE78" s="200"/>
      <c r="AF78" s="200"/>
      <c r="AG78" s="200"/>
      <c r="AH78" s="200"/>
      <c r="AI78" s="200"/>
      <c r="AJ78" s="200"/>
      <c r="AK78" s="200"/>
      <c r="AL78" s="200"/>
      <c r="AM78" s="200"/>
      <c r="AN78" s="200"/>
      <c r="AO78" s="200"/>
      <c r="AP78" s="200"/>
      <c r="AQ78" s="200"/>
      <c r="AR78" s="200"/>
      <c r="AS78" s="200"/>
      <c r="AT78" s="200"/>
      <c r="AU78" s="200"/>
      <c r="AV78" s="200"/>
      <c r="AW78" s="200"/>
    </row>
    <row r="79" spans="1:49">
      <c r="A79" s="213" t="s">
        <v>215</v>
      </c>
      <c r="B79" s="195">
        <f t="shared" si="6"/>
        <v>0</v>
      </c>
      <c r="C79" s="200"/>
      <c r="D79" s="200"/>
      <c r="E79" s="200"/>
      <c r="F79" s="200"/>
      <c r="G79" s="200"/>
      <c r="H79" s="200"/>
      <c r="I79" s="200"/>
      <c r="J79" s="200"/>
      <c r="K79" s="200"/>
      <c r="L79" s="200">
        <f>-L6</f>
        <v>0</v>
      </c>
      <c r="M79" s="200"/>
      <c r="N79" s="200"/>
      <c r="O79" s="200"/>
      <c r="P79" s="200"/>
      <c r="Q79" s="200"/>
      <c r="R79" s="200"/>
      <c r="S79" s="200"/>
      <c r="T79" s="200"/>
      <c r="U79" s="200"/>
      <c r="V79" s="200"/>
      <c r="W79" s="200"/>
      <c r="X79" s="200"/>
      <c r="Y79" s="200"/>
      <c r="Z79" s="200"/>
      <c r="AA79" s="200"/>
      <c r="AB79" s="200"/>
      <c r="AC79" s="200"/>
      <c r="AD79" s="200"/>
      <c r="AE79" s="200"/>
      <c r="AF79" s="200"/>
      <c r="AG79" s="200"/>
      <c r="AH79" s="200"/>
      <c r="AI79" s="200"/>
      <c r="AJ79" s="200"/>
      <c r="AK79" s="200"/>
      <c r="AL79" s="200"/>
      <c r="AM79" s="200"/>
      <c r="AN79" s="200"/>
      <c r="AO79" s="200"/>
      <c r="AP79" s="200"/>
      <c r="AQ79" s="200"/>
      <c r="AR79" s="200"/>
      <c r="AS79" s="200"/>
      <c r="AT79" s="200"/>
      <c r="AU79" s="200"/>
      <c r="AV79" s="200"/>
      <c r="AW79" s="200"/>
    </row>
    <row r="80" spans="1:49">
      <c r="A80" s="213" t="s">
        <v>216</v>
      </c>
      <c r="B80" s="195">
        <f t="shared" si="6"/>
        <v>0</v>
      </c>
      <c r="C80" s="200"/>
      <c r="D80" s="200"/>
      <c r="E80" s="200"/>
      <c r="F80" s="200"/>
      <c r="G80" s="200"/>
      <c r="H80" s="200"/>
      <c r="I80" s="200"/>
      <c r="J80" s="200"/>
      <c r="K80" s="200"/>
      <c r="L80" s="200"/>
      <c r="M80" s="200"/>
      <c r="N80" s="200"/>
      <c r="O80" s="200"/>
      <c r="P80" s="200"/>
      <c r="Q80" s="200"/>
      <c r="R80" s="200"/>
      <c r="S80" s="200"/>
      <c r="T80" s="200"/>
      <c r="U80" s="200"/>
      <c r="V80" s="200"/>
      <c r="W80" s="200"/>
      <c r="X80" s="200"/>
      <c r="Y80" s="200"/>
      <c r="Z80" s="200"/>
      <c r="AA80" s="200"/>
      <c r="AB80" s="200"/>
      <c r="AC80" s="200">
        <f>-AC6-AC57</f>
        <v>0</v>
      </c>
      <c r="AD80" s="200"/>
      <c r="AE80" s="200"/>
      <c r="AF80" s="200"/>
      <c r="AG80" s="200"/>
      <c r="AH80" s="200"/>
      <c r="AI80" s="200"/>
      <c r="AJ80" s="200"/>
      <c r="AK80" s="200"/>
      <c r="AL80" s="200"/>
      <c r="AM80" s="200"/>
      <c r="AN80" s="200"/>
      <c r="AO80" s="200"/>
      <c r="AP80" s="200"/>
      <c r="AQ80" s="200"/>
      <c r="AR80" s="200"/>
      <c r="AS80" s="200"/>
      <c r="AT80" s="200"/>
      <c r="AU80" s="200"/>
      <c r="AV80" s="200"/>
      <c r="AW80" s="200"/>
    </row>
    <row r="81" spans="1:49">
      <c r="A81" s="213" t="s">
        <v>217</v>
      </c>
      <c r="B81" s="195">
        <f t="shared" si="6"/>
        <v>855072.99</v>
      </c>
      <c r="C81" s="200"/>
      <c r="D81" s="200"/>
      <c r="E81" s="200"/>
      <c r="F81" s="200"/>
      <c r="G81" s="200"/>
      <c r="H81" s="200"/>
      <c r="I81" s="200"/>
      <c r="J81" s="200"/>
      <c r="K81" s="200"/>
      <c r="L81" s="200"/>
      <c r="M81" s="200"/>
      <c r="N81" s="200"/>
      <c r="O81" s="200"/>
      <c r="P81" s="200"/>
      <c r="Q81" s="200"/>
      <c r="R81" s="200"/>
      <c r="S81" s="200"/>
      <c r="T81" s="200"/>
      <c r="U81" s="200"/>
      <c r="V81" s="200"/>
      <c r="W81" s="200"/>
      <c r="X81" s="200"/>
      <c r="Y81" s="200"/>
      <c r="Z81" s="200"/>
      <c r="AA81" s="200"/>
      <c r="AB81" s="200"/>
      <c r="AC81" s="200"/>
      <c r="AD81" s="200"/>
      <c r="AE81" s="200"/>
      <c r="AF81" s="200"/>
      <c r="AG81" s="200"/>
      <c r="AH81" s="200"/>
      <c r="AI81" s="200"/>
      <c r="AJ81" s="200"/>
      <c r="AK81" s="200"/>
      <c r="AL81" s="200"/>
      <c r="AM81" s="200"/>
      <c r="AN81" s="200"/>
      <c r="AO81" s="200"/>
      <c r="AP81" s="200"/>
      <c r="AQ81" s="200"/>
      <c r="AR81" s="200"/>
      <c r="AS81" s="200">
        <f>-(AS38)</f>
        <v>0</v>
      </c>
      <c r="AT81" s="200">
        <f>-(AT38)</f>
        <v>0</v>
      </c>
      <c r="AU81" s="200">
        <f>-(AU38)</f>
        <v>855072.99</v>
      </c>
      <c r="AV81" s="200"/>
      <c r="AW81" s="200"/>
    </row>
    <row r="82" spans="1:49">
      <c r="A82" s="213" t="s">
        <v>1040</v>
      </c>
      <c r="B82" s="195">
        <f t="shared" si="6"/>
        <v>0</v>
      </c>
      <c r="C82" s="200"/>
      <c r="D82" s="200"/>
      <c r="E82" s="200"/>
      <c r="F82" s="200"/>
      <c r="G82" s="200"/>
      <c r="H82" s="200"/>
      <c r="I82" s="200">
        <f>I20</f>
        <v>-17684194.210000001</v>
      </c>
      <c r="J82" s="200">
        <f>J20</f>
        <v>17684194.210000001</v>
      </c>
      <c r="K82" s="200"/>
      <c r="L82" s="200"/>
      <c r="M82" s="200"/>
      <c r="N82" s="200"/>
      <c r="O82" s="200"/>
      <c r="P82" s="200"/>
      <c r="Q82" s="200"/>
      <c r="R82" s="200"/>
      <c r="S82" s="200"/>
      <c r="T82" s="200"/>
      <c r="U82" s="200"/>
      <c r="V82" s="200"/>
      <c r="W82" s="200"/>
      <c r="X82" s="200"/>
      <c r="Y82" s="200"/>
      <c r="Z82" s="200"/>
      <c r="AA82" s="200"/>
      <c r="AB82" s="200"/>
      <c r="AC82" s="200"/>
      <c r="AD82" s="200"/>
      <c r="AE82" s="200"/>
      <c r="AF82" s="200"/>
      <c r="AG82" s="200"/>
      <c r="AH82" s="200"/>
      <c r="AI82" s="200"/>
      <c r="AJ82" s="200"/>
      <c r="AK82" s="200"/>
      <c r="AL82" s="200"/>
      <c r="AM82" s="200"/>
      <c r="AN82" s="200"/>
      <c r="AO82" s="200"/>
      <c r="AP82" s="200"/>
      <c r="AQ82" s="200"/>
      <c r="AR82" s="200"/>
      <c r="AS82" s="200"/>
      <c r="AT82" s="200"/>
      <c r="AU82" s="200"/>
      <c r="AV82" s="200"/>
      <c r="AW82" s="200"/>
    </row>
    <row r="83" spans="1:49">
      <c r="A83" s="213" t="s">
        <v>218</v>
      </c>
      <c r="B83" s="195">
        <f t="shared" si="6"/>
        <v>9615258.4600000009</v>
      </c>
      <c r="C83" s="200"/>
      <c r="D83" s="200"/>
      <c r="E83" s="200"/>
      <c r="F83" s="200"/>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c r="AD83" s="200"/>
      <c r="AE83" s="200"/>
      <c r="AF83" s="68"/>
      <c r="AG83" s="200"/>
      <c r="AH83" s="200"/>
      <c r="AI83" s="200"/>
      <c r="AJ83" s="200"/>
      <c r="AK83" s="200"/>
      <c r="AL83" s="200"/>
      <c r="AM83" s="200"/>
      <c r="AN83" s="200"/>
      <c r="AO83" s="200"/>
      <c r="AP83" s="200"/>
      <c r="AQ83" s="200">
        <f>-AQ43-AQ57</f>
        <v>9615258.4600000009</v>
      </c>
      <c r="AR83" s="200"/>
      <c r="AS83" s="200"/>
      <c r="AT83" s="200"/>
      <c r="AU83" s="200"/>
      <c r="AV83" s="200"/>
      <c r="AW83" s="200"/>
    </row>
    <row r="84" spans="1:49">
      <c r="A84" s="213" t="s">
        <v>219</v>
      </c>
      <c r="B84" s="195">
        <f t="shared" si="6"/>
        <v>-3894380.65</v>
      </c>
      <c r="C84" s="200"/>
      <c r="D84" s="200"/>
      <c r="E84" s="200"/>
      <c r="F84" s="200"/>
      <c r="G84" s="200"/>
      <c r="H84" s="200"/>
      <c r="I84" s="200"/>
      <c r="J84" s="200"/>
      <c r="K84" s="200"/>
      <c r="L84" s="200"/>
      <c r="M84" s="200"/>
      <c r="N84" s="200"/>
      <c r="O84" s="200"/>
      <c r="P84" s="200"/>
      <c r="Q84" s="200"/>
      <c r="R84" s="200"/>
      <c r="S84" s="200"/>
      <c r="T84" s="200"/>
      <c r="U84" s="200"/>
      <c r="V84" s="200"/>
      <c r="W84" s="200"/>
      <c r="X84" s="200"/>
      <c r="Y84" s="200"/>
      <c r="Z84" s="200"/>
      <c r="AA84" s="200"/>
      <c r="AB84" s="200"/>
      <c r="AC84" s="200"/>
      <c r="AD84" s="200"/>
      <c r="AE84" s="200"/>
      <c r="AF84" s="200"/>
      <c r="AG84" s="200"/>
      <c r="AH84" s="200"/>
      <c r="AI84" s="200"/>
      <c r="AJ84" s="200"/>
      <c r="AK84" s="200"/>
      <c r="AL84" s="200"/>
      <c r="AM84" s="200"/>
      <c r="AN84" s="200"/>
      <c r="AO84" s="200"/>
      <c r="AP84" s="200"/>
      <c r="AQ84" s="200"/>
      <c r="AR84" s="200"/>
      <c r="AS84" s="200">
        <f>AS6</f>
        <v>-3894380.65</v>
      </c>
      <c r="AT84" s="200"/>
      <c r="AU84" s="200"/>
      <c r="AV84" s="200"/>
      <c r="AW84" s="200"/>
    </row>
    <row r="85" spans="1:49">
      <c r="A85" s="213" t="s">
        <v>220</v>
      </c>
      <c r="B85" s="195">
        <f t="shared" si="6"/>
        <v>-17470000</v>
      </c>
      <c r="C85" s="200"/>
      <c r="D85" s="200"/>
      <c r="E85" s="200"/>
      <c r="F85" s="200"/>
      <c r="G85" s="200"/>
      <c r="H85" s="200"/>
      <c r="I85" s="200"/>
      <c r="J85" s="200"/>
      <c r="K85" s="200"/>
      <c r="L85" s="200"/>
      <c r="M85" s="200"/>
      <c r="N85" s="200"/>
      <c r="O85" s="200"/>
      <c r="P85" s="200"/>
      <c r="Q85" s="200"/>
      <c r="R85" s="200"/>
      <c r="S85" s="200">
        <f>-S6</f>
        <v>-17470000</v>
      </c>
      <c r="T85" s="200"/>
      <c r="U85" s="200"/>
      <c r="V85" s="200"/>
      <c r="W85" s="200"/>
      <c r="X85" s="200"/>
      <c r="Y85" s="200"/>
      <c r="Z85" s="200"/>
      <c r="AA85" s="200">
        <f>-AA6</f>
        <v>0</v>
      </c>
      <c r="AB85" s="200"/>
      <c r="AC85" s="200"/>
      <c r="AD85" s="200"/>
      <c r="AE85" s="200"/>
      <c r="AF85" s="200"/>
      <c r="AG85" s="200"/>
      <c r="AH85" s="200"/>
      <c r="AI85" s="200"/>
      <c r="AJ85" s="200"/>
      <c r="AK85" s="200"/>
      <c r="AL85" s="200"/>
      <c r="AM85" s="200"/>
      <c r="AN85" s="200"/>
      <c r="AO85" s="200"/>
      <c r="AP85" s="200"/>
      <c r="AQ85" s="200"/>
      <c r="AR85" s="200"/>
      <c r="AS85" s="200"/>
      <c r="AT85" s="200"/>
      <c r="AU85" s="200"/>
      <c r="AV85" s="200"/>
      <c r="AW85" s="200"/>
    </row>
    <row r="86" spans="1:49">
      <c r="A86" s="213" t="s">
        <v>221</v>
      </c>
      <c r="B86" s="195">
        <f t="shared" si="6"/>
        <v>-157326669.22999999</v>
      </c>
      <c r="C86" s="200"/>
      <c r="D86" s="200"/>
      <c r="E86" s="200"/>
      <c r="F86" s="200"/>
      <c r="G86" s="200"/>
      <c r="H86" s="200"/>
      <c r="I86" s="200">
        <f>I13</f>
        <v>-157326669.22999999</v>
      </c>
      <c r="J86" s="200"/>
      <c r="K86" s="200"/>
      <c r="L86" s="200"/>
      <c r="M86" s="200"/>
      <c r="N86" s="200"/>
      <c r="O86" s="200"/>
      <c r="P86" s="200"/>
      <c r="Q86" s="200"/>
      <c r="R86" s="200"/>
      <c r="S86" s="200"/>
      <c r="T86" s="200"/>
      <c r="U86" s="200"/>
      <c r="V86" s="200"/>
      <c r="W86" s="200"/>
      <c r="X86" s="200"/>
      <c r="Y86" s="200"/>
      <c r="Z86" s="200"/>
      <c r="AA86" s="200"/>
      <c r="AB86" s="200"/>
      <c r="AC86" s="200"/>
      <c r="AD86" s="200"/>
      <c r="AE86" s="200"/>
      <c r="AF86" s="200"/>
      <c r="AG86" s="200"/>
      <c r="AH86" s="200"/>
      <c r="AI86" s="200"/>
      <c r="AJ86" s="200"/>
      <c r="AK86" s="200"/>
      <c r="AL86" s="200"/>
      <c r="AM86" s="200"/>
      <c r="AN86" s="200"/>
      <c r="AO86" s="200"/>
      <c r="AP86" s="200"/>
      <c r="AQ86" s="200"/>
      <c r="AR86" s="200"/>
      <c r="AS86" s="200"/>
      <c r="AT86" s="200"/>
      <c r="AU86" s="200"/>
      <c r="AV86" s="200"/>
      <c r="AW86" s="200"/>
    </row>
    <row r="87" spans="1:49">
      <c r="A87" s="213" t="s">
        <v>222</v>
      </c>
      <c r="B87" s="195">
        <f t="shared" si="6"/>
        <v>-148608465.76462412</v>
      </c>
      <c r="C87" s="200">
        <f>C16</f>
        <v>0</v>
      </c>
      <c r="D87" s="200">
        <f>D15</f>
        <v>1976370.43</v>
      </c>
      <c r="E87" s="200">
        <f>E9</f>
        <v>-10758624.9</v>
      </c>
      <c r="F87" s="200">
        <f>-F6</f>
        <v>-100479502.38462412</v>
      </c>
      <c r="G87" s="200"/>
      <c r="H87" s="200">
        <f>-H6</f>
        <v>-28370261.780000001</v>
      </c>
      <c r="I87" s="68"/>
      <c r="J87" s="200"/>
      <c r="K87" s="200">
        <f>-(K6)</f>
        <v>-10976447.130000001</v>
      </c>
      <c r="L87" s="200"/>
      <c r="M87" s="200"/>
      <c r="N87" s="200"/>
      <c r="O87" s="200"/>
      <c r="P87" s="200"/>
      <c r="Q87" s="200"/>
      <c r="R87" s="200"/>
      <c r="S87" s="200"/>
      <c r="T87" s="200"/>
      <c r="U87" s="200"/>
      <c r="V87" s="200"/>
      <c r="W87" s="200"/>
      <c r="X87" s="200"/>
      <c r="Y87" s="200"/>
      <c r="Z87" s="200"/>
      <c r="AA87" s="200"/>
      <c r="AB87" s="200"/>
      <c r="AC87" s="200"/>
      <c r="AD87" s="200">
        <f>AD11</f>
        <v>0</v>
      </c>
      <c r="AE87" s="200">
        <f>AE11</f>
        <v>0</v>
      </c>
      <c r="AF87" s="200"/>
      <c r="AG87" s="200"/>
      <c r="AH87" s="200"/>
      <c r="AI87" s="200"/>
      <c r="AJ87" s="200"/>
      <c r="AK87" s="200"/>
      <c r="AL87" s="200"/>
      <c r="AM87" s="200"/>
      <c r="AN87" s="200"/>
      <c r="AO87" s="200"/>
      <c r="AP87" s="200"/>
      <c r="AQ87" s="200"/>
      <c r="AR87" s="200"/>
      <c r="AS87" s="200"/>
      <c r="AT87" s="200"/>
      <c r="AU87" s="200"/>
      <c r="AV87" s="200"/>
      <c r="AW87" s="200"/>
    </row>
    <row r="88" spans="1:49">
      <c r="A88" s="213" t="s">
        <v>223</v>
      </c>
      <c r="B88" s="195">
        <f t="shared" si="6"/>
        <v>380587315.16000021</v>
      </c>
      <c r="C88" s="200"/>
      <c r="D88" s="200"/>
      <c r="E88" s="200"/>
      <c r="F88" s="200"/>
      <c r="G88" s="200"/>
      <c r="H88" s="200"/>
      <c r="I88" s="200"/>
      <c r="J88" s="68"/>
      <c r="K88" s="200"/>
      <c r="L88" s="200"/>
      <c r="M88" s="200"/>
      <c r="N88" s="200"/>
      <c r="O88" s="200"/>
      <c r="P88" s="200"/>
      <c r="Q88" s="200"/>
      <c r="R88" s="200"/>
      <c r="S88" s="200"/>
      <c r="T88" s="200"/>
      <c r="U88" s="200"/>
      <c r="V88" s="200">
        <v>0</v>
      </c>
      <c r="W88" s="200">
        <f>W13</f>
        <v>132779994.89</v>
      </c>
      <c r="X88" s="200">
        <f>-(X6)</f>
        <v>5765045.46</v>
      </c>
      <c r="Y88" s="200">
        <f>Y11+Y13+Y16</f>
        <v>53531337</v>
      </c>
      <c r="Z88" s="200">
        <f>-Z6</f>
        <v>4828747.88</v>
      </c>
      <c r="AA88" s="200">
        <f>AA16</f>
        <v>0</v>
      </c>
      <c r="AB88" s="200">
        <f>-AB6-AB42</f>
        <v>18972397.410000201</v>
      </c>
      <c r="AC88" s="200"/>
      <c r="AD88" s="68">
        <f>AD30</f>
        <v>158438000</v>
      </c>
      <c r="AE88" s="200">
        <f>AE16</f>
        <v>6271792.5200000005</v>
      </c>
      <c r="AF88" s="68">
        <v>0</v>
      </c>
      <c r="AG88" s="200"/>
      <c r="AH88" s="200">
        <f>-AH6</f>
        <v>0</v>
      </c>
      <c r="AI88" s="200"/>
      <c r="AJ88" s="200"/>
      <c r="AK88" s="200"/>
      <c r="AL88" s="200"/>
      <c r="AM88" s="200"/>
      <c r="AN88" s="200"/>
      <c r="AO88" s="200"/>
      <c r="AP88" s="200"/>
      <c r="AQ88" s="200"/>
      <c r="AR88" s="200"/>
      <c r="AS88" s="200"/>
      <c r="AT88" s="200"/>
      <c r="AU88" s="200"/>
      <c r="AV88" s="200"/>
      <c r="AW88" s="200"/>
    </row>
    <row r="89" spans="1:49">
      <c r="A89" s="213" t="s">
        <v>224</v>
      </c>
      <c r="B89" s="195">
        <f t="shared" si="6"/>
        <v>0</v>
      </c>
      <c r="C89" s="200"/>
      <c r="D89" s="200"/>
      <c r="E89" s="200"/>
      <c r="F89" s="200"/>
      <c r="G89" s="200"/>
      <c r="H89" s="200"/>
      <c r="I89" s="200"/>
      <c r="J89" s="200"/>
      <c r="K89" s="200"/>
      <c r="L89" s="200"/>
      <c r="M89" s="200"/>
      <c r="N89" s="200"/>
      <c r="O89" s="200"/>
      <c r="P89" s="200"/>
      <c r="Q89" s="200"/>
      <c r="R89" s="200"/>
      <c r="S89" s="200"/>
      <c r="T89" s="200"/>
      <c r="U89" s="200"/>
      <c r="V89" s="200"/>
      <c r="W89" s="200"/>
      <c r="X89" s="200"/>
      <c r="Y89" s="200"/>
      <c r="Z89" s="200"/>
      <c r="AA89" s="200"/>
      <c r="AB89" s="200"/>
      <c r="AC89" s="200"/>
      <c r="AD89" s="200"/>
      <c r="AE89" s="200"/>
      <c r="AF89" s="200"/>
      <c r="AG89" s="200"/>
      <c r="AH89" s="200"/>
      <c r="AI89" s="200">
        <f>AI29</f>
        <v>0</v>
      </c>
      <c r="AJ89" s="200">
        <f>AJ29</f>
        <v>0</v>
      </c>
      <c r="AK89" s="200"/>
      <c r="AL89" s="200"/>
      <c r="AM89" s="200"/>
      <c r="AN89" s="200"/>
      <c r="AO89" s="200"/>
      <c r="AP89" s="200"/>
      <c r="AQ89" s="200"/>
      <c r="AR89" s="200"/>
      <c r="AS89" s="200"/>
      <c r="AT89" s="200"/>
      <c r="AU89" s="200"/>
      <c r="AV89" s="200"/>
      <c r="AW89" s="200"/>
    </row>
    <row r="90" spans="1:49">
      <c r="A90" s="213"/>
      <c r="B90" s="217"/>
      <c r="C90" s="200"/>
      <c r="D90" s="200"/>
      <c r="E90" s="200"/>
      <c r="F90" s="200"/>
      <c r="G90" s="200"/>
      <c r="H90" s="200"/>
      <c r="I90" s="200"/>
      <c r="J90" s="200"/>
      <c r="K90" s="200"/>
      <c r="L90" s="200"/>
      <c r="M90" s="200"/>
      <c r="N90" s="200"/>
      <c r="O90" s="200"/>
      <c r="P90" s="200"/>
      <c r="Q90" s="200"/>
      <c r="R90" s="200"/>
      <c r="S90" s="200"/>
      <c r="T90" s="200"/>
      <c r="U90" s="200"/>
      <c r="V90" s="200"/>
      <c r="W90" s="200"/>
      <c r="X90" s="200"/>
      <c r="Y90" s="200"/>
      <c r="Z90" s="200"/>
      <c r="AA90" s="200"/>
      <c r="AB90" s="200"/>
      <c r="AC90" s="200"/>
      <c r="AD90" s="200"/>
      <c r="AE90" s="200"/>
      <c r="AF90" s="200"/>
      <c r="AG90" s="200"/>
      <c r="AH90" s="200"/>
      <c r="AI90" s="200"/>
      <c r="AJ90" s="200">
        <f>AJ30</f>
        <v>0</v>
      </c>
      <c r="AK90" s="200"/>
      <c r="AL90" s="200"/>
      <c r="AM90" s="200"/>
      <c r="AN90" s="200"/>
      <c r="AO90" s="200"/>
      <c r="AP90" s="200"/>
      <c r="AQ90" s="200"/>
      <c r="AR90" s="200"/>
      <c r="AS90" s="200"/>
      <c r="AT90" s="200"/>
      <c r="AU90" s="200"/>
      <c r="AV90" s="200"/>
      <c r="AW90" s="200"/>
    </row>
    <row r="91" spans="1:49" ht="13.8" thickBot="1">
      <c r="A91" s="205" t="s">
        <v>1014</v>
      </c>
      <c r="B91" s="210">
        <f>SUM(B71:B90)</f>
        <v>163125447.86537603</v>
      </c>
      <c r="C91" s="216">
        <f t="shared" ref="C91:AI91" si="7">SUM(C8:C32)-SUM(C71:C90)</f>
        <v>0</v>
      </c>
      <c r="D91" s="216">
        <f t="shared" si="7"/>
        <v>0</v>
      </c>
      <c r="E91" s="216">
        <f t="shared" si="7"/>
        <v>0</v>
      </c>
      <c r="F91" s="216">
        <f t="shared" si="7"/>
        <v>0</v>
      </c>
      <c r="G91" s="216">
        <f t="shared" si="7"/>
        <v>0</v>
      </c>
      <c r="H91" s="216">
        <f t="shared" si="7"/>
        <v>0</v>
      </c>
      <c r="I91" s="216">
        <f t="shared" si="7"/>
        <v>0</v>
      </c>
      <c r="J91" s="216">
        <f t="shared" si="7"/>
        <v>0</v>
      </c>
      <c r="K91" s="216">
        <f t="shared" si="7"/>
        <v>0</v>
      </c>
      <c r="L91" s="216">
        <f t="shared" si="7"/>
        <v>0</v>
      </c>
      <c r="M91" s="216">
        <f t="shared" si="7"/>
        <v>0</v>
      </c>
      <c r="N91" s="216">
        <f t="shared" si="7"/>
        <v>0</v>
      </c>
      <c r="O91" s="216">
        <f t="shared" si="7"/>
        <v>0</v>
      </c>
      <c r="P91" s="216">
        <f t="shared" si="7"/>
        <v>0</v>
      </c>
      <c r="Q91" s="216">
        <f t="shared" si="7"/>
        <v>0</v>
      </c>
      <c r="R91" s="216">
        <f t="shared" si="7"/>
        <v>0</v>
      </c>
      <c r="S91" s="216">
        <f t="shared" si="7"/>
        <v>0</v>
      </c>
      <c r="T91" s="216">
        <f t="shared" si="7"/>
        <v>0</v>
      </c>
      <c r="U91" s="216">
        <f t="shared" si="7"/>
        <v>0</v>
      </c>
      <c r="V91" s="216">
        <f t="shared" si="7"/>
        <v>0</v>
      </c>
      <c r="W91" s="216">
        <f t="shared" si="7"/>
        <v>0</v>
      </c>
      <c r="X91" s="216">
        <f t="shared" si="7"/>
        <v>0</v>
      </c>
      <c r="Y91" s="216">
        <f t="shared" si="7"/>
        <v>0</v>
      </c>
      <c r="Z91" s="216">
        <f t="shared" si="7"/>
        <v>0</v>
      </c>
      <c r="AA91" s="216">
        <f t="shared" si="7"/>
        <v>0</v>
      </c>
      <c r="AB91" s="216">
        <f t="shared" si="7"/>
        <v>0</v>
      </c>
      <c r="AC91" s="216">
        <f t="shared" si="7"/>
        <v>0</v>
      </c>
      <c r="AD91" s="216">
        <f t="shared" si="7"/>
        <v>0</v>
      </c>
      <c r="AE91" s="216">
        <f t="shared" si="7"/>
        <v>0</v>
      </c>
      <c r="AF91" s="216">
        <f t="shared" si="7"/>
        <v>0</v>
      </c>
      <c r="AG91" s="216">
        <f t="shared" si="7"/>
        <v>0</v>
      </c>
      <c r="AH91" s="216">
        <f t="shared" si="7"/>
        <v>0</v>
      </c>
      <c r="AI91" s="216">
        <f t="shared" si="7"/>
        <v>0</v>
      </c>
      <c r="AJ91" s="216">
        <f t="shared" ref="AJ91:AK91" si="8">SUM(AJ8:AJ32)-SUM(AJ71:AJ90)</f>
        <v>0</v>
      </c>
      <c r="AK91" s="216">
        <f t="shared" si="8"/>
        <v>0</v>
      </c>
      <c r="AL91" s="216">
        <f>SUM(AL8:AL32)-SUM(AL71:AL90)</f>
        <v>0</v>
      </c>
      <c r="AM91" s="216">
        <f t="shared" ref="AM91:AW91" si="9">SUM(AM8:AM32)-SUM(AM71:AM90)</f>
        <v>0</v>
      </c>
      <c r="AN91" s="216">
        <f t="shared" si="9"/>
        <v>0</v>
      </c>
      <c r="AO91" s="216">
        <f t="shared" si="9"/>
        <v>0</v>
      </c>
      <c r="AP91" s="216">
        <f t="shared" si="9"/>
        <v>0</v>
      </c>
      <c r="AQ91" s="216">
        <f t="shared" si="9"/>
        <v>1.4901161193847656E-8</v>
      </c>
      <c r="AR91" s="216">
        <f t="shared" si="9"/>
        <v>-25490463.609999999</v>
      </c>
      <c r="AS91" s="216">
        <f t="shared" si="9"/>
        <v>0</v>
      </c>
      <c r="AT91" s="216">
        <f t="shared" si="9"/>
        <v>0</v>
      </c>
      <c r="AU91" s="216">
        <f t="shared" si="9"/>
        <v>0</v>
      </c>
      <c r="AV91" s="216">
        <f t="shared" si="9"/>
        <v>0</v>
      </c>
      <c r="AW91" s="216">
        <f t="shared" si="9"/>
        <v>0</v>
      </c>
    </row>
    <row r="92" spans="1:49" s="195" customFormat="1" ht="13.8" thickTop="1">
      <c r="A92" s="218" t="s">
        <v>225</v>
      </c>
      <c r="B92" s="197"/>
      <c r="C92" s="219"/>
      <c r="D92" s="219"/>
      <c r="E92" s="219"/>
      <c r="F92" s="219"/>
      <c r="G92" s="219"/>
      <c r="H92" s="219"/>
      <c r="I92" s="219"/>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c r="AW92" s="219"/>
    </row>
    <row r="93" spans="1:49" s="195" customFormat="1">
      <c r="A93" s="218" t="s">
        <v>226</v>
      </c>
      <c r="B93" s="197">
        <f>B91-B32</f>
        <v>28003475.619999975</v>
      </c>
      <c r="C93" s="219"/>
      <c r="D93" s="219"/>
      <c r="E93" s="219"/>
      <c r="F93" s="219"/>
      <c r="G93" s="219"/>
      <c r="H93" s="219"/>
      <c r="I93" s="219"/>
      <c r="J93" s="219"/>
      <c r="K93" s="219"/>
      <c r="L93" s="219"/>
      <c r="M93" s="219"/>
      <c r="N93" s="219"/>
      <c r="O93" s="219"/>
      <c r="P93" s="219"/>
      <c r="Q93" s="219"/>
      <c r="R93" s="219"/>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c r="AW93" s="219"/>
    </row>
    <row r="94" spans="1:49" s="195" customFormat="1">
      <c r="C94" s="290"/>
      <c r="D94" s="290"/>
      <c r="E94" s="290"/>
      <c r="F94" s="290"/>
      <c r="G94" s="290"/>
      <c r="H94" s="290"/>
      <c r="I94" s="290"/>
      <c r="J94" s="196"/>
      <c r="K94" s="290"/>
      <c r="L94" s="290"/>
      <c r="M94" s="290"/>
      <c r="N94" s="290"/>
      <c r="O94" s="290"/>
      <c r="P94" s="290"/>
      <c r="Q94" s="290"/>
      <c r="R94" s="290"/>
      <c r="S94" s="290"/>
      <c r="T94" s="290"/>
      <c r="U94" s="290"/>
      <c r="V94" s="290"/>
      <c r="W94" s="290"/>
      <c r="X94" s="290"/>
      <c r="Y94" s="290"/>
      <c r="Z94" s="290"/>
      <c r="AA94" s="290"/>
      <c r="AB94" s="290"/>
      <c r="AC94" s="290"/>
      <c r="AD94" s="290"/>
      <c r="AE94" s="290"/>
      <c r="AF94" s="290"/>
      <c r="AG94" s="290"/>
      <c r="AH94" s="290"/>
      <c r="AI94" s="290"/>
      <c r="AJ94" s="290"/>
      <c r="AK94" s="290"/>
      <c r="AL94" s="290"/>
      <c r="AM94" s="290"/>
      <c r="AN94" s="290"/>
      <c r="AO94" s="290"/>
      <c r="AP94" s="290"/>
      <c r="AQ94" s="290"/>
      <c r="AR94" s="290"/>
      <c r="AS94" s="290"/>
      <c r="AT94" s="290"/>
      <c r="AU94" s="290"/>
      <c r="AV94" s="290"/>
      <c r="AW94" s="290"/>
    </row>
    <row r="95" spans="1:49" s="195" customFormat="1">
      <c r="C95" s="290"/>
      <c r="D95" s="290"/>
      <c r="E95" s="290"/>
      <c r="F95" s="290"/>
      <c r="G95" s="290"/>
      <c r="H95" s="290"/>
      <c r="I95" s="290"/>
      <c r="J95" s="196"/>
      <c r="K95" s="290"/>
      <c r="L95" s="290"/>
      <c r="M95" s="290"/>
      <c r="N95" s="290"/>
      <c r="O95" s="290"/>
      <c r="P95" s="290"/>
      <c r="Q95" s="290"/>
      <c r="R95" s="290"/>
      <c r="S95" s="290"/>
      <c r="T95" s="290"/>
      <c r="U95" s="290"/>
      <c r="V95" s="290"/>
      <c r="W95" s="290"/>
      <c r="X95" s="290"/>
      <c r="Y95" s="290"/>
      <c r="Z95" s="290"/>
      <c r="AA95" s="290"/>
      <c r="AB95" s="290"/>
      <c r="AC95" s="290"/>
      <c r="AD95" s="290"/>
      <c r="AE95" s="290"/>
      <c r="AF95" s="290"/>
      <c r="AG95" s="290"/>
      <c r="AH95" s="290"/>
      <c r="AI95" s="290"/>
      <c r="AJ95" s="290"/>
      <c r="AK95" s="290"/>
      <c r="AL95" s="290"/>
      <c r="AM95" s="290"/>
      <c r="AN95" s="290"/>
      <c r="AO95" s="290"/>
      <c r="AP95" s="290"/>
      <c r="AQ95" s="290"/>
      <c r="AR95" s="290"/>
      <c r="AS95" s="290"/>
      <c r="AT95" s="290"/>
      <c r="AU95" s="290"/>
      <c r="AV95" s="290"/>
      <c r="AW95" s="290"/>
    </row>
  </sheetData>
  <mergeCells count="1">
    <mergeCell ref="F2:G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Y94"/>
  <sheetViews>
    <sheetView zoomScale="110" zoomScaleNormal="110" workbookViewId="0">
      <pane xSplit="3" ySplit="6" topLeftCell="AP82" activePane="bottomRight" state="frozen"/>
      <selection pane="topRight" activeCell="D1" sqref="D1"/>
      <selection pane="bottomLeft" activeCell="A7" sqref="A7"/>
      <selection pane="bottomRight" activeCell="C76" sqref="C76"/>
    </sheetView>
  </sheetViews>
  <sheetFormatPr defaultColWidth="9.21875" defaultRowHeight="13.15" outlineLevelCol="1"/>
  <cols>
    <col min="1" max="1" width="34" style="197" customWidth="1"/>
    <col min="2" max="2" width="17.6640625" style="197" hidden="1" customWidth="1" outlineLevel="1"/>
    <col min="3" max="3" width="17.6640625" style="197" customWidth="1" collapsed="1"/>
    <col min="4" max="4" width="15" style="201" bestFit="1" customWidth="1"/>
    <col min="5" max="5" width="12.88671875" style="201" customWidth="1"/>
    <col min="6" max="6" width="13.88671875" style="201" bestFit="1" customWidth="1"/>
    <col min="7" max="7" width="15" style="201" bestFit="1" customWidth="1"/>
    <col min="8" max="8" width="11.109375" style="201" bestFit="1" customWidth="1"/>
    <col min="9" max="9" width="14.6640625" style="201" bestFit="1" customWidth="1"/>
    <col min="10" max="10" width="15" style="201" bestFit="1" customWidth="1"/>
    <col min="11" max="11" width="15.33203125" style="202" customWidth="1"/>
    <col min="12" max="12" width="14" style="201" bestFit="1" customWidth="1"/>
    <col min="13" max="13" width="12" style="201" hidden="1" customWidth="1" outlineLevel="1"/>
    <col min="14" max="14" width="9" style="201" hidden="1" customWidth="1" outlineLevel="1"/>
    <col min="15" max="15" width="18.88671875" style="201" bestFit="1" customWidth="1" collapsed="1"/>
    <col min="16" max="16" width="15.6640625" style="201" bestFit="1" customWidth="1"/>
    <col min="17" max="17" width="14" style="201" bestFit="1" customWidth="1"/>
    <col min="18" max="18" width="13" style="201" hidden="1" customWidth="1" outlineLevel="1"/>
    <col min="19" max="19" width="14.33203125" style="201" bestFit="1" customWidth="1" collapsed="1"/>
    <col min="20" max="20" width="15.109375" style="201" customWidth="1"/>
    <col min="21" max="21" width="6" style="201" bestFit="1" customWidth="1"/>
    <col min="22" max="22" width="14.6640625" style="201" customWidth="1"/>
    <col min="23" max="23" width="14" style="201" customWidth="1"/>
    <col min="24" max="24" width="15" style="201" bestFit="1" customWidth="1"/>
    <col min="25" max="25" width="12.6640625" style="201" customWidth="1"/>
    <col min="26" max="26" width="16.109375" style="201" bestFit="1" customWidth="1"/>
    <col min="27" max="27" width="14" style="201" bestFit="1" customWidth="1"/>
    <col min="28" max="28" width="15.6640625" style="201" hidden="1" customWidth="1" outlineLevel="1"/>
    <col min="29" max="29" width="15" style="201" bestFit="1" customWidth="1" collapsed="1"/>
    <col min="30" max="30" width="14.21875" style="201" hidden="1" customWidth="1" outlineLevel="1"/>
    <col min="31" max="31" width="13.21875" style="201" customWidth="1" collapsed="1"/>
    <col min="32" max="32" width="17.77734375" style="201" hidden="1" customWidth="1" outlineLevel="1"/>
    <col min="33" max="33" width="14.109375" style="201" customWidth="1" collapsed="1"/>
    <col min="34" max="34" width="15.21875" style="201" customWidth="1"/>
    <col min="35" max="35" width="13.21875" style="201" customWidth="1"/>
    <col min="36" max="36" width="14.109375" style="201" customWidth="1"/>
    <col min="37" max="37" width="14.6640625" style="201" bestFit="1" customWidth="1"/>
    <col min="38" max="38" width="14.33203125" style="201" bestFit="1" customWidth="1"/>
    <col min="39" max="39" width="16.77734375" style="201" customWidth="1"/>
    <col min="40" max="40" width="14" style="201" bestFit="1" customWidth="1"/>
    <col min="41" max="41" width="16.77734375" style="201" customWidth="1"/>
    <col min="42" max="42" width="15.21875" style="201" customWidth="1"/>
    <col min="43" max="43" width="15.77734375" style="201" bestFit="1" customWidth="1"/>
    <col min="44" max="44" width="13.88671875" style="201" bestFit="1" customWidth="1"/>
    <col min="45" max="45" width="11.88671875" style="201" customWidth="1"/>
    <col min="46" max="47" width="13.88671875" style="201" customWidth="1"/>
    <col min="48" max="48" width="13.88671875" style="290" customWidth="1"/>
    <col min="49" max="50" width="15" style="290" bestFit="1" customWidth="1"/>
    <col min="51" max="51" width="13.33203125" style="197" bestFit="1" customWidth="1"/>
    <col min="52" max="53" width="9.21875" style="197"/>
    <col min="54" max="54" width="14.88671875" style="197" bestFit="1" customWidth="1"/>
    <col min="55" max="257" width="9.21875" style="197"/>
    <col min="258" max="258" width="0" style="197" hidden="1" customWidth="1"/>
    <col min="259" max="259" width="32.6640625" style="197" customWidth="1"/>
    <col min="260" max="260" width="0" style="197" hidden="1" customWidth="1"/>
    <col min="261" max="261" width="17.6640625" style="197" customWidth="1"/>
    <col min="262" max="262" width="15.6640625" style="197" bestFit="1" customWidth="1"/>
    <col min="263" max="263" width="15.21875" style="197" customWidth="1"/>
    <col min="264" max="264" width="15.33203125" style="197" bestFit="1" customWidth="1"/>
    <col min="265" max="265" width="14.109375" style="197" customWidth="1"/>
    <col min="266" max="266" width="13.88671875" style="197" bestFit="1" customWidth="1"/>
    <col min="267" max="267" width="15.21875" style="197" bestFit="1" customWidth="1"/>
    <col min="268" max="268" width="13" style="197" bestFit="1" customWidth="1"/>
    <col min="269" max="270" width="14.109375" style="197" customWidth="1"/>
    <col min="271" max="272" width="15.21875" style="197" bestFit="1" customWidth="1"/>
    <col min="273" max="273" width="14.21875" style="197" bestFit="1" customWidth="1"/>
    <col min="274" max="274" width="14.88671875" style="197" bestFit="1" customWidth="1"/>
    <col min="275" max="275" width="14.33203125" style="197" customWidth="1"/>
    <col min="276" max="276" width="17.21875" style="197" customWidth="1"/>
    <col min="277" max="277" width="4.77734375" style="197" customWidth="1"/>
    <col min="278" max="278" width="15.21875" style="197" customWidth="1"/>
    <col min="279" max="279" width="10.21875" style="197" customWidth="1"/>
    <col min="280" max="280" width="15.21875" style="197" customWidth="1"/>
    <col min="281" max="281" width="13" style="197" customWidth="1"/>
    <col min="282" max="282" width="13.88671875" style="197" customWidth="1"/>
    <col min="283" max="283" width="13" style="197" customWidth="1"/>
    <col min="284" max="284" width="13.88671875" style="197" customWidth="1"/>
    <col min="285" max="285" width="15.21875" style="197" customWidth="1"/>
    <col min="286" max="286" width="13" style="197" customWidth="1"/>
    <col min="287" max="287" width="14.109375" style="197" customWidth="1"/>
    <col min="288" max="288" width="17.77734375" style="197" customWidth="1"/>
    <col min="289" max="289" width="14.109375" style="197" customWidth="1"/>
    <col min="290" max="290" width="15.21875" style="197" customWidth="1"/>
    <col min="291" max="291" width="13.21875" style="197" customWidth="1"/>
    <col min="292" max="292" width="14.109375" style="197" customWidth="1"/>
    <col min="293" max="293" width="13" style="197" customWidth="1"/>
    <col min="294" max="294" width="9.77734375" style="197" customWidth="1"/>
    <col min="295" max="295" width="16.77734375" style="197" customWidth="1"/>
    <col min="296" max="296" width="11.109375" style="197" customWidth="1"/>
    <col min="297" max="297" width="16.77734375" style="197" customWidth="1"/>
    <col min="298" max="298" width="15.21875" style="197" customWidth="1"/>
    <col min="299" max="299" width="15.21875" style="197" bestFit="1" customWidth="1"/>
    <col min="300" max="300" width="12.88671875" style="197" customWidth="1"/>
    <col min="301" max="301" width="16.33203125" style="197" bestFit="1" customWidth="1"/>
    <col min="302" max="304" width="13.88671875" style="197" bestFit="1" customWidth="1"/>
    <col min="305" max="305" width="12.6640625" style="197" bestFit="1" customWidth="1"/>
    <col min="306" max="306" width="13.21875" style="197" bestFit="1" customWidth="1"/>
    <col min="307" max="307" width="13.109375" style="197" bestFit="1" customWidth="1"/>
    <col min="308" max="513" width="9.21875" style="197"/>
    <col min="514" max="514" width="0" style="197" hidden="1" customWidth="1"/>
    <col min="515" max="515" width="32.6640625" style="197" customWidth="1"/>
    <col min="516" max="516" width="0" style="197" hidden="1" customWidth="1"/>
    <col min="517" max="517" width="17.6640625" style="197" customWidth="1"/>
    <col min="518" max="518" width="15.6640625" style="197" bestFit="1" customWidth="1"/>
    <col min="519" max="519" width="15.21875" style="197" customWidth="1"/>
    <col min="520" max="520" width="15.33203125" style="197" bestFit="1" customWidth="1"/>
    <col min="521" max="521" width="14.109375" style="197" customWidth="1"/>
    <col min="522" max="522" width="13.88671875" style="197" bestFit="1" customWidth="1"/>
    <col min="523" max="523" width="15.21875" style="197" bestFit="1" customWidth="1"/>
    <col min="524" max="524" width="13" style="197" bestFit="1" customWidth="1"/>
    <col min="525" max="526" width="14.109375" style="197" customWidth="1"/>
    <col min="527" max="528" width="15.21875" style="197" bestFit="1" customWidth="1"/>
    <col min="529" max="529" width="14.21875" style="197" bestFit="1" customWidth="1"/>
    <col min="530" max="530" width="14.88671875" style="197" bestFit="1" customWidth="1"/>
    <col min="531" max="531" width="14.33203125" style="197" customWidth="1"/>
    <col min="532" max="532" width="17.21875" style="197" customWidth="1"/>
    <col min="533" max="533" width="4.77734375" style="197" customWidth="1"/>
    <col min="534" max="534" width="15.21875" style="197" customWidth="1"/>
    <col min="535" max="535" width="10.21875" style="197" customWidth="1"/>
    <col min="536" max="536" width="15.21875" style="197" customWidth="1"/>
    <col min="537" max="537" width="13" style="197" customWidth="1"/>
    <col min="538" max="538" width="13.88671875" style="197" customWidth="1"/>
    <col min="539" max="539" width="13" style="197" customWidth="1"/>
    <col min="540" max="540" width="13.88671875" style="197" customWidth="1"/>
    <col min="541" max="541" width="15.21875" style="197" customWidth="1"/>
    <col min="542" max="542" width="13" style="197" customWidth="1"/>
    <col min="543" max="543" width="14.109375" style="197" customWidth="1"/>
    <col min="544" max="544" width="17.77734375" style="197" customWidth="1"/>
    <col min="545" max="545" width="14.109375" style="197" customWidth="1"/>
    <col min="546" max="546" width="15.21875" style="197" customWidth="1"/>
    <col min="547" max="547" width="13.21875" style="197" customWidth="1"/>
    <col min="548" max="548" width="14.109375" style="197" customWidth="1"/>
    <col min="549" max="549" width="13" style="197" customWidth="1"/>
    <col min="550" max="550" width="9.77734375" style="197" customWidth="1"/>
    <col min="551" max="551" width="16.77734375" style="197" customWidth="1"/>
    <col min="552" max="552" width="11.109375" style="197" customWidth="1"/>
    <col min="553" max="553" width="16.77734375" style="197" customWidth="1"/>
    <col min="554" max="554" width="15.21875" style="197" customWidth="1"/>
    <col min="555" max="555" width="15.21875" style="197" bestFit="1" customWidth="1"/>
    <col min="556" max="556" width="12.88671875" style="197" customWidth="1"/>
    <col min="557" max="557" width="16.33203125" style="197" bestFit="1" customWidth="1"/>
    <col min="558" max="560" width="13.88671875" style="197" bestFit="1" customWidth="1"/>
    <col min="561" max="561" width="12.6640625" style="197" bestFit="1" customWidth="1"/>
    <col min="562" max="562" width="13.21875" style="197" bestFit="1" customWidth="1"/>
    <col min="563" max="563" width="13.109375" style="197" bestFit="1" customWidth="1"/>
    <col min="564" max="769" width="9.21875" style="197"/>
    <col min="770" max="770" width="0" style="197" hidden="1" customWidth="1"/>
    <col min="771" max="771" width="32.6640625" style="197" customWidth="1"/>
    <col min="772" max="772" width="0" style="197" hidden="1" customWidth="1"/>
    <col min="773" max="773" width="17.6640625" style="197" customWidth="1"/>
    <col min="774" max="774" width="15.6640625" style="197" bestFit="1" customWidth="1"/>
    <col min="775" max="775" width="15.21875" style="197" customWidth="1"/>
    <col min="776" max="776" width="15.33203125" style="197" bestFit="1" customWidth="1"/>
    <col min="777" max="777" width="14.109375" style="197" customWidth="1"/>
    <col min="778" max="778" width="13.88671875" style="197" bestFit="1" customWidth="1"/>
    <col min="779" max="779" width="15.21875" style="197" bestFit="1" customWidth="1"/>
    <col min="780" max="780" width="13" style="197" bestFit="1" customWidth="1"/>
    <col min="781" max="782" width="14.109375" style="197" customWidth="1"/>
    <col min="783" max="784" width="15.21875" style="197" bestFit="1" customWidth="1"/>
    <col min="785" max="785" width="14.21875" style="197" bestFit="1" customWidth="1"/>
    <col min="786" max="786" width="14.88671875" style="197" bestFit="1" customWidth="1"/>
    <col min="787" max="787" width="14.33203125" style="197" customWidth="1"/>
    <col min="788" max="788" width="17.21875" style="197" customWidth="1"/>
    <col min="789" max="789" width="4.77734375" style="197" customWidth="1"/>
    <col min="790" max="790" width="15.21875" style="197" customWidth="1"/>
    <col min="791" max="791" width="10.21875" style="197" customWidth="1"/>
    <col min="792" max="792" width="15.21875" style="197" customWidth="1"/>
    <col min="793" max="793" width="13" style="197" customWidth="1"/>
    <col min="794" max="794" width="13.88671875" style="197" customWidth="1"/>
    <col min="795" max="795" width="13" style="197" customWidth="1"/>
    <col min="796" max="796" width="13.88671875" style="197" customWidth="1"/>
    <col min="797" max="797" width="15.21875" style="197" customWidth="1"/>
    <col min="798" max="798" width="13" style="197" customWidth="1"/>
    <col min="799" max="799" width="14.109375" style="197" customWidth="1"/>
    <col min="800" max="800" width="17.77734375" style="197" customWidth="1"/>
    <col min="801" max="801" width="14.109375" style="197" customWidth="1"/>
    <col min="802" max="802" width="15.21875" style="197" customWidth="1"/>
    <col min="803" max="803" width="13.21875" style="197" customWidth="1"/>
    <col min="804" max="804" width="14.109375" style="197" customWidth="1"/>
    <col min="805" max="805" width="13" style="197" customWidth="1"/>
    <col min="806" max="806" width="9.77734375" style="197" customWidth="1"/>
    <col min="807" max="807" width="16.77734375" style="197" customWidth="1"/>
    <col min="808" max="808" width="11.109375" style="197" customWidth="1"/>
    <col min="809" max="809" width="16.77734375" style="197" customWidth="1"/>
    <col min="810" max="810" width="15.21875" style="197" customWidth="1"/>
    <col min="811" max="811" width="15.21875" style="197" bestFit="1" customWidth="1"/>
    <col min="812" max="812" width="12.88671875" style="197" customWidth="1"/>
    <col min="813" max="813" width="16.33203125" style="197" bestFit="1" customWidth="1"/>
    <col min="814" max="816" width="13.88671875" style="197" bestFit="1" customWidth="1"/>
    <col min="817" max="817" width="12.6640625" style="197" bestFit="1" customWidth="1"/>
    <col min="818" max="818" width="13.21875" style="197" bestFit="1" customWidth="1"/>
    <col min="819" max="819" width="13.109375" style="197" bestFit="1" customWidth="1"/>
    <col min="820" max="1025" width="9.21875" style="197"/>
    <col min="1026" max="1026" width="0" style="197" hidden="1" customWidth="1"/>
    <col min="1027" max="1027" width="32.6640625" style="197" customWidth="1"/>
    <col min="1028" max="1028" width="0" style="197" hidden="1" customWidth="1"/>
    <col min="1029" max="1029" width="17.6640625" style="197" customWidth="1"/>
    <col min="1030" max="1030" width="15.6640625" style="197" bestFit="1" customWidth="1"/>
    <col min="1031" max="1031" width="15.21875" style="197" customWidth="1"/>
    <col min="1032" max="1032" width="15.33203125" style="197" bestFit="1" customWidth="1"/>
    <col min="1033" max="1033" width="14.109375" style="197" customWidth="1"/>
    <col min="1034" max="1034" width="13.88671875" style="197" bestFit="1" customWidth="1"/>
    <col min="1035" max="1035" width="15.21875" style="197" bestFit="1" customWidth="1"/>
    <col min="1036" max="1036" width="13" style="197" bestFit="1" customWidth="1"/>
    <col min="1037" max="1038" width="14.109375" style="197" customWidth="1"/>
    <col min="1039" max="1040" width="15.21875" style="197" bestFit="1" customWidth="1"/>
    <col min="1041" max="1041" width="14.21875" style="197" bestFit="1" customWidth="1"/>
    <col min="1042" max="1042" width="14.88671875" style="197" bestFit="1" customWidth="1"/>
    <col min="1043" max="1043" width="14.33203125" style="197" customWidth="1"/>
    <col min="1044" max="1044" width="17.21875" style="197" customWidth="1"/>
    <col min="1045" max="1045" width="4.77734375" style="197" customWidth="1"/>
    <col min="1046" max="1046" width="15.21875" style="197" customWidth="1"/>
    <col min="1047" max="1047" width="10.21875" style="197" customWidth="1"/>
    <col min="1048" max="1048" width="15.21875" style="197" customWidth="1"/>
    <col min="1049" max="1049" width="13" style="197" customWidth="1"/>
    <col min="1050" max="1050" width="13.88671875" style="197" customWidth="1"/>
    <col min="1051" max="1051" width="13" style="197" customWidth="1"/>
    <col min="1052" max="1052" width="13.88671875" style="197" customWidth="1"/>
    <col min="1053" max="1053" width="15.21875" style="197" customWidth="1"/>
    <col min="1054" max="1054" width="13" style="197" customWidth="1"/>
    <col min="1055" max="1055" width="14.109375" style="197" customWidth="1"/>
    <col min="1056" max="1056" width="17.77734375" style="197" customWidth="1"/>
    <col min="1057" max="1057" width="14.109375" style="197" customWidth="1"/>
    <col min="1058" max="1058" width="15.21875" style="197" customWidth="1"/>
    <col min="1059" max="1059" width="13.21875" style="197" customWidth="1"/>
    <col min="1060" max="1060" width="14.109375" style="197" customWidth="1"/>
    <col min="1061" max="1061" width="13" style="197" customWidth="1"/>
    <col min="1062" max="1062" width="9.77734375" style="197" customWidth="1"/>
    <col min="1063" max="1063" width="16.77734375" style="197" customWidth="1"/>
    <col min="1064" max="1064" width="11.109375" style="197" customWidth="1"/>
    <col min="1065" max="1065" width="16.77734375" style="197" customWidth="1"/>
    <col min="1066" max="1066" width="15.21875" style="197" customWidth="1"/>
    <col min="1067" max="1067" width="15.21875" style="197" bestFit="1" customWidth="1"/>
    <col min="1068" max="1068" width="12.88671875" style="197" customWidth="1"/>
    <col min="1069" max="1069" width="16.33203125" style="197" bestFit="1" customWidth="1"/>
    <col min="1070" max="1072" width="13.88671875" style="197" bestFit="1" customWidth="1"/>
    <col min="1073" max="1073" width="12.6640625" style="197" bestFit="1" customWidth="1"/>
    <col min="1074" max="1074" width="13.21875" style="197" bestFit="1" customWidth="1"/>
    <col min="1075" max="1075" width="13.109375" style="197" bestFit="1" customWidth="1"/>
    <col min="1076" max="1281" width="9.21875" style="197"/>
    <col min="1282" max="1282" width="0" style="197" hidden="1" customWidth="1"/>
    <col min="1283" max="1283" width="32.6640625" style="197" customWidth="1"/>
    <col min="1284" max="1284" width="0" style="197" hidden="1" customWidth="1"/>
    <col min="1285" max="1285" width="17.6640625" style="197" customWidth="1"/>
    <col min="1286" max="1286" width="15.6640625" style="197" bestFit="1" customWidth="1"/>
    <col min="1287" max="1287" width="15.21875" style="197" customWidth="1"/>
    <col min="1288" max="1288" width="15.33203125" style="197" bestFit="1" customWidth="1"/>
    <col min="1289" max="1289" width="14.109375" style="197" customWidth="1"/>
    <col min="1290" max="1290" width="13.88671875" style="197" bestFit="1" customWidth="1"/>
    <col min="1291" max="1291" width="15.21875" style="197" bestFit="1" customWidth="1"/>
    <col min="1292" max="1292" width="13" style="197" bestFit="1" customWidth="1"/>
    <col min="1293" max="1294" width="14.109375" style="197" customWidth="1"/>
    <col min="1295" max="1296" width="15.21875" style="197" bestFit="1" customWidth="1"/>
    <col min="1297" max="1297" width="14.21875" style="197" bestFit="1" customWidth="1"/>
    <col min="1298" max="1298" width="14.88671875" style="197" bestFit="1" customWidth="1"/>
    <col min="1299" max="1299" width="14.33203125" style="197" customWidth="1"/>
    <col min="1300" max="1300" width="17.21875" style="197" customWidth="1"/>
    <col min="1301" max="1301" width="4.77734375" style="197" customWidth="1"/>
    <col min="1302" max="1302" width="15.21875" style="197" customWidth="1"/>
    <col min="1303" max="1303" width="10.21875" style="197" customWidth="1"/>
    <col min="1304" max="1304" width="15.21875" style="197" customWidth="1"/>
    <col min="1305" max="1305" width="13" style="197" customWidth="1"/>
    <col min="1306" max="1306" width="13.88671875" style="197" customWidth="1"/>
    <col min="1307" max="1307" width="13" style="197" customWidth="1"/>
    <col min="1308" max="1308" width="13.88671875" style="197" customWidth="1"/>
    <col min="1309" max="1309" width="15.21875" style="197" customWidth="1"/>
    <col min="1310" max="1310" width="13" style="197" customWidth="1"/>
    <col min="1311" max="1311" width="14.109375" style="197" customWidth="1"/>
    <col min="1312" max="1312" width="17.77734375" style="197" customWidth="1"/>
    <col min="1313" max="1313" width="14.109375" style="197" customWidth="1"/>
    <col min="1314" max="1314" width="15.21875" style="197" customWidth="1"/>
    <col min="1315" max="1315" width="13.21875" style="197" customWidth="1"/>
    <col min="1316" max="1316" width="14.109375" style="197" customWidth="1"/>
    <col min="1317" max="1317" width="13" style="197" customWidth="1"/>
    <col min="1318" max="1318" width="9.77734375" style="197" customWidth="1"/>
    <col min="1319" max="1319" width="16.77734375" style="197" customWidth="1"/>
    <col min="1320" max="1320" width="11.109375" style="197" customWidth="1"/>
    <col min="1321" max="1321" width="16.77734375" style="197" customWidth="1"/>
    <col min="1322" max="1322" width="15.21875" style="197" customWidth="1"/>
    <col min="1323" max="1323" width="15.21875" style="197" bestFit="1" customWidth="1"/>
    <col min="1324" max="1324" width="12.88671875" style="197" customWidth="1"/>
    <col min="1325" max="1325" width="16.33203125" style="197" bestFit="1" customWidth="1"/>
    <col min="1326" max="1328" width="13.88671875" style="197" bestFit="1" customWidth="1"/>
    <col min="1329" max="1329" width="12.6640625" style="197" bestFit="1" customWidth="1"/>
    <col min="1330" max="1330" width="13.21875" style="197" bestFit="1" customWidth="1"/>
    <col min="1331" max="1331" width="13.109375" style="197" bestFit="1" customWidth="1"/>
    <col min="1332" max="1537" width="9.21875" style="197"/>
    <col min="1538" max="1538" width="0" style="197" hidden="1" customWidth="1"/>
    <col min="1539" max="1539" width="32.6640625" style="197" customWidth="1"/>
    <col min="1540" max="1540" width="0" style="197" hidden="1" customWidth="1"/>
    <col min="1541" max="1541" width="17.6640625" style="197" customWidth="1"/>
    <col min="1542" max="1542" width="15.6640625" style="197" bestFit="1" customWidth="1"/>
    <col min="1543" max="1543" width="15.21875" style="197" customWidth="1"/>
    <col min="1544" max="1544" width="15.33203125" style="197" bestFit="1" customWidth="1"/>
    <col min="1545" max="1545" width="14.109375" style="197" customWidth="1"/>
    <col min="1546" max="1546" width="13.88671875" style="197" bestFit="1" customWidth="1"/>
    <col min="1547" max="1547" width="15.21875" style="197" bestFit="1" customWidth="1"/>
    <col min="1548" max="1548" width="13" style="197" bestFit="1" customWidth="1"/>
    <col min="1549" max="1550" width="14.109375" style="197" customWidth="1"/>
    <col min="1551" max="1552" width="15.21875" style="197" bestFit="1" customWidth="1"/>
    <col min="1553" max="1553" width="14.21875" style="197" bestFit="1" customWidth="1"/>
    <col min="1554" max="1554" width="14.88671875" style="197" bestFit="1" customWidth="1"/>
    <col min="1555" max="1555" width="14.33203125" style="197" customWidth="1"/>
    <col min="1556" max="1556" width="17.21875" style="197" customWidth="1"/>
    <col min="1557" max="1557" width="4.77734375" style="197" customWidth="1"/>
    <col min="1558" max="1558" width="15.21875" style="197" customWidth="1"/>
    <col min="1559" max="1559" width="10.21875" style="197" customWidth="1"/>
    <col min="1560" max="1560" width="15.21875" style="197" customWidth="1"/>
    <col min="1561" max="1561" width="13" style="197" customWidth="1"/>
    <col min="1562" max="1562" width="13.88671875" style="197" customWidth="1"/>
    <col min="1563" max="1563" width="13" style="197" customWidth="1"/>
    <col min="1564" max="1564" width="13.88671875" style="197" customWidth="1"/>
    <col min="1565" max="1565" width="15.21875" style="197" customWidth="1"/>
    <col min="1566" max="1566" width="13" style="197" customWidth="1"/>
    <col min="1567" max="1567" width="14.109375" style="197" customWidth="1"/>
    <col min="1568" max="1568" width="17.77734375" style="197" customWidth="1"/>
    <col min="1569" max="1569" width="14.109375" style="197" customWidth="1"/>
    <col min="1570" max="1570" width="15.21875" style="197" customWidth="1"/>
    <col min="1571" max="1571" width="13.21875" style="197" customWidth="1"/>
    <col min="1572" max="1572" width="14.109375" style="197" customWidth="1"/>
    <col min="1573" max="1573" width="13" style="197" customWidth="1"/>
    <col min="1574" max="1574" width="9.77734375" style="197" customWidth="1"/>
    <col min="1575" max="1575" width="16.77734375" style="197" customWidth="1"/>
    <col min="1576" max="1576" width="11.109375" style="197" customWidth="1"/>
    <col min="1577" max="1577" width="16.77734375" style="197" customWidth="1"/>
    <col min="1578" max="1578" width="15.21875" style="197" customWidth="1"/>
    <col min="1579" max="1579" width="15.21875" style="197" bestFit="1" customWidth="1"/>
    <col min="1580" max="1580" width="12.88671875" style="197" customWidth="1"/>
    <col min="1581" max="1581" width="16.33203125" style="197" bestFit="1" customWidth="1"/>
    <col min="1582" max="1584" width="13.88671875" style="197" bestFit="1" customWidth="1"/>
    <col min="1585" max="1585" width="12.6640625" style="197" bestFit="1" customWidth="1"/>
    <col min="1586" max="1586" width="13.21875" style="197" bestFit="1" customWidth="1"/>
    <col min="1587" max="1587" width="13.109375" style="197" bestFit="1" customWidth="1"/>
    <col min="1588" max="1793" width="9.21875" style="197"/>
    <col min="1794" max="1794" width="0" style="197" hidden="1" customWidth="1"/>
    <col min="1795" max="1795" width="32.6640625" style="197" customWidth="1"/>
    <col min="1796" max="1796" width="0" style="197" hidden="1" customWidth="1"/>
    <col min="1797" max="1797" width="17.6640625" style="197" customWidth="1"/>
    <col min="1798" max="1798" width="15.6640625" style="197" bestFit="1" customWidth="1"/>
    <col min="1799" max="1799" width="15.21875" style="197" customWidth="1"/>
    <col min="1800" max="1800" width="15.33203125" style="197" bestFit="1" customWidth="1"/>
    <col min="1801" max="1801" width="14.109375" style="197" customWidth="1"/>
    <col min="1802" max="1802" width="13.88671875" style="197" bestFit="1" customWidth="1"/>
    <col min="1803" max="1803" width="15.21875" style="197" bestFit="1" customWidth="1"/>
    <col min="1804" max="1804" width="13" style="197" bestFit="1" customWidth="1"/>
    <col min="1805" max="1806" width="14.109375" style="197" customWidth="1"/>
    <col min="1807" max="1808" width="15.21875" style="197" bestFit="1" customWidth="1"/>
    <col min="1809" max="1809" width="14.21875" style="197" bestFit="1" customWidth="1"/>
    <col min="1810" max="1810" width="14.88671875" style="197" bestFit="1" customWidth="1"/>
    <col min="1811" max="1811" width="14.33203125" style="197" customWidth="1"/>
    <col min="1812" max="1812" width="17.21875" style="197" customWidth="1"/>
    <col min="1813" max="1813" width="4.77734375" style="197" customWidth="1"/>
    <col min="1814" max="1814" width="15.21875" style="197" customWidth="1"/>
    <col min="1815" max="1815" width="10.21875" style="197" customWidth="1"/>
    <col min="1816" max="1816" width="15.21875" style="197" customWidth="1"/>
    <col min="1817" max="1817" width="13" style="197" customWidth="1"/>
    <col min="1818" max="1818" width="13.88671875" style="197" customWidth="1"/>
    <col min="1819" max="1819" width="13" style="197" customWidth="1"/>
    <col min="1820" max="1820" width="13.88671875" style="197" customWidth="1"/>
    <col min="1821" max="1821" width="15.21875" style="197" customWidth="1"/>
    <col min="1822" max="1822" width="13" style="197" customWidth="1"/>
    <col min="1823" max="1823" width="14.109375" style="197" customWidth="1"/>
    <col min="1824" max="1824" width="17.77734375" style="197" customWidth="1"/>
    <col min="1825" max="1825" width="14.109375" style="197" customWidth="1"/>
    <col min="1826" max="1826" width="15.21875" style="197" customWidth="1"/>
    <col min="1827" max="1827" width="13.21875" style="197" customWidth="1"/>
    <col min="1828" max="1828" width="14.109375" style="197" customWidth="1"/>
    <col min="1829" max="1829" width="13" style="197" customWidth="1"/>
    <col min="1830" max="1830" width="9.77734375" style="197" customWidth="1"/>
    <col min="1831" max="1831" width="16.77734375" style="197" customWidth="1"/>
    <col min="1832" max="1832" width="11.109375" style="197" customWidth="1"/>
    <col min="1833" max="1833" width="16.77734375" style="197" customWidth="1"/>
    <col min="1834" max="1834" width="15.21875" style="197" customWidth="1"/>
    <col min="1835" max="1835" width="15.21875" style="197" bestFit="1" customWidth="1"/>
    <col min="1836" max="1836" width="12.88671875" style="197" customWidth="1"/>
    <col min="1837" max="1837" width="16.33203125" style="197" bestFit="1" customWidth="1"/>
    <col min="1838" max="1840" width="13.88671875" style="197" bestFit="1" customWidth="1"/>
    <col min="1841" max="1841" width="12.6640625" style="197" bestFit="1" customWidth="1"/>
    <col min="1842" max="1842" width="13.21875" style="197" bestFit="1" customWidth="1"/>
    <col min="1843" max="1843" width="13.109375" style="197" bestFit="1" customWidth="1"/>
    <col min="1844" max="2049" width="9.21875" style="197"/>
    <col min="2050" max="2050" width="0" style="197" hidden="1" customWidth="1"/>
    <col min="2051" max="2051" width="32.6640625" style="197" customWidth="1"/>
    <col min="2052" max="2052" width="0" style="197" hidden="1" customWidth="1"/>
    <col min="2053" max="2053" width="17.6640625" style="197" customWidth="1"/>
    <col min="2054" max="2054" width="15.6640625" style="197" bestFit="1" customWidth="1"/>
    <col min="2055" max="2055" width="15.21875" style="197" customWidth="1"/>
    <col min="2056" max="2056" width="15.33203125" style="197" bestFit="1" customWidth="1"/>
    <col min="2057" max="2057" width="14.109375" style="197" customWidth="1"/>
    <col min="2058" max="2058" width="13.88671875" style="197" bestFit="1" customWidth="1"/>
    <col min="2059" max="2059" width="15.21875" style="197" bestFit="1" customWidth="1"/>
    <col min="2060" max="2060" width="13" style="197" bestFit="1" customWidth="1"/>
    <col min="2061" max="2062" width="14.109375" style="197" customWidth="1"/>
    <col min="2063" max="2064" width="15.21875" style="197" bestFit="1" customWidth="1"/>
    <col min="2065" max="2065" width="14.21875" style="197" bestFit="1" customWidth="1"/>
    <col min="2066" max="2066" width="14.88671875" style="197" bestFit="1" customWidth="1"/>
    <col min="2067" max="2067" width="14.33203125" style="197" customWidth="1"/>
    <col min="2068" max="2068" width="17.21875" style="197" customWidth="1"/>
    <col min="2069" max="2069" width="4.77734375" style="197" customWidth="1"/>
    <col min="2070" max="2070" width="15.21875" style="197" customWidth="1"/>
    <col min="2071" max="2071" width="10.21875" style="197" customWidth="1"/>
    <col min="2072" max="2072" width="15.21875" style="197" customWidth="1"/>
    <col min="2073" max="2073" width="13" style="197" customWidth="1"/>
    <col min="2074" max="2074" width="13.88671875" style="197" customWidth="1"/>
    <col min="2075" max="2075" width="13" style="197" customWidth="1"/>
    <col min="2076" max="2076" width="13.88671875" style="197" customWidth="1"/>
    <col min="2077" max="2077" width="15.21875" style="197" customWidth="1"/>
    <col min="2078" max="2078" width="13" style="197" customWidth="1"/>
    <col min="2079" max="2079" width="14.109375" style="197" customWidth="1"/>
    <col min="2080" max="2080" width="17.77734375" style="197" customWidth="1"/>
    <col min="2081" max="2081" width="14.109375" style="197" customWidth="1"/>
    <col min="2082" max="2082" width="15.21875" style="197" customWidth="1"/>
    <col min="2083" max="2083" width="13.21875" style="197" customWidth="1"/>
    <col min="2084" max="2084" width="14.109375" style="197" customWidth="1"/>
    <col min="2085" max="2085" width="13" style="197" customWidth="1"/>
    <col min="2086" max="2086" width="9.77734375" style="197" customWidth="1"/>
    <col min="2087" max="2087" width="16.77734375" style="197" customWidth="1"/>
    <col min="2088" max="2088" width="11.109375" style="197" customWidth="1"/>
    <col min="2089" max="2089" width="16.77734375" style="197" customWidth="1"/>
    <col min="2090" max="2090" width="15.21875" style="197" customWidth="1"/>
    <col min="2091" max="2091" width="15.21875" style="197" bestFit="1" customWidth="1"/>
    <col min="2092" max="2092" width="12.88671875" style="197" customWidth="1"/>
    <col min="2093" max="2093" width="16.33203125" style="197" bestFit="1" customWidth="1"/>
    <col min="2094" max="2096" width="13.88671875" style="197" bestFit="1" customWidth="1"/>
    <col min="2097" max="2097" width="12.6640625" style="197" bestFit="1" customWidth="1"/>
    <col min="2098" max="2098" width="13.21875" style="197" bestFit="1" customWidth="1"/>
    <col min="2099" max="2099" width="13.109375" style="197" bestFit="1" customWidth="1"/>
    <col min="2100" max="2305" width="9.21875" style="197"/>
    <col min="2306" max="2306" width="0" style="197" hidden="1" customWidth="1"/>
    <col min="2307" max="2307" width="32.6640625" style="197" customWidth="1"/>
    <col min="2308" max="2308" width="0" style="197" hidden="1" customWidth="1"/>
    <col min="2309" max="2309" width="17.6640625" style="197" customWidth="1"/>
    <col min="2310" max="2310" width="15.6640625" style="197" bestFit="1" customWidth="1"/>
    <col min="2311" max="2311" width="15.21875" style="197" customWidth="1"/>
    <col min="2312" max="2312" width="15.33203125" style="197" bestFit="1" customWidth="1"/>
    <col min="2313" max="2313" width="14.109375" style="197" customWidth="1"/>
    <col min="2314" max="2314" width="13.88671875" style="197" bestFit="1" customWidth="1"/>
    <col min="2315" max="2315" width="15.21875" style="197" bestFit="1" customWidth="1"/>
    <col min="2316" max="2316" width="13" style="197" bestFit="1" customWidth="1"/>
    <col min="2317" max="2318" width="14.109375" style="197" customWidth="1"/>
    <col min="2319" max="2320" width="15.21875" style="197" bestFit="1" customWidth="1"/>
    <col min="2321" max="2321" width="14.21875" style="197" bestFit="1" customWidth="1"/>
    <col min="2322" max="2322" width="14.88671875" style="197" bestFit="1" customWidth="1"/>
    <col min="2323" max="2323" width="14.33203125" style="197" customWidth="1"/>
    <col min="2324" max="2324" width="17.21875" style="197" customWidth="1"/>
    <col min="2325" max="2325" width="4.77734375" style="197" customWidth="1"/>
    <col min="2326" max="2326" width="15.21875" style="197" customWidth="1"/>
    <col min="2327" max="2327" width="10.21875" style="197" customWidth="1"/>
    <col min="2328" max="2328" width="15.21875" style="197" customWidth="1"/>
    <col min="2329" max="2329" width="13" style="197" customWidth="1"/>
    <col min="2330" max="2330" width="13.88671875" style="197" customWidth="1"/>
    <col min="2331" max="2331" width="13" style="197" customWidth="1"/>
    <col min="2332" max="2332" width="13.88671875" style="197" customWidth="1"/>
    <col min="2333" max="2333" width="15.21875" style="197" customWidth="1"/>
    <col min="2334" max="2334" width="13" style="197" customWidth="1"/>
    <col min="2335" max="2335" width="14.109375" style="197" customWidth="1"/>
    <col min="2336" max="2336" width="17.77734375" style="197" customWidth="1"/>
    <col min="2337" max="2337" width="14.109375" style="197" customWidth="1"/>
    <col min="2338" max="2338" width="15.21875" style="197" customWidth="1"/>
    <col min="2339" max="2339" width="13.21875" style="197" customWidth="1"/>
    <col min="2340" max="2340" width="14.109375" style="197" customWidth="1"/>
    <col min="2341" max="2341" width="13" style="197" customWidth="1"/>
    <col min="2342" max="2342" width="9.77734375" style="197" customWidth="1"/>
    <col min="2343" max="2343" width="16.77734375" style="197" customWidth="1"/>
    <col min="2344" max="2344" width="11.109375" style="197" customWidth="1"/>
    <col min="2345" max="2345" width="16.77734375" style="197" customWidth="1"/>
    <col min="2346" max="2346" width="15.21875" style="197" customWidth="1"/>
    <col min="2347" max="2347" width="15.21875" style="197" bestFit="1" customWidth="1"/>
    <col min="2348" max="2348" width="12.88671875" style="197" customWidth="1"/>
    <col min="2349" max="2349" width="16.33203125" style="197" bestFit="1" customWidth="1"/>
    <col min="2350" max="2352" width="13.88671875" style="197" bestFit="1" customWidth="1"/>
    <col min="2353" max="2353" width="12.6640625" style="197" bestFit="1" customWidth="1"/>
    <col min="2354" max="2354" width="13.21875" style="197" bestFit="1" customWidth="1"/>
    <col min="2355" max="2355" width="13.109375" style="197" bestFit="1" customWidth="1"/>
    <col min="2356" max="2561" width="9.21875" style="197"/>
    <col min="2562" max="2562" width="0" style="197" hidden="1" customWidth="1"/>
    <col min="2563" max="2563" width="32.6640625" style="197" customWidth="1"/>
    <col min="2564" max="2564" width="0" style="197" hidden="1" customWidth="1"/>
    <col min="2565" max="2565" width="17.6640625" style="197" customWidth="1"/>
    <col min="2566" max="2566" width="15.6640625" style="197" bestFit="1" customWidth="1"/>
    <col min="2567" max="2567" width="15.21875" style="197" customWidth="1"/>
    <col min="2568" max="2568" width="15.33203125" style="197" bestFit="1" customWidth="1"/>
    <col min="2569" max="2569" width="14.109375" style="197" customWidth="1"/>
    <col min="2570" max="2570" width="13.88671875" style="197" bestFit="1" customWidth="1"/>
    <col min="2571" max="2571" width="15.21875" style="197" bestFit="1" customWidth="1"/>
    <col min="2572" max="2572" width="13" style="197" bestFit="1" customWidth="1"/>
    <col min="2573" max="2574" width="14.109375" style="197" customWidth="1"/>
    <col min="2575" max="2576" width="15.21875" style="197" bestFit="1" customWidth="1"/>
    <col min="2577" max="2577" width="14.21875" style="197" bestFit="1" customWidth="1"/>
    <col min="2578" max="2578" width="14.88671875" style="197" bestFit="1" customWidth="1"/>
    <col min="2579" max="2579" width="14.33203125" style="197" customWidth="1"/>
    <col min="2580" max="2580" width="17.21875" style="197" customWidth="1"/>
    <col min="2581" max="2581" width="4.77734375" style="197" customWidth="1"/>
    <col min="2582" max="2582" width="15.21875" style="197" customWidth="1"/>
    <col min="2583" max="2583" width="10.21875" style="197" customWidth="1"/>
    <col min="2584" max="2584" width="15.21875" style="197" customWidth="1"/>
    <col min="2585" max="2585" width="13" style="197" customWidth="1"/>
    <col min="2586" max="2586" width="13.88671875" style="197" customWidth="1"/>
    <col min="2587" max="2587" width="13" style="197" customWidth="1"/>
    <col min="2588" max="2588" width="13.88671875" style="197" customWidth="1"/>
    <col min="2589" max="2589" width="15.21875" style="197" customWidth="1"/>
    <col min="2590" max="2590" width="13" style="197" customWidth="1"/>
    <col min="2591" max="2591" width="14.109375" style="197" customWidth="1"/>
    <col min="2592" max="2592" width="17.77734375" style="197" customWidth="1"/>
    <col min="2593" max="2593" width="14.109375" style="197" customWidth="1"/>
    <col min="2594" max="2594" width="15.21875" style="197" customWidth="1"/>
    <col min="2595" max="2595" width="13.21875" style="197" customWidth="1"/>
    <col min="2596" max="2596" width="14.109375" style="197" customWidth="1"/>
    <col min="2597" max="2597" width="13" style="197" customWidth="1"/>
    <col min="2598" max="2598" width="9.77734375" style="197" customWidth="1"/>
    <col min="2599" max="2599" width="16.77734375" style="197" customWidth="1"/>
    <col min="2600" max="2600" width="11.109375" style="197" customWidth="1"/>
    <col min="2601" max="2601" width="16.77734375" style="197" customWidth="1"/>
    <col min="2602" max="2602" width="15.21875" style="197" customWidth="1"/>
    <col min="2603" max="2603" width="15.21875" style="197" bestFit="1" customWidth="1"/>
    <col min="2604" max="2604" width="12.88671875" style="197" customWidth="1"/>
    <col min="2605" max="2605" width="16.33203125" style="197" bestFit="1" customWidth="1"/>
    <col min="2606" max="2608" width="13.88671875" style="197" bestFit="1" customWidth="1"/>
    <col min="2609" max="2609" width="12.6640625" style="197" bestFit="1" customWidth="1"/>
    <col min="2610" max="2610" width="13.21875" style="197" bestFit="1" customWidth="1"/>
    <col min="2611" max="2611" width="13.109375" style="197" bestFit="1" customWidth="1"/>
    <col min="2612" max="2817" width="9.21875" style="197"/>
    <col min="2818" max="2818" width="0" style="197" hidden="1" customWidth="1"/>
    <col min="2819" max="2819" width="32.6640625" style="197" customWidth="1"/>
    <col min="2820" max="2820" width="0" style="197" hidden="1" customWidth="1"/>
    <col min="2821" max="2821" width="17.6640625" style="197" customWidth="1"/>
    <col min="2822" max="2822" width="15.6640625" style="197" bestFit="1" customWidth="1"/>
    <col min="2823" max="2823" width="15.21875" style="197" customWidth="1"/>
    <col min="2824" max="2824" width="15.33203125" style="197" bestFit="1" customWidth="1"/>
    <col min="2825" max="2825" width="14.109375" style="197" customWidth="1"/>
    <col min="2826" max="2826" width="13.88671875" style="197" bestFit="1" customWidth="1"/>
    <col min="2827" max="2827" width="15.21875" style="197" bestFit="1" customWidth="1"/>
    <col min="2828" max="2828" width="13" style="197" bestFit="1" customWidth="1"/>
    <col min="2829" max="2830" width="14.109375" style="197" customWidth="1"/>
    <col min="2831" max="2832" width="15.21875" style="197" bestFit="1" customWidth="1"/>
    <col min="2833" max="2833" width="14.21875" style="197" bestFit="1" customWidth="1"/>
    <col min="2834" max="2834" width="14.88671875" style="197" bestFit="1" customWidth="1"/>
    <col min="2835" max="2835" width="14.33203125" style="197" customWidth="1"/>
    <col min="2836" max="2836" width="17.21875" style="197" customWidth="1"/>
    <col min="2837" max="2837" width="4.77734375" style="197" customWidth="1"/>
    <col min="2838" max="2838" width="15.21875" style="197" customWidth="1"/>
    <col min="2839" max="2839" width="10.21875" style="197" customWidth="1"/>
    <col min="2840" max="2840" width="15.21875" style="197" customWidth="1"/>
    <col min="2841" max="2841" width="13" style="197" customWidth="1"/>
    <col min="2842" max="2842" width="13.88671875" style="197" customWidth="1"/>
    <col min="2843" max="2843" width="13" style="197" customWidth="1"/>
    <col min="2844" max="2844" width="13.88671875" style="197" customWidth="1"/>
    <col min="2845" max="2845" width="15.21875" style="197" customWidth="1"/>
    <col min="2846" max="2846" width="13" style="197" customWidth="1"/>
    <col min="2847" max="2847" width="14.109375" style="197" customWidth="1"/>
    <col min="2848" max="2848" width="17.77734375" style="197" customWidth="1"/>
    <col min="2849" max="2849" width="14.109375" style="197" customWidth="1"/>
    <col min="2850" max="2850" width="15.21875" style="197" customWidth="1"/>
    <col min="2851" max="2851" width="13.21875" style="197" customWidth="1"/>
    <col min="2852" max="2852" width="14.109375" style="197" customWidth="1"/>
    <col min="2853" max="2853" width="13" style="197" customWidth="1"/>
    <col min="2854" max="2854" width="9.77734375" style="197" customWidth="1"/>
    <col min="2855" max="2855" width="16.77734375" style="197" customWidth="1"/>
    <col min="2856" max="2856" width="11.109375" style="197" customWidth="1"/>
    <col min="2857" max="2857" width="16.77734375" style="197" customWidth="1"/>
    <col min="2858" max="2858" width="15.21875" style="197" customWidth="1"/>
    <col min="2859" max="2859" width="15.21875" style="197" bestFit="1" customWidth="1"/>
    <col min="2860" max="2860" width="12.88671875" style="197" customWidth="1"/>
    <col min="2861" max="2861" width="16.33203125" style="197" bestFit="1" customWidth="1"/>
    <col min="2862" max="2864" width="13.88671875" style="197" bestFit="1" customWidth="1"/>
    <col min="2865" max="2865" width="12.6640625" style="197" bestFit="1" customWidth="1"/>
    <col min="2866" max="2866" width="13.21875" style="197" bestFit="1" customWidth="1"/>
    <col min="2867" max="2867" width="13.109375" style="197" bestFit="1" customWidth="1"/>
    <col min="2868" max="3073" width="9.21875" style="197"/>
    <col min="3074" max="3074" width="0" style="197" hidden="1" customWidth="1"/>
    <col min="3075" max="3075" width="32.6640625" style="197" customWidth="1"/>
    <col min="3076" max="3076" width="0" style="197" hidden="1" customWidth="1"/>
    <col min="3077" max="3077" width="17.6640625" style="197" customWidth="1"/>
    <col min="3078" max="3078" width="15.6640625" style="197" bestFit="1" customWidth="1"/>
    <col min="3079" max="3079" width="15.21875" style="197" customWidth="1"/>
    <col min="3080" max="3080" width="15.33203125" style="197" bestFit="1" customWidth="1"/>
    <col min="3081" max="3081" width="14.109375" style="197" customWidth="1"/>
    <col min="3082" max="3082" width="13.88671875" style="197" bestFit="1" customWidth="1"/>
    <col min="3083" max="3083" width="15.21875" style="197" bestFit="1" customWidth="1"/>
    <col min="3084" max="3084" width="13" style="197" bestFit="1" customWidth="1"/>
    <col min="3085" max="3086" width="14.109375" style="197" customWidth="1"/>
    <col min="3087" max="3088" width="15.21875" style="197" bestFit="1" customWidth="1"/>
    <col min="3089" max="3089" width="14.21875" style="197" bestFit="1" customWidth="1"/>
    <col min="3090" max="3090" width="14.88671875" style="197" bestFit="1" customWidth="1"/>
    <col min="3091" max="3091" width="14.33203125" style="197" customWidth="1"/>
    <col min="3092" max="3092" width="17.21875" style="197" customWidth="1"/>
    <col min="3093" max="3093" width="4.77734375" style="197" customWidth="1"/>
    <col min="3094" max="3094" width="15.21875" style="197" customWidth="1"/>
    <col min="3095" max="3095" width="10.21875" style="197" customWidth="1"/>
    <col min="3096" max="3096" width="15.21875" style="197" customWidth="1"/>
    <col min="3097" max="3097" width="13" style="197" customWidth="1"/>
    <col min="3098" max="3098" width="13.88671875" style="197" customWidth="1"/>
    <col min="3099" max="3099" width="13" style="197" customWidth="1"/>
    <col min="3100" max="3100" width="13.88671875" style="197" customWidth="1"/>
    <col min="3101" max="3101" width="15.21875" style="197" customWidth="1"/>
    <col min="3102" max="3102" width="13" style="197" customWidth="1"/>
    <col min="3103" max="3103" width="14.109375" style="197" customWidth="1"/>
    <col min="3104" max="3104" width="17.77734375" style="197" customWidth="1"/>
    <col min="3105" max="3105" width="14.109375" style="197" customWidth="1"/>
    <col min="3106" max="3106" width="15.21875" style="197" customWidth="1"/>
    <col min="3107" max="3107" width="13.21875" style="197" customWidth="1"/>
    <col min="3108" max="3108" width="14.109375" style="197" customWidth="1"/>
    <col min="3109" max="3109" width="13" style="197" customWidth="1"/>
    <col min="3110" max="3110" width="9.77734375" style="197" customWidth="1"/>
    <col min="3111" max="3111" width="16.77734375" style="197" customWidth="1"/>
    <col min="3112" max="3112" width="11.109375" style="197" customWidth="1"/>
    <col min="3113" max="3113" width="16.77734375" style="197" customWidth="1"/>
    <col min="3114" max="3114" width="15.21875" style="197" customWidth="1"/>
    <col min="3115" max="3115" width="15.21875" style="197" bestFit="1" customWidth="1"/>
    <col min="3116" max="3116" width="12.88671875" style="197" customWidth="1"/>
    <col min="3117" max="3117" width="16.33203125" style="197" bestFit="1" customWidth="1"/>
    <col min="3118" max="3120" width="13.88671875" style="197" bestFit="1" customWidth="1"/>
    <col min="3121" max="3121" width="12.6640625" style="197" bestFit="1" customWidth="1"/>
    <col min="3122" max="3122" width="13.21875" style="197" bestFit="1" customWidth="1"/>
    <col min="3123" max="3123" width="13.109375" style="197" bestFit="1" customWidth="1"/>
    <col min="3124" max="3329" width="9.21875" style="197"/>
    <col min="3330" max="3330" width="0" style="197" hidden="1" customWidth="1"/>
    <col min="3331" max="3331" width="32.6640625" style="197" customWidth="1"/>
    <col min="3332" max="3332" width="0" style="197" hidden="1" customWidth="1"/>
    <col min="3333" max="3333" width="17.6640625" style="197" customWidth="1"/>
    <col min="3334" max="3334" width="15.6640625" style="197" bestFit="1" customWidth="1"/>
    <col min="3335" max="3335" width="15.21875" style="197" customWidth="1"/>
    <col min="3336" max="3336" width="15.33203125" style="197" bestFit="1" customWidth="1"/>
    <col min="3337" max="3337" width="14.109375" style="197" customWidth="1"/>
    <col min="3338" max="3338" width="13.88671875" style="197" bestFit="1" customWidth="1"/>
    <col min="3339" max="3339" width="15.21875" style="197" bestFit="1" customWidth="1"/>
    <col min="3340" max="3340" width="13" style="197" bestFit="1" customWidth="1"/>
    <col min="3341" max="3342" width="14.109375" style="197" customWidth="1"/>
    <col min="3343" max="3344" width="15.21875" style="197" bestFit="1" customWidth="1"/>
    <col min="3345" max="3345" width="14.21875" style="197" bestFit="1" customWidth="1"/>
    <col min="3346" max="3346" width="14.88671875" style="197" bestFit="1" customWidth="1"/>
    <col min="3347" max="3347" width="14.33203125" style="197" customWidth="1"/>
    <col min="3348" max="3348" width="17.21875" style="197" customWidth="1"/>
    <col min="3349" max="3349" width="4.77734375" style="197" customWidth="1"/>
    <col min="3350" max="3350" width="15.21875" style="197" customWidth="1"/>
    <col min="3351" max="3351" width="10.21875" style="197" customWidth="1"/>
    <col min="3352" max="3352" width="15.21875" style="197" customWidth="1"/>
    <col min="3353" max="3353" width="13" style="197" customWidth="1"/>
    <col min="3354" max="3354" width="13.88671875" style="197" customWidth="1"/>
    <col min="3355" max="3355" width="13" style="197" customWidth="1"/>
    <col min="3356" max="3356" width="13.88671875" style="197" customWidth="1"/>
    <col min="3357" max="3357" width="15.21875" style="197" customWidth="1"/>
    <col min="3358" max="3358" width="13" style="197" customWidth="1"/>
    <col min="3359" max="3359" width="14.109375" style="197" customWidth="1"/>
    <col min="3360" max="3360" width="17.77734375" style="197" customWidth="1"/>
    <col min="3361" max="3361" width="14.109375" style="197" customWidth="1"/>
    <col min="3362" max="3362" width="15.21875" style="197" customWidth="1"/>
    <col min="3363" max="3363" width="13.21875" style="197" customWidth="1"/>
    <col min="3364" max="3364" width="14.109375" style="197" customWidth="1"/>
    <col min="3365" max="3365" width="13" style="197" customWidth="1"/>
    <col min="3366" max="3366" width="9.77734375" style="197" customWidth="1"/>
    <col min="3367" max="3367" width="16.77734375" style="197" customWidth="1"/>
    <col min="3368" max="3368" width="11.109375" style="197" customWidth="1"/>
    <col min="3369" max="3369" width="16.77734375" style="197" customWidth="1"/>
    <col min="3370" max="3370" width="15.21875" style="197" customWidth="1"/>
    <col min="3371" max="3371" width="15.21875" style="197" bestFit="1" customWidth="1"/>
    <col min="3372" max="3372" width="12.88671875" style="197" customWidth="1"/>
    <col min="3373" max="3373" width="16.33203125" style="197" bestFit="1" customWidth="1"/>
    <col min="3374" max="3376" width="13.88671875" style="197" bestFit="1" customWidth="1"/>
    <col min="3377" max="3377" width="12.6640625" style="197" bestFit="1" customWidth="1"/>
    <col min="3378" max="3378" width="13.21875" style="197" bestFit="1" customWidth="1"/>
    <col min="3379" max="3379" width="13.109375" style="197" bestFit="1" customWidth="1"/>
    <col min="3380" max="3585" width="9.21875" style="197"/>
    <col min="3586" max="3586" width="0" style="197" hidden="1" customWidth="1"/>
    <col min="3587" max="3587" width="32.6640625" style="197" customWidth="1"/>
    <col min="3588" max="3588" width="0" style="197" hidden="1" customWidth="1"/>
    <col min="3589" max="3589" width="17.6640625" style="197" customWidth="1"/>
    <col min="3590" max="3590" width="15.6640625" style="197" bestFit="1" customWidth="1"/>
    <col min="3591" max="3591" width="15.21875" style="197" customWidth="1"/>
    <col min="3592" max="3592" width="15.33203125" style="197" bestFit="1" customWidth="1"/>
    <col min="3593" max="3593" width="14.109375" style="197" customWidth="1"/>
    <col min="3594" max="3594" width="13.88671875" style="197" bestFit="1" customWidth="1"/>
    <col min="3595" max="3595" width="15.21875" style="197" bestFit="1" customWidth="1"/>
    <col min="3596" max="3596" width="13" style="197" bestFit="1" customWidth="1"/>
    <col min="3597" max="3598" width="14.109375" style="197" customWidth="1"/>
    <col min="3599" max="3600" width="15.21875" style="197" bestFit="1" customWidth="1"/>
    <col min="3601" max="3601" width="14.21875" style="197" bestFit="1" customWidth="1"/>
    <col min="3602" max="3602" width="14.88671875" style="197" bestFit="1" customWidth="1"/>
    <col min="3603" max="3603" width="14.33203125" style="197" customWidth="1"/>
    <col min="3604" max="3604" width="17.21875" style="197" customWidth="1"/>
    <col min="3605" max="3605" width="4.77734375" style="197" customWidth="1"/>
    <col min="3606" max="3606" width="15.21875" style="197" customWidth="1"/>
    <col min="3607" max="3607" width="10.21875" style="197" customWidth="1"/>
    <col min="3608" max="3608" width="15.21875" style="197" customWidth="1"/>
    <col min="3609" max="3609" width="13" style="197" customWidth="1"/>
    <col min="3610" max="3610" width="13.88671875" style="197" customWidth="1"/>
    <col min="3611" max="3611" width="13" style="197" customWidth="1"/>
    <col min="3612" max="3612" width="13.88671875" style="197" customWidth="1"/>
    <col min="3613" max="3613" width="15.21875" style="197" customWidth="1"/>
    <col min="3614" max="3614" width="13" style="197" customWidth="1"/>
    <col min="3615" max="3615" width="14.109375" style="197" customWidth="1"/>
    <col min="3616" max="3616" width="17.77734375" style="197" customWidth="1"/>
    <col min="3617" max="3617" width="14.109375" style="197" customWidth="1"/>
    <col min="3618" max="3618" width="15.21875" style="197" customWidth="1"/>
    <col min="3619" max="3619" width="13.21875" style="197" customWidth="1"/>
    <col min="3620" max="3620" width="14.109375" style="197" customWidth="1"/>
    <col min="3621" max="3621" width="13" style="197" customWidth="1"/>
    <col min="3622" max="3622" width="9.77734375" style="197" customWidth="1"/>
    <col min="3623" max="3623" width="16.77734375" style="197" customWidth="1"/>
    <col min="3624" max="3624" width="11.109375" style="197" customWidth="1"/>
    <col min="3625" max="3625" width="16.77734375" style="197" customWidth="1"/>
    <col min="3626" max="3626" width="15.21875" style="197" customWidth="1"/>
    <col min="3627" max="3627" width="15.21875" style="197" bestFit="1" customWidth="1"/>
    <col min="3628" max="3628" width="12.88671875" style="197" customWidth="1"/>
    <col min="3629" max="3629" width="16.33203125" style="197" bestFit="1" customWidth="1"/>
    <col min="3630" max="3632" width="13.88671875" style="197" bestFit="1" customWidth="1"/>
    <col min="3633" max="3633" width="12.6640625" style="197" bestFit="1" customWidth="1"/>
    <col min="3634" max="3634" width="13.21875" style="197" bestFit="1" customWidth="1"/>
    <col min="3635" max="3635" width="13.109375" style="197" bestFit="1" customWidth="1"/>
    <col min="3636" max="3841" width="9.21875" style="197"/>
    <col min="3842" max="3842" width="0" style="197" hidden="1" customWidth="1"/>
    <col min="3843" max="3843" width="32.6640625" style="197" customWidth="1"/>
    <col min="3844" max="3844" width="0" style="197" hidden="1" customWidth="1"/>
    <col min="3845" max="3845" width="17.6640625" style="197" customWidth="1"/>
    <col min="3846" max="3846" width="15.6640625" style="197" bestFit="1" customWidth="1"/>
    <col min="3847" max="3847" width="15.21875" style="197" customWidth="1"/>
    <col min="3848" max="3848" width="15.33203125" style="197" bestFit="1" customWidth="1"/>
    <col min="3849" max="3849" width="14.109375" style="197" customWidth="1"/>
    <col min="3850" max="3850" width="13.88671875" style="197" bestFit="1" customWidth="1"/>
    <col min="3851" max="3851" width="15.21875" style="197" bestFit="1" customWidth="1"/>
    <col min="3852" max="3852" width="13" style="197" bestFit="1" customWidth="1"/>
    <col min="3853" max="3854" width="14.109375" style="197" customWidth="1"/>
    <col min="3855" max="3856" width="15.21875" style="197" bestFit="1" customWidth="1"/>
    <col min="3857" max="3857" width="14.21875" style="197" bestFit="1" customWidth="1"/>
    <col min="3858" max="3858" width="14.88671875" style="197" bestFit="1" customWidth="1"/>
    <col min="3859" max="3859" width="14.33203125" style="197" customWidth="1"/>
    <col min="3860" max="3860" width="17.21875" style="197" customWidth="1"/>
    <col min="3861" max="3861" width="4.77734375" style="197" customWidth="1"/>
    <col min="3862" max="3862" width="15.21875" style="197" customWidth="1"/>
    <col min="3863" max="3863" width="10.21875" style="197" customWidth="1"/>
    <col min="3864" max="3864" width="15.21875" style="197" customWidth="1"/>
    <col min="3865" max="3865" width="13" style="197" customWidth="1"/>
    <col min="3866" max="3866" width="13.88671875" style="197" customWidth="1"/>
    <col min="3867" max="3867" width="13" style="197" customWidth="1"/>
    <col min="3868" max="3868" width="13.88671875" style="197" customWidth="1"/>
    <col min="3869" max="3869" width="15.21875" style="197" customWidth="1"/>
    <col min="3870" max="3870" width="13" style="197" customWidth="1"/>
    <col min="3871" max="3871" width="14.109375" style="197" customWidth="1"/>
    <col min="3872" max="3872" width="17.77734375" style="197" customWidth="1"/>
    <col min="3873" max="3873" width="14.109375" style="197" customWidth="1"/>
    <col min="3874" max="3874" width="15.21875" style="197" customWidth="1"/>
    <col min="3875" max="3875" width="13.21875" style="197" customWidth="1"/>
    <col min="3876" max="3876" width="14.109375" style="197" customWidth="1"/>
    <col min="3877" max="3877" width="13" style="197" customWidth="1"/>
    <col min="3878" max="3878" width="9.77734375" style="197" customWidth="1"/>
    <col min="3879" max="3879" width="16.77734375" style="197" customWidth="1"/>
    <col min="3880" max="3880" width="11.109375" style="197" customWidth="1"/>
    <col min="3881" max="3881" width="16.77734375" style="197" customWidth="1"/>
    <col min="3882" max="3882" width="15.21875" style="197" customWidth="1"/>
    <col min="3883" max="3883" width="15.21875" style="197" bestFit="1" customWidth="1"/>
    <col min="3884" max="3884" width="12.88671875" style="197" customWidth="1"/>
    <col min="3885" max="3885" width="16.33203125" style="197" bestFit="1" customWidth="1"/>
    <col min="3886" max="3888" width="13.88671875" style="197" bestFit="1" customWidth="1"/>
    <col min="3889" max="3889" width="12.6640625" style="197" bestFit="1" customWidth="1"/>
    <col min="3890" max="3890" width="13.21875" style="197" bestFit="1" customWidth="1"/>
    <col min="3891" max="3891" width="13.109375" style="197" bestFit="1" customWidth="1"/>
    <col min="3892" max="4097" width="9.21875" style="197"/>
    <col min="4098" max="4098" width="0" style="197" hidden="1" customWidth="1"/>
    <col min="4099" max="4099" width="32.6640625" style="197" customWidth="1"/>
    <col min="4100" max="4100" width="0" style="197" hidden="1" customWidth="1"/>
    <col min="4101" max="4101" width="17.6640625" style="197" customWidth="1"/>
    <col min="4102" max="4102" width="15.6640625" style="197" bestFit="1" customWidth="1"/>
    <col min="4103" max="4103" width="15.21875" style="197" customWidth="1"/>
    <col min="4104" max="4104" width="15.33203125" style="197" bestFit="1" customWidth="1"/>
    <col min="4105" max="4105" width="14.109375" style="197" customWidth="1"/>
    <col min="4106" max="4106" width="13.88671875" style="197" bestFit="1" customWidth="1"/>
    <col min="4107" max="4107" width="15.21875" style="197" bestFit="1" customWidth="1"/>
    <col min="4108" max="4108" width="13" style="197" bestFit="1" customWidth="1"/>
    <col min="4109" max="4110" width="14.109375" style="197" customWidth="1"/>
    <col min="4111" max="4112" width="15.21875" style="197" bestFit="1" customWidth="1"/>
    <col min="4113" max="4113" width="14.21875" style="197" bestFit="1" customWidth="1"/>
    <col min="4114" max="4114" width="14.88671875" style="197" bestFit="1" customWidth="1"/>
    <col min="4115" max="4115" width="14.33203125" style="197" customWidth="1"/>
    <col min="4116" max="4116" width="17.21875" style="197" customWidth="1"/>
    <col min="4117" max="4117" width="4.77734375" style="197" customWidth="1"/>
    <col min="4118" max="4118" width="15.21875" style="197" customWidth="1"/>
    <col min="4119" max="4119" width="10.21875" style="197" customWidth="1"/>
    <col min="4120" max="4120" width="15.21875" style="197" customWidth="1"/>
    <col min="4121" max="4121" width="13" style="197" customWidth="1"/>
    <col min="4122" max="4122" width="13.88671875" style="197" customWidth="1"/>
    <col min="4123" max="4123" width="13" style="197" customWidth="1"/>
    <col min="4124" max="4124" width="13.88671875" style="197" customWidth="1"/>
    <col min="4125" max="4125" width="15.21875" style="197" customWidth="1"/>
    <col min="4126" max="4126" width="13" style="197" customWidth="1"/>
    <col min="4127" max="4127" width="14.109375" style="197" customWidth="1"/>
    <col min="4128" max="4128" width="17.77734375" style="197" customWidth="1"/>
    <col min="4129" max="4129" width="14.109375" style="197" customWidth="1"/>
    <col min="4130" max="4130" width="15.21875" style="197" customWidth="1"/>
    <col min="4131" max="4131" width="13.21875" style="197" customWidth="1"/>
    <col min="4132" max="4132" width="14.109375" style="197" customWidth="1"/>
    <col min="4133" max="4133" width="13" style="197" customWidth="1"/>
    <col min="4134" max="4134" width="9.77734375" style="197" customWidth="1"/>
    <col min="4135" max="4135" width="16.77734375" style="197" customWidth="1"/>
    <col min="4136" max="4136" width="11.109375" style="197" customWidth="1"/>
    <col min="4137" max="4137" width="16.77734375" style="197" customWidth="1"/>
    <col min="4138" max="4138" width="15.21875" style="197" customWidth="1"/>
    <col min="4139" max="4139" width="15.21875" style="197" bestFit="1" customWidth="1"/>
    <col min="4140" max="4140" width="12.88671875" style="197" customWidth="1"/>
    <col min="4141" max="4141" width="16.33203125" style="197" bestFit="1" customWidth="1"/>
    <col min="4142" max="4144" width="13.88671875" style="197" bestFit="1" customWidth="1"/>
    <col min="4145" max="4145" width="12.6640625" style="197" bestFit="1" customWidth="1"/>
    <col min="4146" max="4146" width="13.21875" style="197" bestFit="1" customWidth="1"/>
    <col min="4147" max="4147" width="13.109375" style="197" bestFit="1" customWidth="1"/>
    <col min="4148" max="4353" width="9.21875" style="197"/>
    <col min="4354" max="4354" width="0" style="197" hidden="1" customWidth="1"/>
    <col min="4355" max="4355" width="32.6640625" style="197" customWidth="1"/>
    <col min="4356" max="4356" width="0" style="197" hidden="1" customWidth="1"/>
    <col min="4357" max="4357" width="17.6640625" style="197" customWidth="1"/>
    <col min="4358" max="4358" width="15.6640625" style="197" bestFit="1" customWidth="1"/>
    <col min="4359" max="4359" width="15.21875" style="197" customWidth="1"/>
    <col min="4360" max="4360" width="15.33203125" style="197" bestFit="1" customWidth="1"/>
    <col min="4361" max="4361" width="14.109375" style="197" customWidth="1"/>
    <col min="4362" max="4362" width="13.88671875" style="197" bestFit="1" customWidth="1"/>
    <col min="4363" max="4363" width="15.21875" style="197" bestFit="1" customWidth="1"/>
    <col min="4364" max="4364" width="13" style="197" bestFit="1" customWidth="1"/>
    <col min="4365" max="4366" width="14.109375" style="197" customWidth="1"/>
    <col min="4367" max="4368" width="15.21875" style="197" bestFit="1" customWidth="1"/>
    <col min="4369" max="4369" width="14.21875" style="197" bestFit="1" customWidth="1"/>
    <col min="4370" max="4370" width="14.88671875" style="197" bestFit="1" customWidth="1"/>
    <col min="4371" max="4371" width="14.33203125" style="197" customWidth="1"/>
    <col min="4372" max="4372" width="17.21875" style="197" customWidth="1"/>
    <col min="4373" max="4373" width="4.77734375" style="197" customWidth="1"/>
    <col min="4374" max="4374" width="15.21875" style="197" customWidth="1"/>
    <col min="4375" max="4375" width="10.21875" style="197" customWidth="1"/>
    <col min="4376" max="4376" width="15.21875" style="197" customWidth="1"/>
    <col min="4377" max="4377" width="13" style="197" customWidth="1"/>
    <col min="4378" max="4378" width="13.88671875" style="197" customWidth="1"/>
    <col min="4379" max="4379" width="13" style="197" customWidth="1"/>
    <col min="4380" max="4380" width="13.88671875" style="197" customWidth="1"/>
    <col min="4381" max="4381" width="15.21875" style="197" customWidth="1"/>
    <col min="4382" max="4382" width="13" style="197" customWidth="1"/>
    <col min="4383" max="4383" width="14.109375" style="197" customWidth="1"/>
    <col min="4384" max="4384" width="17.77734375" style="197" customWidth="1"/>
    <col min="4385" max="4385" width="14.109375" style="197" customWidth="1"/>
    <col min="4386" max="4386" width="15.21875" style="197" customWidth="1"/>
    <col min="4387" max="4387" width="13.21875" style="197" customWidth="1"/>
    <col min="4388" max="4388" width="14.109375" style="197" customWidth="1"/>
    <col min="4389" max="4389" width="13" style="197" customWidth="1"/>
    <col min="4390" max="4390" width="9.77734375" style="197" customWidth="1"/>
    <col min="4391" max="4391" width="16.77734375" style="197" customWidth="1"/>
    <col min="4392" max="4392" width="11.109375" style="197" customWidth="1"/>
    <col min="4393" max="4393" width="16.77734375" style="197" customWidth="1"/>
    <col min="4394" max="4394" width="15.21875" style="197" customWidth="1"/>
    <col min="4395" max="4395" width="15.21875" style="197" bestFit="1" customWidth="1"/>
    <col min="4396" max="4396" width="12.88671875" style="197" customWidth="1"/>
    <col min="4397" max="4397" width="16.33203125" style="197" bestFit="1" customWidth="1"/>
    <col min="4398" max="4400" width="13.88671875" style="197" bestFit="1" customWidth="1"/>
    <col min="4401" max="4401" width="12.6640625" style="197" bestFit="1" customWidth="1"/>
    <col min="4402" max="4402" width="13.21875" style="197" bestFit="1" customWidth="1"/>
    <col min="4403" max="4403" width="13.109375" style="197" bestFit="1" customWidth="1"/>
    <col min="4404" max="4609" width="9.21875" style="197"/>
    <col min="4610" max="4610" width="0" style="197" hidden="1" customWidth="1"/>
    <col min="4611" max="4611" width="32.6640625" style="197" customWidth="1"/>
    <col min="4612" max="4612" width="0" style="197" hidden="1" customWidth="1"/>
    <col min="4613" max="4613" width="17.6640625" style="197" customWidth="1"/>
    <col min="4614" max="4614" width="15.6640625" style="197" bestFit="1" customWidth="1"/>
    <col min="4615" max="4615" width="15.21875" style="197" customWidth="1"/>
    <col min="4616" max="4616" width="15.33203125" style="197" bestFit="1" customWidth="1"/>
    <col min="4617" max="4617" width="14.109375" style="197" customWidth="1"/>
    <col min="4618" max="4618" width="13.88671875" style="197" bestFit="1" customWidth="1"/>
    <col min="4619" max="4619" width="15.21875" style="197" bestFit="1" customWidth="1"/>
    <col min="4620" max="4620" width="13" style="197" bestFit="1" customWidth="1"/>
    <col min="4621" max="4622" width="14.109375" style="197" customWidth="1"/>
    <col min="4623" max="4624" width="15.21875" style="197" bestFit="1" customWidth="1"/>
    <col min="4625" max="4625" width="14.21875" style="197" bestFit="1" customWidth="1"/>
    <col min="4626" max="4626" width="14.88671875" style="197" bestFit="1" customWidth="1"/>
    <col min="4627" max="4627" width="14.33203125" style="197" customWidth="1"/>
    <col min="4628" max="4628" width="17.21875" style="197" customWidth="1"/>
    <col min="4629" max="4629" width="4.77734375" style="197" customWidth="1"/>
    <col min="4630" max="4630" width="15.21875" style="197" customWidth="1"/>
    <col min="4631" max="4631" width="10.21875" style="197" customWidth="1"/>
    <col min="4632" max="4632" width="15.21875" style="197" customWidth="1"/>
    <col min="4633" max="4633" width="13" style="197" customWidth="1"/>
    <col min="4634" max="4634" width="13.88671875" style="197" customWidth="1"/>
    <col min="4635" max="4635" width="13" style="197" customWidth="1"/>
    <col min="4636" max="4636" width="13.88671875" style="197" customWidth="1"/>
    <col min="4637" max="4637" width="15.21875" style="197" customWidth="1"/>
    <col min="4638" max="4638" width="13" style="197" customWidth="1"/>
    <col min="4639" max="4639" width="14.109375" style="197" customWidth="1"/>
    <col min="4640" max="4640" width="17.77734375" style="197" customWidth="1"/>
    <col min="4641" max="4641" width="14.109375" style="197" customWidth="1"/>
    <col min="4642" max="4642" width="15.21875" style="197" customWidth="1"/>
    <col min="4643" max="4643" width="13.21875" style="197" customWidth="1"/>
    <col min="4644" max="4644" width="14.109375" style="197" customWidth="1"/>
    <col min="4645" max="4645" width="13" style="197" customWidth="1"/>
    <col min="4646" max="4646" width="9.77734375" style="197" customWidth="1"/>
    <col min="4647" max="4647" width="16.77734375" style="197" customWidth="1"/>
    <col min="4648" max="4648" width="11.109375" style="197" customWidth="1"/>
    <col min="4649" max="4649" width="16.77734375" style="197" customWidth="1"/>
    <col min="4650" max="4650" width="15.21875" style="197" customWidth="1"/>
    <col min="4651" max="4651" width="15.21875" style="197" bestFit="1" customWidth="1"/>
    <col min="4652" max="4652" width="12.88671875" style="197" customWidth="1"/>
    <col min="4653" max="4653" width="16.33203125" style="197" bestFit="1" customWidth="1"/>
    <col min="4654" max="4656" width="13.88671875" style="197" bestFit="1" customWidth="1"/>
    <col min="4657" max="4657" width="12.6640625" style="197" bestFit="1" customWidth="1"/>
    <col min="4658" max="4658" width="13.21875" style="197" bestFit="1" customWidth="1"/>
    <col min="4659" max="4659" width="13.109375" style="197" bestFit="1" customWidth="1"/>
    <col min="4660" max="4865" width="9.21875" style="197"/>
    <col min="4866" max="4866" width="0" style="197" hidden="1" customWidth="1"/>
    <col min="4867" max="4867" width="32.6640625" style="197" customWidth="1"/>
    <col min="4868" max="4868" width="0" style="197" hidden="1" customWidth="1"/>
    <col min="4869" max="4869" width="17.6640625" style="197" customWidth="1"/>
    <col min="4870" max="4870" width="15.6640625" style="197" bestFit="1" customWidth="1"/>
    <col min="4871" max="4871" width="15.21875" style="197" customWidth="1"/>
    <col min="4872" max="4872" width="15.33203125" style="197" bestFit="1" customWidth="1"/>
    <col min="4873" max="4873" width="14.109375" style="197" customWidth="1"/>
    <col min="4874" max="4874" width="13.88671875" style="197" bestFit="1" customWidth="1"/>
    <col min="4875" max="4875" width="15.21875" style="197" bestFit="1" customWidth="1"/>
    <col min="4876" max="4876" width="13" style="197" bestFit="1" customWidth="1"/>
    <col min="4877" max="4878" width="14.109375" style="197" customWidth="1"/>
    <col min="4879" max="4880" width="15.21875" style="197" bestFit="1" customWidth="1"/>
    <col min="4881" max="4881" width="14.21875" style="197" bestFit="1" customWidth="1"/>
    <col min="4882" max="4882" width="14.88671875" style="197" bestFit="1" customWidth="1"/>
    <col min="4883" max="4883" width="14.33203125" style="197" customWidth="1"/>
    <col min="4884" max="4884" width="17.21875" style="197" customWidth="1"/>
    <col min="4885" max="4885" width="4.77734375" style="197" customWidth="1"/>
    <col min="4886" max="4886" width="15.21875" style="197" customWidth="1"/>
    <col min="4887" max="4887" width="10.21875" style="197" customWidth="1"/>
    <col min="4888" max="4888" width="15.21875" style="197" customWidth="1"/>
    <col min="4889" max="4889" width="13" style="197" customWidth="1"/>
    <col min="4890" max="4890" width="13.88671875" style="197" customWidth="1"/>
    <col min="4891" max="4891" width="13" style="197" customWidth="1"/>
    <col min="4892" max="4892" width="13.88671875" style="197" customWidth="1"/>
    <col min="4893" max="4893" width="15.21875" style="197" customWidth="1"/>
    <col min="4894" max="4894" width="13" style="197" customWidth="1"/>
    <col min="4895" max="4895" width="14.109375" style="197" customWidth="1"/>
    <col min="4896" max="4896" width="17.77734375" style="197" customWidth="1"/>
    <col min="4897" max="4897" width="14.109375" style="197" customWidth="1"/>
    <col min="4898" max="4898" width="15.21875" style="197" customWidth="1"/>
    <col min="4899" max="4899" width="13.21875" style="197" customWidth="1"/>
    <col min="4900" max="4900" width="14.109375" style="197" customWidth="1"/>
    <col min="4901" max="4901" width="13" style="197" customWidth="1"/>
    <col min="4902" max="4902" width="9.77734375" style="197" customWidth="1"/>
    <col min="4903" max="4903" width="16.77734375" style="197" customWidth="1"/>
    <col min="4904" max="4904" width="11.109375" style="197" customWidth="1"/>
    <col min="4905" max="4905" width="16.77734375" style="197" customWidth="1"/>
    <col min="4906" max="4906" width="15.21875" style="197" customWidth="1"/>
    <col min="4907" max="4907" width="15.21875" style="197" bestFit="1" customWidth="1"/>
    <col min="4908" max="4908" width="12.88671875" style="197" customWidth="1"/>
    <col min="4909" max="4909" width="16.33203125" style="197" bestFit="1" customWidth="1"/>
    <col min="4910" max="4912" width="13.88671875" style="197" bestFit="1" customWidth="1"/>
    <col min="4913" max="4913" width="12.6640625" style="197" bestFit="1" customWidth="1"/>
    <col min="4914" max="4914" width="13.21875" style="197" bestFit="1" customWidth="1"/>
    <col min="4915" max="4915" width="13.109375" style="197" bestFit="1" customWidth="1"/>
    <col min="4916" max="5121" width="9.21875" style="197"/>
    <col min="5122" max="5122" width="0" style="197" hidden="1" customWidth="1"/>
    <col min="5123" max="5123" width="32.6640625" style="197" customWidth="1"/>
    <col min="5124" max="5124" width="0" style="197" hidden="1" customWidth="1"/>
    <col min="5125" max="5125" width="17.6640625" style="197" customWidth="1"/>
    <col min="5126" max="5126" width="15.6640625" style="197" bestFit="1" customWidth="1"/>
    <col min="5127" max="5127" width="15.21875" style="197" customWidth="1"/>
    <col min="5128" max="5128" width="15.33203125" style="197" bestFit="1" customWidth="1"/>
    <col min="5129" max="5129" width="14.109375" style="197" customWidth="1"/>
    <col min="5130" max="5130" width="13.88671875" style="197" bestFit="1" customWidth="1"/>
    <col min="5131" max="5131" width="15.21875" style="197" bestFit="1" customWidth="1"/>
    <col min="5132" max="5132" width="13" style="197" bestFit="1" customWidth="1"/>
    <col min="5133" max="5134" width="14.109375" style="197" customWidth="1"/>
    <col min="5135" max="5136" width="15.21875" style="197" bestFit="1" customWidth="1"/>
    <col min="5137" max="5137" width="14.21875" style="197" bestFit="1" customWidth="1"/>
    <col min="5138" max="5138" width="14.88671875" style="197" bestFit="1" customWidth="1"/>
    <col min="5139" max="5139" width="14.33203125" style="197" customWidth="1"/>
    <col min="5140" max="5140" width="17.21875" style="197" customWidth="1"/>
    <col min="5141" max="5141" width="4.77734375" style="197" customWidth="1"/>
    <col min="5142" max="5142" width="15.21875" style="197" customWidth="1"/>
    <col min="5143" max="5143" width="10.21875" style="197" customWidth="1"/>
    <col min="5144" max="5144" width="15.21875" style="197" customWidth="1"/>
    <col min="5145" max="5145" width="13" style="197" customWidth="1"/>
    <col min="5146" max="5146" width="13.88671875" style="197" customWidth="1"/>
    <col min="5147" max="5147" width="13" style="197" customWidth="1"/>
    <col min="5148" max="5148" width="13.88671875" style="197" customWidth="1"/>
    <col min="5149" max="5149" width="15.21875" style="197" customWidth="1"/>
    <col min="5150" max="5150" width="13" style="197" customWidth="1"/>
    <col min="5151" max="5151" width="14.109375" style="197" customWidth="1"/>
    <col min="5152" max="5152" width="17.77734375" style="197" customWidth="1"/>
    <col min="5153" max="5153" width="14.109375" style="197" customWidth="1"/>
    <col min="5154" max="5154" width="15.21875" style="197" customWidth="1"/>
    <col min="5155" max="5155" width="13.21875" style="197" customWidth="1"/>
    <col min="5156" max="5156" width="14.109375" style="197" customWidth="1"/>
    <col min="5157" max="5157" width="13" style="197" customWidth="1"/>
    <col min="5158" max="5158" width="9.77734375" style="197" customWidth="1"/>
    <col min="5159" max="5159" width="16.77734375" style="197" customWidth="1"/>
    <col min="5160" max="5160" width="11.109375" style="197" customWidth="1"/>
    <col min="5161" max="5161" width="16.77734375" style="197" customWidth="1"/>
    <col min="5162" max="5162" width="15.21875" style="197" customWidth="1"/>
    <col min="5163" max="5163" width="15.21875" style="197" bestFit="1" customWidth="1"/>
    <col min="5164" max="5164" width="12.88671875" style="197" customWidth="1"/>
    <col min="5165" max="5165" width="16.33203125" style="197" bestFit="1" customWidth="1"/>
    <col min="5166" max="5168" width="13.88671875" style="197" bestFit="1" customWidth="1"/>
    <col min="5169" max="5169" width="12.6640625" style="197" bestFit="1" customWidth="1"/>
    <col min="5170" max="5170" width="13.21875" style="197" bestFit="1" customWidth="1"/>
    <col min="5171" max="5171" width="13.109375" style="197" bestFit="1" customWidth="1"/>
    <col min="5172" max="5377" width="9.21875" style="197"/>
    <col min="5378" max="5378" width="0" style="197" hidden="1" customWidth="1"/>
    <col min="5379" max="5379" width="32.6640625" style="197" customWidth="1"/>
    <col min="5380" max="5380" width="0" style="197" hidden="1" customWidth="1"/>
    <col min="5381" max="5381" width="17.6640625" style="197" customWidth="1"/>
    <col min="5382" max="5382" width="15.6640625" style="197" bestFit="1" customWidth="1"/>
    <col min="5383" max="5383" width="15.21875" style="197" customWidth="1"/>
    <col min="5384" max="5384" width="15.33203125" style="197" bestFit="1" customWidth="1"/>
    <col min="5385" max="5385" width="14.109375" style="197" customWidth="1"/>
    <col min="5386" max="5386" width="13.88671875" style="197" bestFit="1" customWidth="1"/>
    <col min="5387" max="5387" width="15.21875" style="197" bestFit="1" customWidth="1"/>
    <col min="5388" max="5388" width="13" style="197" bestFit="1" customWidth="1"/>
    <col min="5389" max="5390" width="14.109375" style="197" customWidth="1"/>
    <col min="5391" max="5392" width="15.21875" style="197" bestFit="1" customWidth="1"/>
    <col min="5393" max="5393" width="14.21875" style="197" bestFit="1" customWidth="1"/>
    <col min="5394" max="5394" width="14.88671875" style="197" bestFit="1" customWidth="1"/>
    <col min="5395" max="5395" width="14.33203125" style="197" customWidth="1"/>
    <col min="5396" max="5396" width="17.21875" style="197" customWidth="1"/>
    <col min="5397" max="5397" width="4.77734375" style="197" customWidth="1"/>
    <col min="5398" max="5398" width="15.21875" style="197" customWidth="1"/>
    <col min="5399" max="5399" width="10.21875" style="197" customWidth="1"/>
    <col min="5400" max="5400" width="15.21875" style="197" customWidth="1"/>
    <col min="5401" max="5401" width="13" style="197" customWidth="1"/>
    <col min="5402" max="5402" width="13.88671875" style="197" customWidth="1"/>
    <col min="5403" max="5403" width="13" style="197" customWidth="1"/>
    <col min="5404" max="5404" width="13.88671875" style="197" customWidth="1"/>
    <col min="5405" max="5405" width="15.21875" style="197" customWidth="1"/>
    <col min="5406" max="5406" width="13" style="197" customWidth="1"/>
    <col min="5407" max="5407" width="14.109375" style="197" customWidth="1"/>
    <col min="5408" max="5408" width="17.77734375" style="197" customWidth="1"/>
    <col min="5409" max="5409" width="14.109375" style="197" customWidth="1"/>
    <col min="5410" max="5410" width="15.21875" style="197" customWidth="1"/>
    <col min="5411" max="5411" width="13.21875" style="197" customWidth="1"/>
    <col min="5412" max="5412" width="14.109375" style="197" customWidth="1"/>
    <col min="5413" max="5413" width="13" style="197" customWidth="1"/>
    <col min="5414" max="5414" width="9.77734375" style="197" customWidth="1"/>
    <col min="5415" max="5415" width="16.77734375" style="197" customWidth="1"/>
    <col min="5416" max="5416" width="11.109375" style="197" customWidth="1"/>
    <col min="5417" max="5417" width="16.77734375" style="197" customWidth="1"/>
    <col min="5418" max="5418" width="15.21875" style="197" customWidth="1"/>
    <col min="5419" max="5419" width="15.21875" style="197" bestFit="1" customWidth="1"/>
    <col min="5420" max="5420" width="12.88671875" style="197" customWidth="1"/>
    <col min="5421" max="5421" width="16.33203125" style="197" bestFit="1" customWidth="1"/>
    <col min="5422" max="5424" width="13.88671875" style="197" bestFit="1" customWidth="1"/>
    <col min="5425" max="5425" width="12.6640625" style="197" bestFit="1" customWidth="1"/>
    <col min="5426" max="5426" width="13.21875" style="197" bestFit="1" customWidth="1"/>
    <col min="5427" max="5427" width="13.109375" style="197" bestFit="1" customWidth="1"/>
    <col min="5428" max="5633" width="9.21875" style="197"/>
    <col min="5634" max="5634" width="0" style="197" hidden="1" customWidth="1"/>
    <col min="5635" max="5635" width="32.6640625" style="197" customWidth="1"/>
    <col min="5636" max="5636" width="0" style="197" hidden="1" customWidth="1"/>
    <col min="5637" max="5637" width="17.6640625" style="197" customWidth="1"/>
    <col min="5638" max="5638" width="15.6640625" style="197" bestFit="1" customWidth="1"/>
    <col min="5639" max="5639" width="15.21875" style="197" customWidth="1"/>
    <col min="5640" max="5640" width="15.33203125" style="197" bestFit="1" customWidth="1"/>
    <col min="5641" max="5641" width="14.109375" style="197" customWidth="1"/>
    <col min="5642" max="5642" width="13.88671875" style="197" bestFit="1" customWidth="1"/>
    <col min="5643" max="5643" width="15.21875" style="197" bestFit="1" customWidth="1"/>
    <col min="5644" max="5644" width="13" style="197" bestFit="1" customWidth="1"/>
    <col min="5645" max="5646" width="14.109375" style="197" customWidth="1"/>
    <col min="5647" max="5648" width="15.21875" style="197" bestFit="1" customWidth="1"/>
    <col min="5649" max="5649" width="14.21875" style="197" bestFit="1" customWidth="1"/>
    <col min="5650" max="5650" width="14.88671875" style="197" bestFit="1" customWidth="1"/>
    <col min="5651" max="5651" width="14.33203125" style="197" customWidth="1"/>
    <col min="5652" max="5652" width="17.21875" style="197" customWidth="1"/>
    <col min="5653" max="5653" width="4.77734375" style="197" customWidth="1"/>
    <col min="5654" max="5654" width="15.21875" style="197" customWidth="1"/>
    <col min="5655" max="5655" width="10.21875" style="197" customWidth="1"/>
    <col min="5656" max="5656" width="15.21875" style="197" customWidth="1"/>
    <col min="5657" max="5657" width="13" style="197" customWidth="1"/>
    <col min="5658" max="5658" width="13.88671875" style="197" customWidth="1"/>
    <col min="5659" max="5659" width="13" style="197" customWidth="1"/>
    <col min="5660" max="5660" width="13.88671875" style="197" customWidth="1"/>
    <col min="5661" max="5661" width="15.21875" style="197" customWidth="1"/>
    <col min="5662" max="5662" width="13" style="197" customWidth="1"/>
    <col min="5663" max="5663" width="14.109375" style="197" customWidth="1"/>
    <col min="5664" max="5664" width="17.77734375" style="197" customWidth="1"/>
    <col min="5665" max="5665" width="14.109375" style="197" customWidth="1"/>
    <col min="5666" max="5666" width="15.21875" style="197" customWidth="1"/>
    <col min="5667" max="5667" width="13.21875" style="197" customWidth="1"/>
    <col min="5668" max="5668" width="14.109375" style="197" customWidth="1"/>
    <col min="5669" max="5669" width="13" style="197" customWidth="1"/>
    <col min="5670" max="5670" width="9.77734375" style="197" customWidth="1"/>
    <col min="5671" max="5671" width="16.77734375" style="197" customWidth="1"/>
    <col min="5672" max="5672" width="11.109375" style="197" customWidth="1"/>
    <col min="5673" max="5673" width="16.77734375" style="197" customWidth="1"/>
    <col min="5674" max="5674" width="15.21875" style="197" customWidth="1"/>
    <col min="5675" max="5675" width="15.21875" style="197" bestFit="1" customWidth="1"/>
    <col min="5676" max="5676" width="12.88671875" style="197" customWidth="1"/>
    <col min="5677" max="5677" width="16.33203125" style="197" bestFit="1" customWidth="1"/>
    <col min="5678" max="5680" width="13.88671875" style="197" bestFit="1" customWidth="1"/>
    <col min="5681" max="5681" width="12.6640625" style="197" bestFit="1" customWidth="1"/>
    <col min="5682" max="5682" width="13.21875" style="197" bestFit="1" customWidth="1"/>
    <col min="5683" max="5683" width="13.109375" style="197" bestFit="1" customWidth="1"/>
    <col min="5684" max="5889" width="9.21875" style="197"/>
    <col min="5890" max="5890" width="0" style="197" hidden="1" customWidth="1"/>
    <col min="5891" max="5891" width="32.6640625" style="197" customWidth="1"/>
    <col min="5892" max="5892" width="0" style="197" hidden="1" customWidth="1"/>
    <col min="5893" max="5893" width="17.6640625" style="197" customWidth="1"/>
    <col min="5894" max="5894" width="15.6640625" style="197" bestFit="1" customWidth="1"/>
    <col min="5895" max="5895" width="15.21875" style="197" customWidth="1"/>
    <col min="5896" max="5896" width="15.33203125" style="197" bestFit="1" customWidth="1"/>
    <col min="5897" max="5897" width="14.109375" style="197" customWidth="1"/>
    <col min="5898" max="5898" width="13.88671875" style="197" bestFit="1" customWidth="1"/>
    <col min="5899" max="5899" width="15.21875" style="197" bestFit="1" customWidth="1"/>
    <col min="5900" max="5900" width="13" style="197" bestFit="1" customWidth="1"/>
    <col min="5901" max="5902" width="14.109375" style="197" customWidth="1"/>
    <col min="5903" max="5904" width="15.21875" style="197" bestFit="1" customWidth="1"/>
    <col min="5905" max="5905" width="14.21875" style="197" bestFit="1" customWidth="1"/>
    <col min="5906" max="5906" width="14.88671875" style="197" bestFit="1" customWidth="1"/>
    <col min="5907" max="5907" width="14.33203125" style="197" customWidth="1"/>
    <col min="5908" max="5908" width="17.21875" style="197" customWidth="1"/>
    <col min="5909" max="5909" width="4.77734375" style="197" customWidth="1"/>
    <col min="5910" max="5910" width="15.21875" style="197" customWidth="1"/>
    <col min="5911" max="5911" width="10.21875" style="197" customWidth="1"/>
    <col min="5912" max="5912" width="15.21875" style="197" customWidth="1"/>
    <col min="5913" max="5913" width="13" style="197" customWidth="1"/>
    <col min="5914" max="5914" width="13.88671875" style="197" customWidth="1"/>
    <col min="5915" max="5915" width="13" style="197" customWidth="1"/>
    <col min="5916" max="5916" width="13.88671875" style="197" customWidth="1"/>
    <col min="5917" max="5917" width="15.21875" style="197" customWidth="1"/>
    <col min="5918" max="5918" width="13" style="197" customWidth="1"/>
    <col min="5919" max="5919" width="14.109375" style="197" customWidth="1"/>
    <col min="5920" max="5920" width="17.77734375" style="197" customWidth="1"/>
    <col min="5921" max="5921" width="14.109375" style="197" customWidth="1"/>
    <col min="5922" max="5922" width="15.21875" style="197" customWidth="1"/>
    <col min="5923" max="5923" width="13.21875" style="197" customWidth="1"/>
    <col min="5924" max="5924" width="14.109375" style="197" customWidth="1"/>
    <col min="5925" max="5925" width="13" style="197" customWidth="1"/>
    <col min="5926" max="5926" width="9.77734375" style="197" customWidth="1"/>
    <col min="5927" max="5927" width="16.77734375" style="197" customWidth="1"/>
    <col min="5928" max="5928" width="11.109375" style="197" customWidth="1"/>
    <col min="5929" max="5929" width="16.77734375" style="197" customWidth="1"/>
    <col min="5930" max="5930" width="15.21875" style="197" customWidth="1"/>
    <col min="5931" max="5931" width="15.21875" style="197" bestFit="1" customWidth="1"/>
    <col min="5932" max="5932" width="12.88671875" style="197" customWidth="1"/>
    <col min="5933" max="5933" width="16.33203125" style="197" bestFit="1" customWidth="1"/>
    <col min="5934" max="5936" width="13.88671875" style="197" bestFit="1" customWidth="1"/>
    <col min="5937" max="5937" width="12.6640625" style="197" bestFit="1" customWidth="1"/>
    <col min="5938" max="5938" width="13.21875" style="197" bestFit="1" customWidth="1"/>
    <col min="5939" max="5939" width="13.109375" style="197" bestFit="1" customWidth="1"/>
    <col min="5940" max="6145" width="9.21875" style="197"/>
    <col min="6146" max="6146" width="0" style="197" hidden="1" customWidth="1"/>
    <col min="6147" max="6147" width="32.6640625" style="197" customWidth="1"/>
    <col min="6148" max="6148" width="0" style="197" hidden="1" customWidth="1"/>
    <col min="6149" max="6149" width="17.6640625" style="197" customWidth="1"/>
    <col min="6150" max="6150" width="15.6640625" style="197" bestFit="1" customWidth="1"/>
    <col min="6151" max="6151" width="15.21875" style="197" customWidth="1"/>
    <col min="6152" max="6152" width="15.33203125" style="197" bestFit="1" customWidth="1"/>
    <col min="6153" max="6153" width="14.109375" style="197" customWidth="1"/>
    <col min="6154" max="6154" width="13.88671875" style="197" bestFit="1" customWidth="1"/>
    <col min="6155" max="6155" width="15.21875" style="197" bestFit="1" customWidth="1"/>
    <col min="6156" max="6156" width="13" style="197" bestFit="1" customWidth="1"/>
    <col min="6157" max="6158" width="14.109375" style="197" customWidth="1"/>
    <col min="6159" max="6160" width="15.21875" style="197" bestFit="1" customWidth="1"/>
    <col min="6161" max="6161" width="14.21875" style="197" bestFit="1" customWidth="1"/>
    <col min="6162" max="6162" width="14.88671875" style="197" bestFit="1" customWidth="1"/>
    <col min="6163" max="6163" width="14.33203125" style="197" customWidth="1"/>
    <col min="6164" max="6164" width="17.21875" style="197" customWidth="1"/>
    <col min="6165" max="6165" width="4.77734375" style="197" customWidth="1"/>
    <col min="6166" max="6166" width="15.21875" style="197" customWidth="1"/>
    <col min="6167" max="6167" width="10.21875" style="197" customWidth="1"/>
    <col min="6168" max="6168" width="15.21875" style="197" customWidth="1"/>
    <col min="6169" max="6169" width="13" style="197" customWidth="1"/>
    <col min="6170" max="6170" width="13.88671875" style="197" customWidth="1"/>
    <col min="6171" max="6171" width="13" style="197" customWidth="1"/>
    <col min="6172" max="6172" width="13.88671875" style="197" customWidth="1"/>
    <col min="6173" max="6173" width="15.21875" style="197" customWidth="1"/>
    <col min="6174" max="6174" width="13" style="197" customWidth="1"/>
    <col min="6175" max="6175" width="14.109375" style="197" customWidth="1"/>
    <col min="6176" max="6176" width="17.77734375" style="197" customWidth="1"/>
    <col min="6177" max="6177" width="14.109375" style="197" customWidth="1"/>
    <col min="6178" max="6178" width="15.21875" style="197" customWidth="1"/>
    <col min="6179" max="6179" width="13.21875" style="197" customWidth="1"/>
    <col min="6180" max="6180" width="14.109375" style="197" customWidth="1"/>
    <col min="6181" max="6181" width="13" style="197" customWidth="1"/>
    <col min="6182" max="6182" width="9.77734375" style="197" customWidth="1"/>
    <col min="6183" max="6183" width="16.77734375" style="197" customWidth="1"/>
    <col min="6184" max="6184" width="11.109375" style="197" customWidth="1"/>
    <col min="6185" max="6185" width="16.77734375" style="197" customWidth="1"/>
    <col min="6186" max="6186" width="15.21875" style="197" customWidth="1"/>
    <col min="6187" max="6187" width="15.21875" style="197" bestFit="1" customWidth="1"/>
    <col min="6188" max="6188" width="12.88671875" style="197" customWidth="1"/>
    <col min="6189" max="6189" width="16.33203125" style="197" bestFit="1" customWidth="1"/>
    <col min="6190" max="6192" width="13.88671875" style="197" bestFit="1" customWidth="1"/>
    <col min="6193" max="6193" width="12.6640625" style="197" bestFit="1" customWidth="1"/>
    <col min="6194" max="6194" width="13.21875" style="197" bestFit="1" customWidth="1"/>
    <col min="6195" max="6195" width="13.109375" style="197" bestFit="1" customWidth="1"/>
    <col min="6196" max="6401" width="9.21875" style="197"/>
    <col min="6402" max="6402" width="0" style="197" hidden="1" customWidth="1"/>
    <col min="6403" max="6403" width="32.6640625" style="197" customWidth="1"/>
    <col min="6404" max="6404" width="0" style="197" hidden="1" customWidth="1"/>
    <col min="6405" max="6405" width="17.6640625" style="197" customWidth="1"/>
    <col min="6406" max="6406" width="15.6640625" style="197" bestFit="1" customWidth="1"/>
    <col min="6407" max="6407" width="15.21875" style="197" customWidth="1"/>
    <col min="6408" max="6408" width="15.33203125" style="197" bestFit="1" customWidth="1"/>
    <col min="6409" max="6409" width="14.109375" style="197" customWidth="1"/>
    <col min="6410" max="6410" width="13.88671875" style="197" bestFit="1" customWidth="1"/>
    <col min="6411" max="6411" width="15.21875" style="197" bestFit="1" customWidth="1"/>
    <col min="6412" max="6412" width="13" style="197" bestFit="1" customWidth="1"/>
    <col min="6413" max="6414" width="14.109375" style="197" customWidth="1"/>
    <col min="6415" max="6416" width="15.21875" style="197" bestFit="1" customWidth="1"/>
    <col min="6417" max="6417" width="14.21875" style="197" bestFit="1" customWidth="1"/>
    <col min="6418" max="6418" width="14.88671875" style="197" bestFit="1" customWidth="1"/>
    <col min="6419" max="6419" width="14.33203125" style="197" customWidth="1"/>
    <col min="6420" max="6420" width="17.21875" style="197" customWidth="1"/>
    <col min="6421" max="6421" width="4.77734375" style="197" customWidth="1"/>
    <col min="6422" max="6422" width="15.21875" style="197" customWidth="1"/>
    <col min="6423" max="6423" width="10.21875" style="197" customWidth="1"/>
    <col min="6424" max="6424" width="15.21875" style="197" customWidth="1"/>
    <col min="6425" max="6425" width="13" style="197" customWidth="1"/>
    <col min="6426" max="6426" width="13.88671875" style="197" customWidth="1"/>
    <col min="6427" max="6427" width="13" style="197" customWidth="1"/>
    <col min="6428" max="6428" width="13.88671875" style="197" customWidth="1"/>
    <col min="6429" max="6429" width="15.21875" style="197" customWidth="1"/>
    <col min="6430" max="6430" width="13" style="197" customWidth="1"/>
    <col min="6431" max="6431" width="14.109375" style="197" customWidth="1"/>
    <col min="6432" max="6432" width="17.77734375" style="197" customWidth="1"/>
    <col min="6433" max="6433" width="14.109375" style="197" customWidth="1"/>
    <col min="6434" max="6434" width="15.21875" style="197" customWidth="1"/>
    <col min="6435" max="6435" width="13.21875" style="197" customWidth="1"/>
    <col min="6436" max="6436" width="14.109375" style="197" customWidth="1"/>
    <col min="6437" max="6437" width="13" style="197" customWidth="1"/>
    <col min="6438" max="6438" width="9.77734375" style="197" customWidth="1"/>
    <col min="6439" max="6439" width="16.77734375" style="197" customWidth="1"/>
    <col min="6440" max="6440" width="11.109375" style="197" customWidth="1"/>
    <col min="6441" max="6441" width="16.77734375" style="197" customWidth="1"/>
    <col min="6442" max="6442" width="15.21875" style="197" customWidth="1"/>
    <col min="6443" max="6443" width="15.21875" style="197" bestFit="1" customWidth="1"/>
    <col min="6444" max="6444" width="12.88671875" style="197" customWidth="1"/>
    <col min="6445" max="6445" width="16.33203125" style="197" bestFit="1" customWidth="1"/>
    <col min="6446" max="6448" width="13.88671875" style="197" bestFit="1" customWidth="1"/>
    <col min="6449" max="6449" width="12.6640625" style="197" bestFit="1" customWidth="1"/>
    <col min="6450" max="6450" width="13.21875" style="197" bestFit="1" customWidth="1"/>
    <col min="6451" max="6451" width="13.109375" style="197" bestFit="1" customWidth="1"/>
    <col min="6452" max="6657" width="9.21875" style="197"/>
    <col min="6658" max="6658" width="0" style="197" hidden="1" customWidth="1"/>
    <col min="6659" max="6659" width="32.6640625" style="197" customWidth="1"/>
    <col min="6660" max="6660" width="0" style="197" hidden="1" customWidth="1"/>
    <col min="6661" max="6661" width="17.6640625" style="197" customWidth="1"/>
    <col min="6662" max="6662" width="15.6640625" style="197" bestFit="1" customWidth="1"/>
    <col min="6663" max="6663" width="15.21875" style="197" customWidth="1"/>
    <col min="6664" max="6664" width="15.33203125" style="197" bestFit="1" customWidth="1"/>
    <col min="6665" max="6665" width="14.109375" style="197" customWidth="1"/>
    <col min="6666" max="6666" width="13.88671875" style="197" bestFit="1" customWidth="1"/>
    <col min="6667" max="6667" width="15.21875" style="197" bestFit="1" customWidth="1"/>
    <col min="6668" max="6668" width="13" style="197" bestFit="1" customWidth="1"/>
    <col min="6669" max="6670" width="14.109375" style="197" customWidth="1"/>
    <col min="6671" max="6672" width="15.21875" style="197" bestFit="1" customWidth="1"/>
    <col min="6673" max="6673" width="14.21875" style="197" bestFit="1" customWidth="1"/>
    <col min="6674" max="6674" width="14.88671875" style="197" bestFit="1" customWidth="1"/>
    <col min="6675" max="6675" width="14.33203125" style="197" customWidth="1"/>
    <col min="6676" max="6676" width="17.21875" style="197" customWidth="1"/>
    <col min="6677" max="6677" width="4.77734375" style="197" customWidth="1"/>
    <col min="6678" max="6678" width="15.21875" style="197" customWidth="1"/>
    <col min="6679" max="6679" width="10.21875" style="197" customWidth="1"/>
    <col min="6680" max="6680" width="15.21875" style="197" customWidth="1"/>
    <col min="6681" max="6681" width="13" style="197" customWidth="1"/>
    <col min="6682" max="6682" width="13.88671875" style="197" customWidth="1"/>
    <col min="6683" max="6683" width="13" style="197" customWidth="1"/>
    <col min="6684" max="6684" width="13.88671875" style="197" customWidth="1"/>
    <col min="6685" max="6685" width="15.21875" style="197" customWidth="1"/>
    <col min="6686" max="6686" width="13" style="197" customWidth="1"/>
    <col min="6687" max="6687" width="14.109375" style="197" customWidth="1"/>
    <col min="6688" max="6688" width="17.77734375" style="197" customWidth="1"/>
    <col min="6689" max="6689" width="14.109375" style="197" customWidth="1"/>
    <col min="6690" max="6690" width="15.21875" style="197" customWidth="1"/>
    <col min="6691" max="6691" width="13.21875" style="197" customWidth="1"/>
    <col min="6692" max="6692" width="14.109375" style="197" customWidth="1"/>
    <col min="6693" max="6693" width="13" style="197" customWidth="1"/>
    <col min="6694" max="6694" width="9.77734375" style="197" customWidth="1"/>
    <col min="6695" max="6695" width="16.77734375" style="197" customWidth="1"/>
    <col min="6696" max="6696" width="11.109375" style="197" customWidth="1"/>
    <col min="6697" max="6697" width="16.77734375" style="197" customWidth="1"/>
    <col min="6698" max="6698" width="15.21875" style="197" customWidth="1"/>
    <col min="6699" max="6699" width="15.21875" style="197" bestFit="1" customWidth="1"/>
    <col min="6700" max="6700" width="12.88671875" style="197" customWidth="1"/>
    <col min="6701" max="6701" width="16.33203125" style="197" bestFit="1" customWidth="1"/>
    <col min="6702" max="6704" width="13.88671875" style="197" bestFit="1" customWidth="1"/>
    <col min="6705" max="6705" width="12.6640625" style="197" bestFit="1" customWidth="1"/>
    <col min="6706" max="6706" width="13.21875" style="197" bestFit="1" customWidth="1"/>
    <col min="6707" max="6707" width="13.109375" style="197" bestFit="1" customWidth="1"/>
    <col min="6708" max="6913" width="9.21875" style="197"/>
    <col min="6914" max="6914" width="0" style="197" hidden="1" customWidth="1"/>
    <col min="6915" max="6915" width="32.6640625" style="197" customWidth="1"/>
    <col min="6916" max="6916" width="0" style="197" hidden="1" customWidth="1"/>
    <col min="6917" max="6917" width="17.6640625" style="197" customWidth="1"/>
    <col min="6918" max="6918" width="15.6640625" style="197" bestFit="1" customWidth="1"/>
    <col min="6919" max="6919" width="15.21875" style="197" customWidth="1"/>
    <col min="6920" max="6920" width="15.33203125" style="197" bestFit="1" customWidth="1"/>
    <col min="6921" max="6921" width="14.109375" style="197" customWidth="1"/>
    <col min="6922" max="6922" width="13.88671875" style="197" bestFit="1" customWidth="1"/>
    <col min="6923" max="6923" width="15.21875" style="197" bestFit="1" customWidth="1"/>
    <col min="6924" max="6924" width="13" style="197" bestFit="1" customWidth="1"/>
    <col min="6925" max="6926" width="14.109375" style="197" customWidth="1"/>
    <col min="6927" max="6928" width="15.21875" style="197" bestFit="1" customWidth="1"/>
    <col min="6929" max="6929" width="14.21875" style="197" bestFit="1" customWidth="1"/>
    <col min="6930" max="6930" width="14.88671875" style="197" bestFit="1" customWidth="1"/>
    <col min="6931" max="6931" width="14.33203125" style="197" customWidth="1"/>
    <col min="6932" max="6932" width="17.21875" style="197" customWidth="1"/>
    <col min="6933" max="6933" width="4.77734375" style="197" customWidth="1"/>
    <col min="6934" max="6934" width="15.21875" style="197" customWidth="1"/>
    <col min="6935" max="6935" width="10.21875" style="197" customWidth="1"/>
    <col min="6936" max="6936" width="15.21875" style="197" customWidth="1"/>
    <col min="6937" max="6937" width="13" style="197" customWidth="1"/>
    <col min="6938" max="6938" width="13.88671875" style="197" customWidth="1"/>
    <col min="6939" max="6939" width="13" style="197" customWidth="1"/>
    <col min="6940" max="6940" width="13.88671875" style="197" customWidth="1"/>
    <col min="6941" max="6941" width="15.21875" style="197" customWidth="1"/>
    <col min="6942" max="6942" width="13" style="197" customWidth="1"/>
    <col min="6943" max="6943" width="14.109375" style="197" customWidth="1"/>
    <col min="6944" max="6944" width="17.77734375" style="197" customWidth="1"/>
    <col min="6945" max="6945" width="14.109375" style="197" customWidth="1"/>
    <col min="6946" max="6946" width="15.21875" style="197" customWidth="1"/>
    <col min="6947" max="6947" width="13.21875" style="197" customWidth="1"/>
    <col min="6948" max="6948" width="14.109375" style="197" customWidth="1"/>
    <col min="6949" max="6949" width="13" style="197" customWidth="1"/>
    <col min="6950" max="6950" width="9.77734375" style="197" customWidth="1"/>
    <col min="6951" max="6951" width="16.77734375" style="197" customWidth="1"/>
    <col min="6952" max="6952" width="11.109375" style="197" customWidth="1"/>
    <col min="6953" max="6953" width="16.77734375" style="197" customWidth="1"/>
    <col min="6954" max="6954" width="15.21875" style="197" customWidth="1"/>
    <col min="6955" max="6955" width="15.21875" style="197" bestFit="1" customWidth="1"/>
    <col min="6956" max="6956" width="12.88671875" style="197" customWidth="1"/>
    <col min="6957" max="6957" width="16.33203125" style="197" bestFit="1" customWidth="1"/>
    <col min="6958" max="6960" width="13.88671875" style="197" bestFit="1" customWidth="1"/>
    <col min="6961" max="6961" width="12.6640625" style="197" bestFit="1" customWidth="1"/>
    <col min="6962" max="6962" width="13.21875" style="197" bestFit="1" customWidth="1"/>
    <col min="6963" max="6963" width="13.109375" style="197" bestFit="1" customWidth="1"/>
    <col min="6964" max="7169" width="9.21875" style="197"/>
    <col min="7170" max="7170" width="0" style="197" hidden="1" customWidth="1"/>
    <col min="7171" max="7171" width="32.6640625" style="197" customWidth="1"/>
    <col min="7172" max="7172" width="0" style="197" hidden="1" customWidth="1"/>
    <col min="7173" max="7173" width="17.6640625" style="197" customWidth="1"/>
    <col min="7174" max="7174" width="15.6640625" style="197" bestFit="1" customWidth="1"/>
    <col min="7175" max="7175" width="15.21875" style="197" customWidth="1"/>
    <col min="7176" max="7176" width="15.33203125" style="197" bestFit="1" customWidth="1"/>
    <col min="7177" max="7177" width="14.109375" style="197" customWidth="1"/>
    <col min="7178" max="7178" width="13.88671875" style="197" bestFit="1" customWidth="1"/>
    <col min="7179" max="7179" width="15.21875" style="197" bestFit="1" customWidth="1"/>
    <col min="7180" max="7180" width="13" style="197" bestFit="1" customWidth="1"/>
    <col min="7181" max="7182" width="14.109375" style="197" customWidth="1"/>
    <col min="7183" max="7184" width="15.21875" style="197" bestFit="1" customWidth="1"/>
    <col min="7185" max="7185" width="14.21875" style="197" bestFit="1" customWidth="1"/>
    <col min="7186" max="7186" width="14.88671875" style="197" bestFit="1" customWidth="1"/>
    <col min="7187" max="7187" width="14.33203125" style="197" customWidth="1"/>
    <col min="7188" max="7188" width="17.21875" style="197" customWidth="1"/>
    <col min="7189" max="7189" width="4.77734375" style="197" customWidth="1"/>
    <col min="7190" max="7190" width="15.21875" style="197" customWidth="1"/>
    <col min="7191" max="7191" width="10.21875" style="197" customWidth="1"/>
    <col min="7192" max="7192" width="15.21875" style="197" customWidth="1"/>
    <col min="7193" max="7193" width="13" style="197" customWidth="1"/>
    <col min="7194" max="7194" width="13.88671875" style="197" customWidth="1"/>
    <col min="7195" max="7195" width="13" style="197" customWidth="1"/>
    <col min="7196" max="7196" width="13.88671875" style="197" customWidth="1"/>
    <col min="7197" max="7197" width="15.21875" style="197" customWidth="1"/>
    <col min="7198" max="7198" width="13" style="197" customWidth="1"/>
    <col min="7199" max="7199" width="14.109375" style="197" customWidth="1"/>
    <col min="7200" max="7200" width="17.77734375" style="197" customWidth="1"/>
    <col min="7201" max="7201" width="14.109375" style="197" customWidth="1"/>
    <col min="7202" max="7202" width="15.21875" style="197" customWidth="1"/>
    <col min="7203" max="7203" width="13.21875" style="197" customWidth="1"/>
    <col min="7204" max="7204" width="14.109375" style="197" customWidth="1"/>
    <col min="7205" max="7205" width="13" style="197" customWidth="1"/>
    <col min="7206" max="7206" width="9.77734375" style="197" customWidth="1"/>
    <col min="7207" max="7207" width="16.77734375" style="197" customWidth="1"/>
    <col min="7208" max="7208" width="11.109375" style="197" customWidth="1"/>
    <col min="7209" max="7209" width="16.77734375" style="197" customWidth="1"/>
    <col min="7210" max="7210" width="15.21875" style="197" customWidth="1"/>
    <col min="7211" max="7211" width="15.21875" style="197" bestFit="1" customWidth="1"/>
    <col min="7212" max="7212" width="12.88671875" style="197" customWidth="1"/>
    <col min="7213" max="7213" width="16.33203125" style="197" bestFit="1" customWidth="1"/>
    <col min="7214" max="7216" width="13.88671875" style="197" bestFit="1" customWidth="1"/>
    <col min="7217" max="7217" width="12.6640625" style="197" bestFit="1" customWidth="1"/>
    <col min="7218" max="7218" width="13.21875" style="197" bestFit="1" customWidth="1"/>
    <col min="7219" max="7219" width="13.109375" style="197" bestFit="1" customWidth="1"/>
    <col min="7220" max="7425" width="9.21875" style="197"/>
    <col min="7426" max="7426" width="0" style="197" hidden="1" customWidth="1"/>
    <col min="7427" max="7427" width="32.6640625" style="197" customWidth="1"/>
    <col min="7428" max="7428" width="0" style="197" hidden="1" customWidth="1"/>
    <col min="7429" max="7429" width="17.6640625" style="197" customWidth="1"/>
    <col min="7430" max="7430" width="15.6640625" style="197" bestFit="1" customWidth="1"/>
    <col min="7431" max="7431" width="15.21875" style="197" customWidth="1"/>
    <col min="7432" max="7432" width="15.33203125" style="197" bestFit="1" customWidth="1"/>
    <col min="7433" max="7433" width="14.109375" style="197" customWidth="1"/>
    <col min="7434" max="7434" width="13.88671875" style="197" bestFit="1" customWidth="1"/>
    <col min="7435" max="7435" width="15.21875" style="197" bestFit="1" customWidth="1"/>
    <col min="7436" max="7436" width="13" style="197" bestFit="1" customWidth="1"/>
    <col min="7437" max="7438" width="14.109375" style="197" customWidth="1"/>
    <col min="7439" max="7440" width="15.21875" style="197" bestFit="1" customWidth="1"/>
    <col min="7441" max="7441" width="14.21875" style="197" bestFit="1" customWidth="1"/>
    <col min="7442" max="7442" width="14.88671875" style="197" bestFit="1" customWidth="1"/>
    <col min="7443" max="7443" width="14.33203125" style="197" customWidth="1"/>
    <col min="7444" max="7444" width="17.21875" style="197" customWidth="1"/>
    <col min="7445" max="7445" width="4.77734375" style="197" customWidth="1"/>
    <col min="7446" max="7446" width="15.21875" style="197" customWidth="1"/>
    <col min="7447" max="7447" width="10.21875" style="197" customWidth="1"/>
    <col min="7448" max="7448" width="15.21875" style="197" customWidth="1"/>
    <col min="7449" max="7449" width="13" style="197" customWidth="1"/>
    <col min="7450" max="7450" width="13.88671875" style="197" customWidth="1"/>
    <col min="7451" max="7451" width="13" style="197" customWidth="1"/>
    <col min="7452" max="7452" width="13.88671875" style="197" customWidth="1"/>
    <col min="7453" max="7453" width="15.21875" style="197" customWidth="1"/>
    <col min="7454" max="7454" width="13" style="197" customWidth="1"/>
    <col min="7455" max="7455" width="14.109375" style="197" customWidth="1"/>
    <col min="7456" max="7456" width="17.77734375" style="197" customWidth="1"/>
    <col min="7457" max="7457" width="14.109375" style="197" customWidth="1"/>
    <col min="7458" max="7458" width="15.21875" style="197" customWidth="1"/>
    <col min="7459" max="7459" width="13.21875" style="197" customWidth="1"/>
    <col min="7460" max="7460" width="14.109375" style="197" customWidth="1"/>
    <col min="7461" max="7461" width="13" style="197" customWidth="1"/>
    <col min="7462" max="7462" width="9.77734375" style="197" customWidth="1"/>
    <col min="7463" max="7463" width="16.77734375" style="197" customWidth="1"/>
    <col min="7464" max="7464" width="11.109375" style="197" customWidth="1"/>
    <col min="7465" max="7465" width="16.77734375" style="197" customWidth="1"/>
    <col min="7466" max="7466" width="15.21875" style="197" customWidth="1"/>
    <col min="7467" max="7467" width="15.21875" style="197" bestFit="1" customWidth="1"/>
    <col min="7468" max="7468" width="12.88671875" style="197" customWidth="1"/>
    <col min="7469" max="7469" width="16.33203125" style="197" bestFit="1" customWidth="1"/>
    <col min="7470" max="7472" width="13.88671875" style="197" bestFit="1" customWidth="1"/>
    <col min="7473" max="7473" width="12.6640625" style="197" bestFit="1" customWidth="1"/>
    <col min="7474" max="7474" width="13.21875" style="197" bestFit="1" customWidth="1"/>
    <col min="7475" max="7475" width="13.109375" style="197" bestFit="1" customWidth="1"/>
    <col min="7476" max="7681" width="9.21875" style="197"/>
    <col min="7682" max="7682" width="0" style="197" hidden="1" customWidth="1"/>
    <col min="7683" max="7683" width="32.6640625" style="197" customWidth="1"/>
    <col min="7684" max="7684" width="0" style="197" hidden="1" customWidth="1"/>
    <col min="7685" max="7685" width="17.6640625" style="197" customWidth="1"/>
    <col min="7686" max="7686" width="15.6640625" style="197" bestFit="1" customWidth="1"/>
    <col min="7687" max="7687" width="15.21875" style="197" customWidth="1"/>
    <col min="7688" max="7688" width="15.33203125" style="197" bestFit="1" customWidth="1"/>
    <col min="7689" max="7689" width="14.109375" style="197" customWidth="1"/>
    <col min="7690" max="7690" width="13.88671875" style="197" bestFit="1" customWidth="1"/>
    <col min="7691" max="7691" width="15.21875" style="197" bestFit="1" customWidth="1"/>
    <col min="7692" max="7692" width="13" style="197" bestFit="1" customWidth="1"/>
    <col min="7693" max="7694" width="14.109375" style="197" customWidth="1"/>
    <col min="7695" max="7696" width="15.21875" style="197" bestFit="1" customWidth="1"/>
    <col min="7697" max="7697" width="14.21875" style="197" bestFit="1" customWidth="1"/>
    <col min="7698" max="7698" width="14.88671875" style="197" bestFit="1" customWidth="1"/>
    <col min="7699" max="7699" width="14.33203125" style="197" customWidth="1"/>
    <col min="7700" max="7700" width="17.21875" style="197" customWidth="1"/>
    <col min="7701" max="7701" width="4.77734375" style="197" customWidth="1"/>
    <col min="7702" max="7702" width="15.21875" style="197" customWidth="1"/>
    <col min="7703" max="7703" width="10.21875" style="197" customWidth="1"/>
    <col min="7704" max="7704" width="15.21875" style="197" customWidth="1"/>
    <col min="7705" max="7705" width="13" style="197" customWidth="1"/>
    <col min="7706" max="7706" width="13.88671875" style="197" customWidth="1"/>
    <col min="7707" max="7707" width="13" style="197" customWidth="1"/>
    <col min="7708" max="7708" width="13.88671875" style="197" customWidth="1"/>
    <col min="7709" max="7709" width="15.21875" style="197" customWidth="1"/>
    <col min="7710" max="7710" width="13" style="197" customWidth="1"/>
    <col min="7711" max="7711" width="14.109375" style="197" customWidth="1"/>
    <col min="7712" max="7712" width="17.77734375" style="197" customWidth="1"/>
    <col min="7713" max="7713" width="14.109375" style="197" customWidth="1"/>
    <col min="7714" max="7714" width="15.21875" style="197" customWidth="1"/>
    <col min="7715" max="7715" width="13.21875" style="197" customWidth="1"/>
    <col min="7716" max="7716" width="14.109375" style="197" customWidth="1"/>
    <col min="7717" max="7717" width="13" style="197" customWidth="1"/>
    <col min="7718" max="7718" width="9.77734375" style="197" customWidth="1"/>
    <col min="7719" max="7719" width="16.77734375" style="197" customWidth="1"/>
    <col min="7720" max="7720" width="11.109375" style="197" customWidth="1"/>
    <col min="7721" max="7721" width="16.77734375" style="197" customWidth="1"/>
    <col min="7722" max="7722" width="15.21875" style="197" customWidth="1"/>
    <col min="7723" max="7723" width="15.21875" style="197" bestFit="1" customWidth="1"/>
    <col min="7724" max="7724" width="12.88671875" style="197" customWidth="1"/>
    <col min="7725" max="7725" width="16.33203125" style="197" bestFit="1" customWidth="1"/>
    <col min="7726" max="7728" width="13.88671875" style="197" bestFit="1" customWidth="1"/>
    <col min="7729" max="7729" width="12.6640625" style="197" bestFit="1" customWidth="1"/>
    <col min="7730" max="7730" width="13.21875" style="197" bestFit="1" customWidth="1"/>
    <col min="7731" max="7731" width="13.109375" style="197" bestFit="1" customWidth="1"/>
    <col min="7732" max="7937" width="9.21875" style="197"/>
    <col min="7938" max="7938" width="0" style="197" hidden="1" customWidth="1"/>
    <col min="7939" max="7939" width="32.6640625" style="197" customWidth="1"/>
    <col min="7940" max="7940" width="0" style="197" hidden="1" customWidth="1"/>
    <col min="7941" max="7941" width="17.6640625" style="197" customWidth="1"/>
    <col min="7942" max="7942" width="15.6640625" style="197" bestFit="1" customWidth="1"/>
    <col min="7943" max="7943" width="15.21875" style="197" customWidth="1"/>
    <col min="7944" max="7944" width="15.33203125" style="197" bestFit="1" customWidth="1"/>
    <col min="7945" max="7945" width="14.109375" style="197" customWidth="1"/>
    <col min="7946" max="7946" width="13.88671875" style="197" bestFit="1" customWidth="1"/>
    <col min="7947" max="7947" width="15.21875" style="197" bestFit="1" customWidth="1"/>
    <col min="7948" max="7948" width="13" style="197" bestFit="1" customWidth="1"/>
    <col min="7949" max="7950" width="14.109375" style="197" customWidth="1"/>
    <col min="7951" max="7952" width="15.21875" style="197" bestFit="1" customWidth="1"/>
    <col min="7953" max="7953" width="14.21875" style="197" bestFit="1" customWidth="1"/>
    <col min="7954" max="7954" width="14.88671875" style="197" bestFit="1" customWidth="1"/>
    <col min="7955" max="7955" width="14.33203125" style="197" customWidth="1"/>
    <col min="7956" max="7956" width="17.21875" style="197" customWidth="1"/>
    <col min="7957" max="7957" width="4.77734375" style="197" customWidth="1"/>
    <col min="7958" max="7958" width="15.21875" style="197" customWidth="1"/>
    <col min="7959" max="7959" width="10.21875" style="197" customWidth="1"/>
    <col min="7960" max="7960" width="15.21875" style="197" customWidth="1"/>
    <col min="7961" max="7961" width="13" style="197" customWidth="1"/>
    <col min="7962" max="7962" width="13.88671875" style="197" customWidth="1"/>
    <col min="7963" max="7963" width="13" style="197" customWidth="1"/>
    <col min="7964" max="7964" width="13.88671875" style="197" customWidth="1"/>
    <col min="7965" max="7965" width="15.21875" style="197" customWidth="1"/>
    <col min="7966" max="7966" width="13" style="197" customWidth="1"/>
    <col min="7967" max="7967" width="14.109375" style="197" customWidth="1"/>
    <col min="7968" max="7968" width="17.77734375" style="197" customWidth="1"/>
    <col min="7969" max="7969" width="14.109375" style="197" customWidth="1"/>
    <col min="7970" max="7970" width="15.21875" style="197" customWidth="1"/>
    <col min="7971" max="7971" width="13.21875" style="197" customWidth="1"/>
    <col min="7972" max="7972" width="14.109375" style="197" customWidth="1"/>
    <col min="7973" max="7973" width="13" style="197" customWidth="1"/>
    <col min="7974" max="7974" width="9.77734375" style="197" customWidth="1"/>
    <col min="7975" max="7975" width="16.77734375" style="197" customWidth="1"/>
    <col min="7976" max="7976" width="11.109375" style="197" customWidth="1"/>
    <col min="7977" max="7977" width="16.77734375" style="197" customWidth="1"/>
    <col min="7978" max="7978" width="15.21875" style="197" customWidth="1"/>
    <col min="7979" max="7979" width="15.21875" style="197" bestFit="1" customWidth="1"/>
    <col min="7980" max="7980" width="12.88671875" style="197" customWidth="1"/>
    <col min="7981" max="7981" width="16.33203125" style="197" bestFit="1" customWidth="1"/>
    <col min="7982" max="7984" width="13.88671875" style="197" bestFit="1" customWidth="1"/>
    <col min="7985" max="7985" width="12.6640625" style="197" bestFit="1" customWidth="1"/>
    <col min="7986" max="7986" width="13.21875" style="197" bestFit="1" customWidth="1"/>
    <col min="7987" max="7987" width="13.109375" style="197" bestFit="1" customWidth="1"/>
    <col min="7988" max="8193" width="9.21875" style="197"/>
    <col min="8194" max="8194" width="0" style="197" hidden="1" customWidth="1"/>
    <col min="8195" max="8195" width="32.6640625" style="197" customWidth="1"/>
    <col min="8196" max="8196" width="0" style="197" hidden="1" customWidth="1"/>
    <col min="8197" max="8197" width="17.6640625" style="197" customWidth="1"/>
    <col min="8198" max="8198" width="15.6640625" style="197" bestFit="1" customWidth="1"/>
    <col min="8199" max="8199" width="15.21875" style="197" customWidth="1"/>
    <col min="8200" max="8200" width="15.33203125" style="197" bestFit="1" customWidth="1"/>
    <col min="8201" max="8201" width="14.109375" style="197" customWidth="1"/>
    <col min="8202" max="8202" width="13.88671875" style="197" bestFit="1" customWidth="1"/>
    <col min="8203" max="8203" width="15.21875" style="197" bestFit="1" customWidth="1"/>
    <col min="8204" max="8204" width="13" style="197" bestFit="1" customWidth="1"/>
    <col min="8205" max="8206" width="14.109375" style="197" customWidth="1"/>
    <col min="8207" max="8208" width="15.21875" style="197" bestFit="1" customWidth="1"/>
    <col min="8209" max="8209" width="14.21875" style="197" bestFit="1" customWidth="1"/>
    <col min="8210" max="8210" width="14.88671875" style="197" bestFit="1" customWidth="1"/>
    <col min="8211" max="8211" width="14.33203125" style="197" customWidth="1"/>
    <col min="8212" max="8212" width="17.21875" style="197" customWidth="1"/>
    <col min="8213" max="8213" width="4.77734375" style="197" customWidth="1"/>
    <col min="8214" max="8214" width="15.21875" style="197" customWidth="1"/>
    <col min="8215" max="8215" width="10.21875" style="197" customWidth="1"/>
    <col min="8216" max="8216" width="15.21875" style="197" customWidth="1"/>
    <col min="8217" max="8217" width="13" style="197" customWidth="1"/>
    <col min="8218" max="8218" width="13.88671875" style="197" customWidth="1"/>
    <col min="8219" max="8219" width="13" style="197" customWidth="1"/>
    <col min="8220" max="8220" width="13.88671875" style="197" customWidth="1"/>
    <col min="8221" max="8221" width="15.21875" style="197" customWidth="1"/>
    <col min="8222" max="8222" width="13" style="197" customWidth="1"/>
    <col min="8223" max="8223" width="14.109375" style="197" customWidth="1"/>
    <col min="8224" max="8224" width="17.77734375" style="197" customWidth="1"/>
    <col min="8225" max="8225" width="14.109375" style="197" customWidth="1"/>
    <col min="8226" max="8226" width="15.21875" style="197" customWidth="1"/>
    <col min="8227" max="8227" width="13.21875" style="197" customWidth="1"/>
    <col min="8228" max="8228" width="14.109375" style="197" customWidth="1"/>
    <col min="8229" max="8229" width="13" style="197" customWidth="1"/>
    <col min="8230" max="8230" width="9.77734375" style="197" customWidth="1"/>
    <col min="8231" max="8231" width="16.77734375" style="197" customWidth="1"/>
    <col min="8232" max="8232" width="11.109375" style="197" customWidth="1"/>
    <col min="8233" max="8233" width="16.77734375" style="197" customWidth="1"/>
    <col min="8234" max="8234" width="15.21875" style="197" customWidth="1"/>
    <col min="8235" max="8235" width="15.21875" style="197" bestFit="1" customWidth="1"/>
    <col min="8236" max="8236" width="12.88671875" style="197" customWidth="1"/>
    <col min="8237" max="8237" width="16.33203125" style="197" bestFit="1" customWidth="1"/>
    <col min="8238" max="8240" width="13.88671875" style="197" bestFit="1" customWidth="1"/>
    <col min="8241" max="8241" width="12.6640625" style="197" bestFit="1" customWidth="1"/>
    <col min="8242" max="8242" width="13.21875" style="197" bestFit="1" customWidth="1"/>
    <col min="8243" max="8243" width="13.109375" style="197" bestFit="1" customWidth="1"/>
    <col min="8244" max="8449" width="9.21875" style="197"/>
    <col min="8450" max="8450" width="0" style="197" hidden="1" customWidth="1"/>
    <col min="8451" max="8451" width="32.6640625" style="197" customWidth="1"/>
    <col min="8452" max="8452" width="0" style="197" hidden="1" customWidth="1"/>
    <col min="8453" max="8453" width="17.6640625" style="197" customWidth="1"/>
    <col min="8454" max="8454" width="15.6640625" style="197" bestFit="1" customWidth="1"/>
    <col min="8455" max="8455" width="15.21875" style="197" customWidth="1"/>
    <col min="8456" max="8456" width="15.33203125" style="197" bestFit="1" customWidth="1"/>
    <col min="8457" max="8457" width="14.109375" style="197" customWidth="1"/>
    <col min="8458" max="8458" width="13.88671875" style="197" bestFit="1" customWidth="1"/>
    <col min="8459" max="8459" width="15.21875" style="197" bestFit="1" customWidth="1"/>
    <col min="8460" max="8460" width="13" style="197" bestFit="1" customWidth="1"/>
    <col min="8461" max="8462" width="14.109375" style="197" customWidth="1"/>
    <col min="8463" max="8464" width="15.21875" style="197" bestFit="1" customWidth="1"/>
    <col min="8465" max="8465" width="14.21875" style="197" bestFit="1" customWidth="1"/>
    <col min="8466" max="8466" width="14.88671875" style="197" bestFit="1" customWidth="1"/>
    <col min="8467" max="8467" width="14.33203125" style="197" customWidth="1"/>
    <col min="8468" max="8468" width="17.21875" style="197" customWidth="1"/>
    <col min="8469" max="8469" width="4.77734375" style="197" customWidth="1"/>
    <col min="8470" max="8470" width="15.21875" style="197" customWidth="1"/>
    <col min="8471" max="8471" width="10.21875" style="197" customWidth="1"/>
    <col min="8472" max="8472" width="15.21875" style="197" customWidth="1"/>
    <col min="8473" max="8473" width="13" style="197" customWidth="1"/>
    <col min="8474" max="8474" width="13.88671875" style="197" customWidth="1"/>
    <col min="8475" max="8475" width="13" style="197" customWidth="1"/>
    <col min="8476" max="8476" width="13.88671875" style="197" customWidth="1"/>
    <col min="8477" max="8477" width="15.21875" style="197" customWidth="1"/>
    <col min="8478" max="8478" width="13" style="197" customWidth="1"/>
    <col min="8479" max="8479" width="14.109375" style="197" customWidth="1"/>
    <col min="8480" max="8480" width="17.77734375" style="197" customWidth="1"/>
    <col min="8481" max="8481" width="14.109375" style="197" customWidth="1"/>
    <col min="8482" max="8482" width="15.21875" style="197" customWidth="1"/>
    <col min="8483" max="8483" width="13.21875" style="197" customWidth="1"/>
    <col min="8484" max="8484" width="14.109375" style="197" customWidth="1"/>
    <col min="8485" max="8485" width="13" style="197" customWidth="1"/>
    <col min="8486" max="8486" width="9.77734375" style="197" customWidth="1"/>
    <col min="8487" max="8487" width="16.77734375" style="197" customWidth="1"/>
    <col min="8488" max="8488" width="11.109375" style="197" customWidth="1"/>
    <col min="8489" max="8489" width="16.77734375" style="197" customWidth="1"/>
    <col min="8490" max="8490" width="15.21875" style="197" customWidth="1"/>
    <col min="8491" max="8491" width="15.21875" style="197" bestFit="1" customWidth="1"/>
    <col min="8492" max="8492" width="12.88671875" style="197" customWidth="1"/>
    <col min="8493" max="8493" width="16.33203125" style="197" bestFit="1" customWidth="1"/>
    <col min="8494" max="8496" width="13.88671875" style="197" bestFit="1" customWidth="1"/>
    <col min="8497" max="8497" width="12.6640625" style="197" bestFit="1" customWidth="1"/>
    <col min="8498" max="8498" width="13.21875" style="197" bestFit="1" customWidth="1"/>
    <col min="8499" max="8499" width="13.109375" style="197" bestFit="1" customWidth="1"/>
    <col min="8500" max="8705" width="9.21875" style="197"/>
    <col min="8706" max="8706" width="0" style="197" hidden="1" customWidth="1"/>
    <col min="8707" max="8707" width="32.6640625" style="197" customWidth="1"/>
    <col min="8708" max="8708" width="0" style="197" hidden="1" customWidth="1"/>
    <col min="8709" max="8709" width="17.6640625" style="197" customWidth="1"/>
    <col min="8710" max="8710" width="15.6640625" style="197" bestFit="1" customWidth="1"/>
    <col min="8711" max="8711" width="15.21875" style="197" customWidth="1"/>
    <col min="8712" max="8712" width="15.33203125" style="197" bestFit="1" customWidth="1"/>
    <col min="8713" max="8713" width="14.109375" style="197" customWidth="1"/>
    <col min="8714" max="8714" width="13.88671875" style="197" bestFit="1" customWidth="1"/>
    <col min="8715" max="8715" width="15.21875" style="197" bestFit="1" customWidth="1"/>
    <col min="8716" max="8716" width="13" style="197" bestFit="1" customWidth="1"/>
    <col min="8717" max="8718" width="14.109375" style="197" customWidth="1"/>
    <col min="8719" max="8720" width="15.21875" style="197" bestFit="1" customWidth="1"/>
    <col min="8721" max="8721" width="14.21875" style="197" bestFit="1" customWidth="1"/>
    <col min="8722" max="8722" width="14.88671875" style="197" bestFit="1" customWidth="1"/>
    <col min="8723" max="8723" width="14.33203125" style="197" customWidth="1"/>
    <col min="8724" max="8724" width="17.21875" style="197" customWidth="1"/>
    <col min="8725" max="8725" width="4.77734375" style="197" customWidth="1"/>
    <col min="8726" max="8726" width="15.21875" style="197" customWidth="1"/>
    <col min="8727" max="8727" width="10.21875" style="197" customWidth="1"/>
    <col min="8728" max="8728" width="15.21875" style="197" customWidth="1"/>
    <col min="8729" max="8729" width="13" style="197" customWidth="1"/>
    <col min="8730" max="8730" width="13.88671875" style="197" customWidth="1"/>
    <col min="8731" max="8731" width="13" style="197" customWidth="1"/>
    <col min="8732" max="8732" width="13.88671875" style="197" customWidth="1"/>
    <col min="8733" max="8733" width="15.21875" style="197" customWidth="1"/>
    <col min="8734" max="8734" width="13" style="197" customWidth="1"/>
    <col min="8735" max="8735" width="14.109375" style="197" customWidth="1"/>
    <col min="8736" max="8736" width="17.77734375" style="197" customWidth="1"/>
    <col min="8737" max="8737" width="14.109375" style="197" customWidth="1"/>
    <col min="8738" max="8738" width="15.21875" style="197" customWidth="1"/>
    <col min="8739" max="8739" width="13.21875" style="197" customWidth="1"/>
    <col min="8740" max="8740" width="14.109375" style="197" customWidth="1"/>
    <col min="8741" max="8741" width="13" style="197" customWidth="1"/>
    <col min="8742" max="8742" width="9.77734375" style="197" customWidth="1"/>
    <col min="8743" max="8743" width="16.77734375" style="197" customWidth="1"/>
    <col min="8744" max="8744" width="11.109375" style="197" customWidth="1"/>
    <col min="8745" max="8745" width="16.77734375" style="197" customWidth="1"/>
    <col min="8746" max="8746" width="15.21875" style="197" customWidth="1"/>
    <col min="8747" max="8747" width="15.21875" style="197" bestFit="1" customWidth="1"/>
    <col min="8748" max="8748" width="12.88671875" style="197" customWidth="1"/>
    <col min="8749" max="8749" width="16.33203125" style="197" bestFit="1" customWidth="1"/>
    <col min="8750" max="8752" width="13.88671875" style="197" bestFit="1" customWidth="1"/>
    <col min="8753" max="8753" width="12.6640625" style="197" bestFit="1" customWidth="1"/>
    <col min="8754" max="8754" width="13.21875" style="197" bestFit="1" customWidth="1"/>
    <col min="8755" max="8755" width="13.109375" style="197" bestFit="1" customWidth="1"/>
    <col min="8756" max="8961" width="9.21875" style="197"/>
    <col min="8962" max="8962" width="0" style="197" hidden="1" customWidth="1"/>
    <col min="8963" max="8963" width="32.6640625" style="197" customWidth="1"/>
    <col min="8964" max="8964" width="0" style="197" hidden="1" customWidth="1"/>
    <col min="8965" max="8965" width="17.6640625" style="197" customWidth="1"/>
    <col min="8966" max="8966" width="15.6640625" style="197" bestFit="1" customWidth="1"/>
    <col min="8967" max="8967" width="15.21875" style="197" customWidth="1"/>
    <col min="8968" max="8968" width="15.33203125" style="197" bestFit="1" customWidth="1"/>
    <col min="8969" max="8969" width="14.109375" style="197" customWidth="1"/>
    <col min="8970" max="8970" width="13.88671875" style="197" bestFit="1" customWidth="1"/>
    <col min="8971" max="8971" width="15.21875" style="197" bestFit="1" customWidth="1"/>
    <col min="8972" max="8972" width="13" style="197" bestFit="1" customWidth="1"/>
    <col min="8973" max="8974" width="14.109375" style="197" customWidth="1"/>
    <col min="8975" max="8976" width="15.21875" style="197" bestFit="1" customWidth="1"/>
    <col min="8977" max="8977" width="14.21875" style="197" bestFit="1" customWidth="1"/>
    <col min="8978" max="8978" width="14.88671875" style="197" bestFit="1" customWidth="1"/>
    <col min="8979" max="8979" width="14.33203125" style="197" customWidth="1"/>
    <col min="8980" max="8980" width="17.21875" style="197" customWidth="1"/>
    <col min="8981" max="8981" width="4.77734375" style="197" customWidth="1"/>
    <col min="8982" max="8982" width="15.21875" style="197" customWidth="1"/>
    <col min="8983" max="8983" width="10.21875" style="197" customWidth="1"/>
    <col min="8984" max="8984" width="15.21875" style="197" customWidth="1"/>
    <col min="8985" max="8985" width="13" style="197" customWidth="1"/>
    <col min="8986" max="8986" width="13.88671875" style="197" customWidth="1"/>
    <col min="8987" max="8987" width="13" style="197" customWidth="1"/>
    <col min="8988" max="8988" width="13.88671875" style="197" customWidth="1"/>
    <col min="8989" max="8989" width="15.21875" style="197" customWidth="1"/>
    <col min="8990" max="8990" width="13" style="197" customWidth="1"/>
    <col min="8991" max="8991" width="14.109375" style="197" customWidth="1"/>
    <col min="8992" max="8992" width="17.77734375" style="197" customWidth="1"/>
    <col min="8993" max="8993" width="14.109375" style="197" customWidth="1"/>
    <col min="8994" max="8994" width="15.21875" style="197" customWidth="1"/>
    <col min="8995" max="8995" width="13.21875" style="197" customWidth="1"/>
    <col min="8996" max="8996" width="14.109375" style="197" customWidth="1"/>
    <col min="8997" max="8997" width="13" style="197" customWidth="1"/>
    <col min="8998" max="8998" width="9.77734375" style="197" customWidth="1"/>
    <col min="8999" max="8999" width="16.77734375" style="197" customWidth="1"/>
    <col min="9000" max="9000" width="11.109375" style="197" customWidth="1"/>
    <col min="9001" max="9001" width="16.77734375" style="197" customWidth="1"/>
    <col min="9002" max="9002" width="15.21875" style="197" customWidth="1"/>
    <col min="9003" max="9003" width="15.21875" style="197" bestFit="1" customWidth="1"/>
    <col min="9004" max="9004" width="12.88671875" style="197" customWidth="1"/>
    <col min="9005" max="9005" width="16.33203125" style="197" bestFit="1" customWidth="1"/>
    <col min="9006" max="9008" width="13.88671875" style="197" bestFit="1" customWidth="1"/>
    <col min="9009" max="9009" width="12.6640625" style="197" bestFit="1" customWidth="1"/>
    <col min="9010" max="9010" width="13.21875" style="197" bestFit="1" customWidth="1"/>
    <col min="9011" max="9011" width="13.109375" style="197" bestFit="1" customWidth="1"/>
    <col min="9012" max="9217" width="9.21875" style="197"/>
    <col min="9218" max="9218" width="0" style="197" hidden="1" customWidth="1"/>
    <col min="9219" max="9219" width="32.6640625" style="197" customWidth="1"/>
    <col min="9220" max="9220" width="0" style="197" hidden="1" customWidth="1"/>
    <col min="9221" max="9221" width="17.6640625" style="197" customWidth="1"/>
    <col min="9222" max="9222" width="15.6640625" style="197" bestFit="1" customWidth="1"/>
    <col min="9223" max="9223" width="15.21875" style="197" customWidth="1"/>
    <col min="9224" max="9224" width="15.33203125" style="197" bestFit="1" customWidth="1"/>
    <col min="9225" max="9225" width="14.109375" style="197" customWidth="1"/>
    <col min="9226" max="9226" width="13.88671875" style="197" bestFit="1" customWidth="1"/>
    <col min="9227" max="9227" width="15.21875" style="197" bestFit="1" customWidth="1"/>
    <col min="9228" max="9228" width="13" style="197" bestFit="1" customWidth="1"/>
    <col min="9229" max="9230" width="14.109375" style="197" customWidth="1"/>
    <col min="9231" max="9232" width="15.21875" style="197" bestFit="1" customWidth="1"/>
    <col min="9233" max="9233" width="14.21875" style="197" bestFit="1" customWidth="1"/>
    <col min="9234" max="9234" width="14.88671875" style="197" bestFit="1" customWidth="1"/>
    <col min="9235" max="9235" width="14.33203125" style="197" customWidth="1"/>
    <col min="9236" max="9236" width="17.21875" style="197" customWidth="1"/>
    <col min="9237" max="9237" width="4.77734375" style="197" customWidth="1"/>
    <col min="9238" max="9238" width="15.21875" style="197" customWidth="1"/>
    <col min="9239" max="9239" width="10.21875" style="197" customWidth="1"/>
    <col min="9240" max="9240" width="15.21875" style="197" customWidth="1"/>
    <col min="9241" max="9241" width="13" style="197" customWidth="1"/>
    <col min="9242" max="9242" width="13.88671875" style="197" customWidth="1"/>
    <col min="9243" max="9243" width="13" style="197" customWidth="1"/>
    <col min="9244" max="9244" width="13.88671875" style="197" customWidth="1"/>
    <col min="9245" max="9245" width="15.21875" style="197" customWidth="1"/>
    <col min="9246" max="9246" width="13" style="197" customWidth="1"/>
    <col min="9247" max="9247" width="14.109375" style="197" customWidth="1"/>
    <col min="9248" max="9248" width="17.77734375" style="197" customWidth="1"/>
    <col min="9249" max="9249" width="14.109375" style="197" customWidth="1"/>
    <col min="9250" max="9250" width="15.21875" style="197" customWidth="1"/>
    <col min="9251" max="9251" width="13.21875" style="197" customWidth="1"/>
    <col min="9252" max="9252" width="14.109375" style="197" customWidth="1"/>
    <col min="9253" max="9253" width="13" style="197" customWidth="1"/>
    <col min="9254" max="9254" width="9.77734375" style="197" customWidth="1"/>
    <col min="9255" max="9255" width="16.77734375" style="197" customWidth="1"/>
    <col min="9256" max="9256" width="11.109375" style="197" customWidth="1"/>
    <col min="9257" max="9257" width="16.77734375" style="197" customWidth="1"/>
    <col min="9258" max="9258" width="15.21875" style="197" customWidth="1"/>
    <col min="9259" max="9259" width="15.21875" style="197" bestFit="1" customWidth="1"/>
    <col min="9260" max="9260" width="12.88671875" style="197" customWidth="1"/>
    <col min="9261" max="9261" width="16.33203125" style="197" bestFit="1" customWidth="1"/>
    <col min="9262" max="9264" width="13.88671875" style="197" bestFit="1" customWidth="1"/>
    <col min="9265" max="9265" width="12.6640625" style="197" bestFit="1" customWidth="1"/>
    <col min="9266" max="9266" width="13.21875" style="197" bestFit="1" customWidth="1"/>
    <col min="9267" max="9267" width="13.109375" style="197" bestFit="1" customWidth="1"/>
    <col min="9268" max="9473" width="9.21875" style="197"/>
    <col min="9474" max="9474" width="0" style="197" hidden="1" customWidth="1"/>
    <col min="9475" max="9475" width="32.6640625" style="197" customWidth="1"/>
    <col min="9476" max="9476" width="0" style="197" hidden="1" customWidth="1"/>
    <col min="9477" max="9477" width="17.6640625" style="197" customWidth="1"/>
    <col min="9478" max="9478" width="15.6640625" style="197" bestFit="1" customWidth="1"/>
    <col min="9479" max="9479" width="15.21875" style="197" customWidth="1"/>
    <col min="9480" max="9480" width="15.33203125" style="197" bestFit="1" customWidth="1"/>
    <col min="9481" max="9481" width="14.109375" style="197" customWidth="1"/>
    <col min="9482" max="9482" width="13.88671875" style="197" bestFit="1" customWidth="1"/>
    <col min="9483" max="9483" width="15.21875" style="197" bestFit="1" customWidth="1"/>
    <col min="9484" max="9484" width="13" style="197" bestFit="1" customWidth="1"/>
    <col min="9485" max="9486" width="14.109375" style="197" customWidth="1"/>
    <col min="9487" max="9488" width="15.21875" style="197" bestFit="1" customWidth="1"/>
    <col min="9489" max="9489" width="14.21875" style="197" bestFit="1" customWidth="1"/>
    <col min="9490" max="9490" width="14.88671875" style="197" bestFit="1" customWidth="1"/>
    <col min="9491" max="9491" width="14.33203125" style="197" customWidth="1"/>
    <col min="9492" max="9492" width="17.21875" style="197" customWidth="1"/>
    <col min="9493" max="9493" width="4.77734375" style="197" customWidth="1"/>
    <col min="9494" max="9494" width="15.21875" style="197" customWidth="1"/>
    <col min="9495" max="9495" width="10.21875" style="197" customWidth="1"/>
    <col min="9496" max="9496" width="15.21875" style="197" customWidth="1"/>
    <col min="9497" max="9497" width="13" style="197" customWidth="1"/>
    <col min="9498" max="9498" width="13.88671875" style="197" customWidth="1"/>
    <col min="9499" max="9499" width="13" style="197" customWidth="1"/>
    <col min="9500" max="9500" width="13.88671875" style="197" customWidth="1"/>
    <col min="9501" max="9501" width="15.21875" style="197" customWidth="1"/>
    <col min="9502" max="9502" width="13" style="197" customWidth="1"/>
    <col min="9503" max="9503" width="14.109375" style="197" customWidth="1"/>
    <col min="9504" max="9504" width="17.77734375" style="197" customWidth="1"/>
    <col min="9505" max="9505" width="14.109375" style="197" customWidth="1"/>
    <col min="9506" max="9506" width="15.21875" style="197" customWidth="1"/>
    <col min="9507" max="9507" width="13.21875" style="197" customWidth="1"/>
    <col min="9508" max="9508" width="14.109375" style="197" customWidth="1"/>
    <col min="9509" max="9509" width="13" style="197" customWidth="1"/>
    <col min="9510" max="9510" width="9.77734375" style="197" customWidth="1"/>
    <col min="9511" max="9511" width="16.77734375" style="197" customWidth="1"/>
    <col min="9512" max="9512" width="11.109375" style="197" customWidth="1"/>
    <col min="9513" max="9513" width="16.77734375" style="197" customWidth="1"/>
    <col min="9514" max="9514" width="15.21875" style="197" customWidth="1"/>
    <col min="9515" max="9515" width="15.21875" style="197" bestFit="1" customWidth="1"/>
    <col min="9516" max="9516" width="12.88671875" style="197" customWidth="1"/>
    <col min="9517" max="9517" width="16.33203125" style="197" bestFit="1" customWidth="1"/>
    <col min="9518" max="9520" width="13.88671875" style="197" bestFit="1" customWidth="1"/>
    <col min="9521" max="9521" width="12.6640625" style="197" bestFit="1" customWidth="1"/>
    <col min="9522" max="9522" width="13.21875" style="197" bestFit="1" customWidth="1"/>
    <col min="9523" max="9523" width="13.109375" style="197" bestFit="1" customWidth="1"/>
    <col min="9524" max="9729" width="9.21875" style="197"/>
    <col min="9730" max="9730" width="0" style="197" hidden="1" customWidth="1"/>
    <col min="9731" max="9731" width="32.6640625" style="197" customWidth="1"/>
    <col min="9732" max="9732" width="0" style="197" hidden="1" customWidth="1"/>
    <col min="9733" max="9733" width="17.6640625" style="197" customWidth="1"/>
    <col min="9734" max="9734" width="15.6640625" style="197" bestFit="1" customWidth="1"/>
    <col min="9735" max="9735" width="15.21875" style="197" customWidth="1"/>
    <col min="9736" max="9736" width="15.33203125" style="197" bestFit="1" customWidth="1"/>
    <col min="9737" max="9737" width="14.109375" style="197" customWidth="1"/>
    <col min="9738" max="9738" width="13.88671875" style="197" bestFit="1" customWidth="1"/>
    <col min="9739" max="9739" width="15.21875" style="197" bestFit="1" customWidth="1"/>
    <col min="9740" max="9740" width="13" style="197" bestFit="1" customWidth="1"/>
    <col min="9741" max="9742" width="14.109375" style="197" customWidth="1"/>
    <col min="9743" max="9744" width="15.21875" style="197" bestFit="1" customWidth="1"/>
    <col min="9745" max="9745" width="14.21875" style="197" bestFit="1" customWidth="1"/>
    <col min="9746" max="9746" width="14.88671875" style="197" bestFit="1" customWidth="1"/>
    <col min="9747" max="9747" width="14.33203125" style="197" customWidth="1"/>
    <col min="9748" max="9748" width="17.21875" style="197" customWidth="1"/>
    <col min="9749" max="9749" width="4.77734375" style="197" customWidth="1"/>
    <col min="9750" max="9750" width="15.21875" style="197" customWidth="1"/>
    <col min="9751" max="9751" width="10.21875" style="197" customWidth="1"/>
    <col min="9752" max="9752" width="15.21875" style="197" customWidth="1"/>
    <col min="9753" max="9753" width="13" style="197" customWidth="1"/>
    <col min="9754" max="9754" width="13.88671875" style="197" customWidth="1"/>
    <col min="9755" max="9755" width="13" style="197" customWidth="1"/>
    <col min="9756" max="9756" width="13.88671875" style="197" customWidth="1"/>
    <col min="9757" max="9757" width="15.21875" style="197" customWidth="1"/>
    <col min="9758" max="9758" width="13" style="197" customWidth="1"/>
    <col min="9759" max="9759" width="14.109375" style="197" customWidth="1"/>
    <col min="9760" max="9760" width="17.77734375" style="197" customWidth="1"/>
    <col min="9761" max="9761" width="14.109375" style="197" customWidth="1"/>
    <col min="9762" max="9762" width="15.21875" style="197" customWidth="1"/>
    <col min="9763" max="9763" width="13.21875" style="197" customWidth="1"/>
    <col min="9764" max="9764" width="14.109375" style="197" customWidth="1"/>
    <col min="9765" max="9765" width="13" style="197" customWidth="1"/>
    <col min="9766" max="9766" width="9.77734375" style="197" customWidth="1"/>
    <col min="9767" max="9767" width="16.77734375" style="197" customWidth="1"/>
    <col min="9768" max="9768" width="11.109375" style="197" customWidth="1"/>
    <col min="9769" max="9769" width="16.77734375" style="197" customWidth="1"/>
    <col min="9770" max="9770" width="15.21875" style="197" customWidth="1"/>
    <col min="9771" max="9771" width="15.21875" style="197" bestFit="1" customWidth="1"/>
    <col min="9772" max="9772" width="12.88671875" style="197" customWidth="1"/>
    <col min="9773" max="9773" width="16.33203125" style="197" bestFit="1" customWidth="1"/>
    <col min="9774" max="9776" width="13.88671875" style="197" bestFit="1" customWidth="1"/>
    <col min="9777" max="9777" width="12.6640625" style="197" bestFit="1" customWidth="1"/>
    <col min="9778" max="9778" width="13.21875" style="197" bestFit="1" customWidth="1"/>
    <col min="9779" max="9779" width="13.109375" style="197" bestFit="1" customWidth="1"/>
    <col min="9780" max="9985" width="9.21875" style="197"/>
    <col min="9986" max="9986" width="0" style="197" hidden="1" customWidth="1"/>
    <col min="9987" max="9987" width="32.6640625" style="197" customWidth="1"/>
    <col min="9988" max="9988" width="0" style="197" hidden="1" customWidth="1"/>
    <col min="9989" max="9989" width="17.6640625" style="197" customWidth="1"/>
    <col min="9990" max="9990" width="15.6640625" style="197" bestFit="1" customWidth="1"/>
    <col min="9991" max="9991" width="15.21875" style="197" customWidth="1"/>
    <col min="9992" max="9992" width="15.33203125" style="197" bestFit="1" customWidth="1"/>
    <col min="9993" max="9993" width="14.109375" style="197" customWidth="1"/>
    <col min="9994" max="9994" width="13.88671875" style="197" bestFit="1" customWidth="1"/>
    <col min="9995" max="9995" width="15.21875" style="197" bestFit="1" customWidth="1"/>
    <col min="9996" max="9996" width="13" style="197" bestFit="1" customWidth="1"/>
    <col min="9997" max="9998" width="14.109375" style="197" customWidth="1"/>
    <col min="9999" max="10000" width="15.21875" style="197" bestFit="1" customWidth="1"/>
    <col min="10001" max="10001" width="14.21875" style="197" bestFit="1" customWidth="1"/>
    <col min="10002" max="10002" width="14.88671875" style="197" bestFit="1" customWidth="1"/>
    <col min="10003" max="10003" width="14.33203125" style="197" customWidth="1"/>
    <col min="10004" max="10004" width="17.21875" style="197" customWidth="1"/>
    <col min="10005" max="10005" width="4.77734375" style="197" customWidth="1"/>
    <col min="10006" max="10006" width="15.21875" style="197" customWidth="1"/>
    <col min="10007" max="10007" width="10.21875" style="197" customWidth="1"/>
    <col min="10008" max="10008" width="15.21875" style="197" customWidth="1"/>
    <col min="10009" max="10009" width="13" style="197" customWidth="1"/>
    <col min="10010" max="10010" width="13.88671875" style="197" customWidth="1"/>
    <col min="10011" max="10011" width="13" style="197" customWidth="1"/>
    <col min="10012" max="10012" width="13.88671875" style="197" customWidth="1"/>
    <col min="10013" max="10013" width="15.21875" style="197" customWidth="1"/>
    <col min="10014" max="10014" width="13" style="197" customWidth="1"/>
    <col min="10015" max="10015" width="14.109375" style="197" customWidth="1"/>
    <col min="10016" max="10016" width="17.77734375" style="197" customWidth="1"/>
    <col min="10017" max="10017" width="14.109375" style="197" customWidth="1"/>
    <col min="10018" max="10018" width="15.21875" style="197" customWidth="1"/>
    <col min="10019" max="10019" width="13.21875" style="197" customWidth="1"/>
    <col min="10020" max="10020" width="14.109375" style="197" customWidth="1"/>
    <col min="10021" max="10021" width="13" style="197" customWidth="1"/>
    <col min="10022" max="10022" width="9.77734375" style="197" customWidth="1"/>
    <col min="10023" max="10023" width="16.77734375" style="197" customWidth="1"/>
    <col min="10024" max="10024" width="11.109375" style="197" customWidth="1"/>
    <col min="10025" max="10025" width="16.77734375" style="197" customWidth="1"/>
    <col min="10026" max="10026" width="15.21875" style="197" customWidth="1"/>
    <col min="10027" max="10027" width="15.21875" style="197" bestFit="1" customWidth="1"/>
    <col min="10028" max="10028" width="12.88671875" style="197" customWidth="1"/>
    <col min="10029" max="10029" width="16.33203125" style="197" bestFit="1" customWidth="1"/>
    <col min="10030" max="10032" width="13.88671875" style="197" bestFit="1" customWidth="1"/>
    <col min="10033" max="10033" width="12.6640625" style="197" bestFit="1" customWidth="1"/>
    <col min="10034" max="10034" width="13.21875" style="197" bestFit="1" customWidth="1"/>
    <col min="10035" max="10035" width="13.109375" style="197" bestFit="1" customWidth="1"/>
    <col min="10036" max="10241" width="9.21875" style="197"/>
    <col min="10242" max="10242" width="0" style="197" hidden="1" customWidth="1"/>
    <col min="10243" max="10243" width="32.6640625" style="197" customWidth="1"/>
    <col min="10244" max="10244" width="0" style="197" hidden="1" customWidth="1"/>
    <col min="10245" max="10245" width="17.6640625" style="197" customWidth="1"/>
    <col min="10246" max="10246" width="15.6640625" style="197" bestFit="1" customWidth="1"/>
    <col min="10247" max="10247" width="15.21875" style="197" customWidth="1"/>
    <col min="10248" max="10248" width="15.33203125" style="197" bestFit="1" customWidth="1"/>
    <col min="10249" max="10249" width="14.109375" style="197" customWidth="1"/>
    <col min="10250" max="10250" width="13.88671875" style="197" bestFit="1" customWidth="1"/>
    <col min="10251" max="10251" width="15.21875" style="197" bestFit="1" customWidth="1"/>
    <col min="10252" max="10252" width="13" style="197" bestFit="1" customWidth="1"/>
    <col min="10253" max="10254" width="14.109375" style="197" customWidth="1"/>
    <col min="10255" max="10256" width="15.21875" style="197" bestFit="1" customWidth="1"/>
    <col min="10257" max="10257" width="14.21875" style="197" bestFit="1" customWidth="1"/>
    <col min="10258" max="10258" width="14.88671875" style="197" bestFit="1" customWidth="1"/>
    <col min="10259" max="10259" width="14.33203125" style="197" customWidth="1"/>
    <col min="10260" max="10260" width="17.21875" style="197" customWidth="1"/>
    <col min="10261" max="10261" width="4.77734375" style="197" customWidth="1"/>
    <col min="10262" max="10262" width="15.21875" style="197" customWidth="1"/>
    <col min="10263" max="10263" width="10.21875" style="197" customWidth="1"/>
    <col min="10264" max="10264" width="15.21875" style="197" customWidth="1"/>
    <col min="10265" max="10265" width="13" style="197" customWidth="1"/>
    <col min="10266" max="10266" width="13.88671875" style="197" customWidth="1"/>
    <col min="10267" max="10267" width="13" style="197" customWidth="1"/>
    <col min="10268" max="10268" width="13.88671875" style="197" customWidth="1"/>
    <col min="10269" max="10269" width="15.21875" style="197" customWidth="1"/>
    <col min="10270" max="10270" width="13" style="197" customWidth="1"/>
    <col min="10271" max="10271" width="14.109375" style="197" customWidth="1"/>
    <col min="10272" max="10272" width="17.77734375" style="197" customWidth="1"/>
    <col min="10273" max="10273" width="14.109375" style="197" customWidth="1"/>
    <col min="10274" max="10274" width="15.21875" style="197" customWidth="1"/>
    <col min="10275" max="10275" width="13.21875" style="197" customWidth="1"/>
    <col min="10276" max="10276" width="14.109375" style="197" customWidth="1"/>
    <col min="10277" max="10277" width="13" style="197" customWidth="1"/>
    <col min="10278" max="10278" width="9.77734375" style="197" customWidth="1"/>
    <col min="10279" max="10279" width="16.77734375" style="197" customWidth="1"/>
    <col min="10280" max="10280" width="11.109375" style="197" customWidth="1"/>
    <col min="10281" max="10281" width="16.77734375" style="197" customWidth="1"/>
    <col min="10282" max="10282" width="15.21875" style="197" customWidth="1"/>
    <col min="10283" max="10283" width="15.21875" style="197" bestFit="1" customWidth="1"/>
    <col min="10284" max="10284" width="12.88671875" style="197" customWidth="1"/>
    <col min="10285" max="10285" width="16.33203125" style="197" bestFit="1" customWidth="1"/>
    <col min="10286" max="10288" width="13.88671875" style="197" bestFit="1" customWidth="1"/>
    <col min="10289" max="10289" width="12.6640625" style="197" bestFit="1" customWidth="1"/>
    <col min="10290" max="10290" width="13.21875" style="197" bestFit="1" customWidth="1"/>
    <col min="10291" max="10291" width="13.109375" style="197" bestFit="1" customWidth="1"/>
    <col min="10292" max="10497" width="9.21875" style="197"/>
    <col min="10498" max="10498" width="0" style="197" hidden="1" customWidth="1"/>
    <col min="10499" max="10499" width="32.6640625" style="197" customWidth="1"/>
    <col min="10500" max="10500" width="0" style="197" hidden="1" customWidth="1"/>
    <col min="10501" max="10501" width="17.6640625" style="197" customWidth="1"/>
    <col min="10502" max="10502" width="15.6640625" style="197" bestFit="1" customWidth="1"/>
    <col min="10503" max="10503" width="15.21875" style="197" customWidth="1"/>
    <col min="10504" max="10504" width="15.33203125" style="197" bestFit="1" customWidth="1"/>
    <col min="10505" max="10505" width="14.109375" style="197" customWidth="1"/>
    <col min="10506" max="10506" width="13.88671875" style="197" bestFit="1" customWidth="1"/>
    <col min="10507" max="10507" width="15.21875" style="197" bestFit="1" customWidth="1"/>
    <col min="10508" max="10508" width="13" style="197" bestFit="1" customWidth="1"/>
    <col min="10509" max="10510" width="14.109375" style="197" customWidth="1"/>
    <col min="10511" max="10512" width="15.21875" style="197" bestFit="1" customWidth="1"/>
    <col min="10513" max="10513" width="14.21875" style="197" bestFit="1" customWidth="1"/>
    <col min="10514" max="10514" width="14.88671875" style="197" bestFit="1" customWidth="1"/>
    <col min="10515" max="10515" width="14.33203125" style="197" customWidth="1"/>
    <col min="10516" max="10516" width="17.21875" style="197" customWidth="1"/>
    <col min="10517" max="10517" width="4.77734375" style="197" customWidth="1"/>
    <col min="10518" max="10518" width="15.21875" style="197" customWidth="1"/>
    <col min="10519" max="10519" width="10.21875" style="197" customWidth="1"/>
    <col min="10520" max="10520" width="15.21875" style="197" customWidth="1"/>
    <col min="10521" max="10521" width="13" style="197" customWidth="1"/>
    <col min="10522" max="10522" width="13.88671875" style="197" customWidth="1"/>
    <col min="10523" max="10523" width="13" style="197" customWidth="1"/>
    <col min="10524" max="10524" width="13.88671875" style="197" customWidth="1"/>
    <col min="10525" max="10525" width="15.21875" style="197" customWidth="1"/>
    <col min="10526" max="10526" width="13" style="197" customWidth="1"/>
    <col min="10527" max="10527" width="14.109375" style="197" customWidth="1"/>
    <col min="10528" max="10528" width="17.77734375" style="197" customWidth="1"/>
    <col min="10529" max="10529" width="14.109375" style="197" customWidth="1"/>
    <col min="10530" max="10530" width="15.21875" style="197" customWidth="1"/>
    <col min="10531" max="10531" width="13.21875" style="197" customWidth="1"/>
    <col min="10532" max="10532" width="14.109375" style="197" customWidth="1"/>
    <col min="10533" max="10533" width="13" style="197" customWidth="1"/>
    <col min="10534" max="10534" width="9.77734375" style="197" customWidth="1"/>
    <col min="10535" max="10535" width="16.77734375" style="197" customWidth="1"/>
    <col min="10536" max="10536" width="11.109375" style="197" customWidth="1"/>
    <col min="10537" max="10537" width="16.77734375" style="197" customWidth="1"/>
    <col min="10538" max="10538" width="15.21875" style="197" customWidth="1"/>
    <col min="10539" max="10539" width="15.21875" style="197" bestFit="1" customWidth="1"/>
    <col min="10540" max="10540" width="12.88671875" style="197" customWidth="1"/>
    <col min="10541" max="10541" width="16.33203125" style="197" bestFit="1" customWidth="1"/>
    <col min="10542" max="10544" width="13.88671875" style="197" bestFit="1" customWidth="1"/>
    <col min="10545" max="10545" width="12.6640625" style="197" bestFit="1" customWidth="1"/>
    <col min="10546" max="10546" width="13.21875" style="197" bestFit="1" customWidth="1"/>
    <col min="10547" max="10547" width="13.109375" style="197" bestFit="1" customWidth="1"/>
    <col min="10548" max="10753" width="9.21875" style="197"/>
    <col min="10754" max="10754" width="0" style="197" hidden="1" customWidth="1"/>
    <col min="10755" max="10755" width="32.6640625" style="197" customWidth="1"/>
    <col min="10756" max="10756" width="0" style="197" hidden="1" customWidth="1"/>
    <col min="10757" max="10757" width="17.6640625" style="197" customWidth="1"/>
    <col min="10758" max="10758" width="15.6640625" style="197" bestFit="1" customWidth="1"/>
    <col min="10759" max="10759" width="15.21875" style="197" customWidth="1"/>
    <col min="10760" max="10760" width="15.33203125" style="197" bestFit="1" customWidth="1"/>
    <col min="10761" max="10761" width="14.109375" style="197" customWidth="1"/>
    <col min="10762" max="10762" width="13.88671875" style="197" bestFit="1" customWidth="1"/>
    <col min="10763" max="10763" width="15.21875" style="197" bestFit="1" customWidth="1"/>
    <col min="10764" max="10764" width="13" style="197" bestFit="1" customWidth="1"/>
    <col min="10765" max="10766" width="14.109375" style="197" customWidth="1"/>
    <col min="10767" max="10768" width="15.21875" style="197" bestFit="1" customWidth="1"/>
    <col min="10769" max="10769" width="14.21875" style="197" bestFit="1" customWidth="1"/>
    <col min="10770" max="10770" width="14.88671875" style="197" bestFit="1" customWidth="1"/>
    <col min="10771" max="10771" width="14.33203125" style="197" customWidth="1"/>
    <col min="10772" max="10772" width="17.21875" style="197" customWidth="1"/>
    <col min="10773" max="10773" width="4.77734375" style="197" customWidth="1"/>
    <col min="10774" max="10774" width="15.21875" style="197" customWidth="1"/>
    <col min="10775" max="10775" width="10.21875" style="197" customWidth="1"/>
    <col min="10776" max="10776" width="15.21875" style="197" customWidth="1"/>
    <col min="10777" max="10777" width="13" style="197" customWidth="1"/>
    <col min="10778" max="10778" width="13.88671875" style="197" customWidth="1"/>
    <col min="10779" max="10779" width="13" style="197" customWidth="1"/>
    <col min="10780" max="10780" width="13.88671875" style="197" customWidth="1"/>
    <col min="10781" max="10781" width="15.21875" style="197" customWidth="1"/>
    <col min="10782" max="10782" width="13" style="197" customWidth="1"/>
    <col min="10783" max="10783" width="14.109375" style="197" customWidth="1"/>
    <col min="10784" max="10784" width="17.77734375" style="197" customWidth="1"/>
    <col min="10785" max="10785" width="14.109375" style="197" customWidth="1"/>
    <col min="10786" max="10786" width="15.21875" style="197" customWidth="1"/>
    <col min="10787" max="10787" width="13.21875" style="197" customWidth="1"/>
    <col min="10788" max="10788" width="14.109375" style="197" customWidth="1"/>
    <col min="10789" max="10789" width="13" style="197" customWidth="1"/>
    <col min="10790" max="10790" width="9.77734375" style="197" customWidth="1"/>
    <col min="10791" max="10791" width="16.77734375" style="197" customWidth="1"/>
    <col min="10792" max="10792" width="11.109375" style="197" customWidth="1"/>
    <col min="10793" max="10793" width="16.77734375" style="197" customWidth="1"/>
    <col min="10794" max="10794" width="15.21875" style="197" customWidth="1"/>
    <col min="10795" max="10795" width="15.21875" style="197" bestFit="1" customWidth="1"/>
    <col min="10796" max="10796" width="12.88671875" style="197" customWidth="1"/>
    <col min="10797" max="10797" width="16.33203125" style="197" bestFit="1" customWidth="1"/>
    <col min="10798" max="10800" width="13.88671875" style="197" bestFit="1" customWidth="1"/>
    <col min="10801" max="10801" width="12.6640625" style="197" bestFit="1" customWidth="1"/>
    <col min="10802" max="10802" width="13.21875" style="197" bestFit="1" customWidth="1"/>
    <col min="10803" max="10803" width="13.109375" style="197" bestFit="1" customWidth="1"/>
    <col min="10804" max="11009" width="9.21875" style="197"/>
    <col min="11010" max="11010" width="0" style="197" hidden="1" customWidth="1"/>
    <col min="11011" max="11011" width="32.6640625" style="197" customWidth="1"/>
    <col min="11012" max="11012" width="0" style="197" hidden="1" customWidth="1"/>
    <col min="11013" max="11013" width="17.6640625" style="197" customWidth="1"/>
    <col min="11014" max="11014" width="15.6640625" style="197" bestFit="1" customWidth="1"/>
    <col min="11015" max="11015" width="15.21875" style="197" customWidth="1"/>
    <col min="11016" max="11016" width="15.33203125" style="197" bestFit="1" customWidth="1"/>
    <col min="11017" max="11017" width="14.109375" style="197" customWidth="1"/>
    <col min="11018" max="11018" width="13.88671875" style="197" bestFit="1" customWidth="1"/>
    <col min="11019" max="11019" width="15.21875" style="197" bestFit="1" customWidth="1"/>
    <col min="11020" max="11020" width="13" style="197" bestFit="1" customWidth="1"/>
    <col min="11021" max="11022" width="14.109375" style="197" customWidth="1"/>
    <col min="11023" max="11024" width="15.21875" style="197" bestFit="1" customWidth="1"/>
    <col min="11025" max="11025" width="14.21875" style="197" bestFit="1" customWidth="1"/>
    <col min="11026" max="11026" width="14.88671875" style="197" bestFit="1" customWidth="1"/>
    <col min="11027" max="11027" width="14.33203125" style="197" customWidth="1"/>
    <col min="11028" max="11028" width="17.21875" style="197" customWidth="1"/>
    <col min="11029" max="11029" width="4.77734375" style="197" customWidth="1"/>
    <col min="11030" max="11030" width="15.21875" style="197" customWidth="1"/>
    <col min="11031" max="11031" width="10.21875" style="197" customWidth="1"/>
    <col min="11032" max="11032" width="15.21875" style="197" customWidth="1"/>
    <col min="11033" max="11033" width="13" style="197" customWidth="1"/>
    <col min="11034" max="11034" width="13.88671875" style="197" customWidth="1"/>
    <col min="11035" max="11035" width="13" style="197" customWidth="1"/>
    <col min="11036" max="11036" width="13.88671875" style="197" customWidth="1"/>
    <col min="11037" max="11037" width="15.21875" style="197" customWidth="1"/>
    <col min="11038" max="11038" width="13" style="197" customWidth="1"/>
    <col min="11039" max="11039" width="14.109375" style="197" customWidth="1"/>
    <col min="11040" max="11040" width="17.77734375" style="197" customWidth="1"/>
    <col min="11041" max="11041" width="14.109375" style="197" customWidth="1"/>
    <col min="11042" max="11042" width="15.21875" style="197" customWidth="1"/>
    <col min="11043" max="11043" width="13.21875" style="197" customWidth="1"/>
    <col min="11044" max="11044" width="14.109375" style="197" customWidth="1"/>
    <col min="11045" max="11045" width="13" style="197" customWidth="1"/>
    <col min="11046" max="11046" width="9.77734375" style="197" customWidth="1"/>
    <col min="11047" max="11047" width="16.77734375" style="197" customWidth="1"/>
    <col min="11048" max="11048" width="11.109375" style="197" customWidth="1"/>
    <col min="11049" max="11049" width="16.77734375" style="197" customWidth="1"/>
    <col min="11050" max="11050" width="15.21875" style="197" customWidth="1"/>
    <col min="11051" max="11051" width="15.21875" style="197" bestFit="1" customWidth="1"/>
    <col min="11052" max="11052" width="12.88671875" style="197" customWidth="1"/>
    <col min="11053" max="11053" width="16.33203125" style="197" bestFit="1" customWidth="1"/>
    <col min="11054" max="11056" width="13.88671875" style="197" bestFit="1" customWidth="1"/>
    <col min="11057" max="11057" width="12.6640625" style="197" bestFit="1" customWidth="1"/>
    <col min="11058" max="11058" width="13.21875" style="197" bestFit="1" customWidth="1"/>
    <col min="11059" max="11059" width="13.109375" style="197" bestFit="1" customWidth="1"/>
    <col min="11060" max="11265" width="9.21875" style="197"/>
    <col min="11266" max="11266" width="0" style="197" hidden="1" customWidth="1"/>
    <col min="11267" max="11267" width="32.6640625" style="197" customWidth="1"/>
    <col min="11268" max="11268" width="0" style="197" hidden="1" customWidth="1"/>
    <col min="11269" max="11269" width="17.6640625" style="197" customWidth="1"/>
    <col min="11270" max="11270" width="15.6640625" style="197" bestFit="1" customWidth="1"/>
    <col min="11271" max="11271" width="15.21875" style="197" customWidth="1"/>
    <col min="11272" max="11272" width="15.33203125" style="197" bestFit="1" customWidth="1"/>
    <col min="11273" max="11273" width="14.109375" style="197" customWidth="1"/>
    <col min="11274" max="11274" width="13.88671875" style="197" bestFit="1" customWidth="1"/>
    <col min="11275" max="11275" width="15.21875" style="197" bestFit="1" customWidth="1"/>
    <col min="11276" max="11276" width="13" style="197" bestFit="1" customWidth="1"/>
    <col min="11277" max="11278" width="14.109375" style="197" customWidth="1"/>
    <col min="11279" max="11280" width="15.21875" style="197" bestFit="1" customWidth="1"/>
    <col min="11281" max="11281" width="14.21875" style="197" bestFit="1" customWidth="1"/>
    <col min="11282" max="11282" width="14.88671875" style="197" bestFit="1" customWidth="1"/>
    <col min="11283" max="11283" width="14.33203125" style="197" customWidth="1"/>
    <col min="11284" max="11284" width="17.21875" style="197" customWidth="1"/>
    <col min="11285" max="11285" width="4.77734375" style="197" customWidth="1"/>
    <col min="11286" max="11286" width="15.21875" style="197" customWidth="1"/>
    <col min="11287" max="11287" width="10.21875" style="197" customWidth="1"/>
    <col min="11288" max="11288" width="15.21875" style="197" customWidth="1"/>
    <col min="11289" max="11289" width="13" style="197" customWidth="1"/>
    <col min="11290" max="11290" width="13.88671875" style="197" customWidth="1"/>
    <col min="11291" max="11291" width="13" style="197" customWidth="1"/>
    <col min="11292" max="11292" width="13.88671875" style="197" customWidth="1"/>
    <col min="11293" max="11293" width="15.21875" style="197" customWidth="1"/>
    <col min="11294" max="11294" width="13" style="197" customWidth="1"/>
    <col min="11295" max="11295" width="14.109375" style="197" customWidth="1"/>
    <col min="11296" max="11296" width="17.77734375" style="197" customWidth="1"/>
    <col min="11297" max="11297" width="14.109375" style="197" customWidth="1"/>
    <col min="11298" max="11298" width="15.21875" style="197" customWidth="1"/>
    <col min="11299" max="11299" width="13.21875" style="197" customWidth="1"/>
    <col min="11300" max="11300" width="14.109375" style="197" customWidth="1"/>
    <col min="11301" max="11301" width="13" style="197" customWidth="1"/>
    <col min="11302" max="11302" width="9.77734375" style="197" customWidth="1"/>
    <col min="11303" max="11303" width="16.77734375" style="197" customWidth="1"/>
    <col min="11304" max="11304" width="11.109375" style="197" customWidth="1"/>
    <col min="11305" max="11305" width="16.77734375" style="197" customWidth="1"/>
    <col min="11306" max="11306" width="15.21875" style="197" customWidth="1"/>
    <col min="11307" max="11307" width="15.21875" style="197" bestFit="1" customWidth="1"/>
    <col min="11308" max="11308" width="12.88671875" style="197" customWidth="1"/>
    <col min="11309" max="11309" width="16.33203125" style="197" bestFit="1" customWidth="1"/>
    <col min="11310" max="11312" width="13.88671875" style="197" bestFit="1" customWidth="1"/>
    <col min="11313" max="11313" width="12.6640625" style="197" bestFit="1" customWidth="1"/>
    <col min="11314" max="11314" width="13.21875" style="197" bestFit="1" customWidth="1"/>
    <col min="11315" max="11315" width="13.109375" style="197" bestFit="1" customWidth="1"/>
    <col min="11316" max="11521" width="9.21875" style="197"/>
    <col min="11522" max="11522" width="0" style="197" hidden="1" customWidth="1"/>
    <col min="11523" max="11523" width="32.6640625" style="197" customWidth="1"/>
    <col min="11524" max="11524" width="0" style="197" hidden="1" customWidth="1"/>
    <col min="11525" max="11525" width="17.6640625" style="197" customWidth="1"/>
    <col min="11526" max="11526" width="15.6640625" style="197" bestFit="1" customWidth="1"/>
    <col min="11527" max="11527" width="15.21875" style="197" customWidth="1"/>
    <col min="11528" max="11528" width="15.33203125" style="197" bestFit="1" customWidth="1"/>
    <col min="11529" max="11529" width="14.109375" style="197" customWidth="1"/>
    <col min="11530" max="11530" width="13.88671875" style="197" bestFit="1" customWidth="1"/>
    <col min="11531" max="11531" width="15.21875" style="197" bestFit="1" customWidth="1"/>
    <col min="11532" max="11532" width="13" style="197" bestFit="1" customWidth="1"/>
    <col min="11533" max="11534" width="14.109375" style="197" customWidth="1"/>
    <col min="11535" max="11536" width="15.21875" style="197" bestFit="1" customWidth="1"/>
    <col min="11537" max="11537" width="14.21875" style="197" bestFit="1" customWidth="1"/>
    <col min="11538" max="11538" width="14.88671875" style="197" bestFit="1" customWidth="1"/>
    <col min="11539" max="11539" width="14.33203125" style="197" customWidth="1"/>
    <col min="11540" max="11540" width="17.21875" style="197" customWidth="1"/>
    <col min="11541" max="11541" width="4.77734375" style="197" customWidth="1"/>
    <col min="11542" max="11542" width="15.21875" style="197" customWidth="1"/>
    <col min="11543" max="11543" width="10.21875" style="197" customWidth="1"/>
    <col min="11544" max="11544" width="15.21875" style="197" customWidth="1"/>
    <col min="11545" max="11545" width="13" style="197" customWidth="1"/>
    <col min="11546" max="11546" width="13.88671875" style="197" customWidth="1"/>
    <col min="11547" max="11547" width="13" style="197" customWidth="1"/>
    <col min="11548" max="11548" width="13.88671875" style="197" customWidth="1"/>
    <col min="11549" max="11549" width="15.21875" style="197" customWidth="1"/>
    <col min="11550" max="11550" width="13" style="197" customWidth="1"/>
    <col min="11551" max="11551" width="14.109375" style="197" customWidth="1"/>
    <col min="11552" max="11552" width="17.77734375" style="197" customWidth="1"/>
    <col min="11553" max="11553" width="14.109375" style="197" customWidth="1"/>
    <col min="11554" max="11554" width="15.21875" style="197" customWidth="1"/>
    <col min="11555" max="11555" width="13.21875" style="197" customWidth="1"/>
    <col min="11556" max="11556" width="14.109375" style="197" customWidth="1"/>
    <col min="11557" max="11557" width="13" style="197" customWidth="1"/>
    <col min="11558" max="11558" width="9.77734375" style="197" customWidth="1"/>
    <col min="11559" max="11559" width="16.77734375" style="197" customWidth="1"/>
    <col min="11560" max="11560" width="11.109375" style="197" customWidth="1"/>
    <col min="11561" max="11561" width="16.77734375" style="197" customWidth="1"/>
    <col min="11562" max="11562" width="15.21875" style="197" customWidth="1"/>
    <col min="11563" max="11563" width="15.21875" style="197" bestFit="1" customWidth="1"/>
    <col min="11564" max="11564" width="12.88671875" style="197" customWidth="1"/>
    <col min="11565" max="11565" width="16.33203125" style="197" bestFit="1" customWidth="1"/>
    <col min="11566" max="11568" width="13.88671875" style="197" bestFit="1" customWidth="1"/>
    <col min="11569" max="11569" width="12.6640625" style="197" bestFit="1" customWidth="1"/>
    <col min="11570" max="11570" width="13.21875" style="197" bestFit="1" customWidth="1"/>
    <col min="11571" max="11571" width="13.109375" style="197" bestFit="1" customWidth="1"/>
    <col min="11572" max="11777" width="9.21875" style="197"/>
    <col min="11778" max="11778" width="0" style="197" hidden="1" customWidth="1"/>
    <col min="11779" max="11779" width="32.6640625" style="197" customWidth="1"/>
    <col min="11780" max="11780" width="0" style="197" hidden="1" customWidth="1"/>
    <col min="11781" max="11781" width="17.6640625" style="197" customWidth="1"/>
    <col min="11782" max="11782" width="15.6640625" style="197" bestFit="1" customWidth="1"/>
    <col min="11783" max="11783" width="15.21875" style="197" customWidth="1"/>
    <col min="11784" max="11784" width="15.33203125" style="197" bestFit="1" customWidth="1"/>
    <col min="11785" max="11785" width="14.109375" style="197" customWidth="1"/>
    <col min="11786" max="11786" width="13.88671875" style="197" bestFit="1" customWidth="1"/>
    <col min="11787" max="11787" width="15.21875" style="197" bestFit="1" customWidth="1"/>
    <col min="11788" max="11788" width="13" style="197" bestFit="1" customWidth="1"/>
    <col min="11789" max="11790" width="14.109375" style="197" customWidth="1"/>
    <col min="11791" max="11792" width="15.21875" style="197" bestFit="1" customWidth="1"/>
    <col min="11793" max="11793" width="14.21875" style="197" bestFit="1" customWidth="1"/>
    <col min="11794" max="11794" width="14.88671875" style="197" bestFit="1" customWidth="1"/>
    <col min="11795" max="11795" width="14.33203125" style="197" customWidth="1"/>
    <col min="11796" max="11796" width="17.21875" style="197" customWidth="1"/>
    <col min="11797" max="11797" width="4.77734375" style="197" customWidth="1"/>
    <col min="11798" max="11798" width="15.21875" style="197" customWidth="1"/>
    <col min="11799" max="11799" width="10.21875" style="197" customWidth="1"/>
    <col min="11800" max="11800" width="15.21875" style="197" customWidth="1"/>
    <col min="11801" max="11801" width="13" style="197" customWidth="1"/>
    <col min="11802" max="11802" width="13.88671875" style="197" customWidth="1"/>
    <col min="11803" max="11803" width="13" style="197" customWidth="1"/>
    <col min="11804" max="11804" width="13.88671875" style="197" customWidth="1"/>
    <col min="11805" max="11805" width="15.21875" style="197" customWidth="1"/>
    <col min="11806" max="11806" width="13" style="197" customWidth="1"/>
    <col min="11807" max="11807" width="14.109375" style="197" customWidth="1"/>
    <col min="11808" max="11808" width="17.77734375" style="197" customWidth="1"/>
    <col min="11809" max="11809" width="14.109375" style="197" customWidth="1"/>
    <col min="11810" max="11810" width="15.21875" style="197" customWidth="1"/>
    <col min="11811" max="11811" width="13.21875" style="197" customWidth="1"/>
    <col min="11812" max="11812" width="14.109375" style="197" customWidth="1"/>
    <col min="11813" max="11813" width="13" style="197" customWidth="1"/>
    <col min="11814" max="11814" width="9.77734375" style="197" customWidth="1"/>
    <col min="11815" max="11815" width="16.77734375" style="197" customWidth="1"/>
    <col min="11816" max="11816" width="11.109375" style="197" customWidth="1"/>
    <col min="11817" max="11817" width="16.77734375" style="197" customWidth="1"/>
    <col min="11818" max="11818" width="15.21875" style="197" customWidth="1"/>
    <col min="11819" max="11819" width="15.21875" style="197" bestFit="1" customWidth="1"/>
    <col min="11820" max="11820" width="12.88671875" style="197" customWidth="1"/>
    <col min="11821" max="11821" width="16.33203125" style="197" bestFit="1" customWidth="1"/>
    <col min="11822" max="11824" width="13.88671875" style="197" bestFit="1" customWidth="1"/>
    <col min="11825" max="11825" width="12.6640625" style="197" bestFit="1" customWidth="1"/>
    <col min="11826" max="11826" width="13.21875" style="197" bestFit="1" customWidth="1"/>
    <col min="11827" max="11827" width="13.109375" style="197" bestFit="1" customWidth="1"/>
    <col min="11828" max="12033" width="9.21875" style="197"/>
    <col min="12034" max="12034" width="0" style="197" hidden="1" customWidth="1"/>
    <col min="12035" max="12035" width="32.6640625" style="197" customWidth="1"/>
    <col min="12036" max="12036" width="0" style="197" hidden="1" customWidth="1"/>
    <col min="12037" max="12037" width="17.6640625" style="197" customWidth="1"/>
    <col min="12038" max="12038" width="15.6640625" style="197" bestFit="1" customWidth="1"/>
    <col min="12039" max="12039" width="15.21875" style="197" customWidth="1"/>
    <col min="12040" max="12040" width="15.33203125" style="197" bestFit="1" customWidth="1"/>
    <col min="12041" max="12041" width="14.109375" style="197" customWidth="1"/>
    <col min="12042" max="12042" width="13.88671875" style="197" bestFit="1" customWidth="1"/>
    <col min="12043" max="12043" width="15.21875" style="197" bestFit="1" customWidth="1"/>
    <col min="12044" max="12044" width="13" style="197" bestFit="1" customWidth="1"/>
    <col min="12045" max="12046" width="14.109375" style="197" customWidth="1"/>
    <col min="12047" max="12048" width="15.21875" style="197" bestFit="1" customWidth="1"/>
    <col min="12049" max="12049" width="14.21875" style="197" bestFit="1" customWidth="1"/>
    <col min="12050" max="12050" width="14.88671875" style="197" bestFit="1" customWidth="1"/>
    <col min="12051" max="12051" width="14.33203125" style="197" customWidth="1"/>
    <col min="12052" max="12052" width="17.21875" style="197" customWidth="1"/>
    <col min="12053" max="12053" width="4.77734375" style="197" customWidth="1"/>
    <col min="12054" max="12054" width="15.21875" style="197" customWidth="1"/>
    <col min="12055" max="12055" width="10.21875" style="197" customWidth="1"/>
    <col min="12056" max="12056" width="15.21875" style="197" customWidth="1"/>
    <col min="12057" max="12057" width="13" style="197" customWidth="1"/>
    <col min="12058" max="12058" width="13.88671875" style="197" customWidth="1"/>
    <col min="12059" max="12059" width="13" style="197" customWidth="1"/>
    <col min="12060" max="12060" width="13.88671875" style="197" customWidth="1"/>
    <col min="12061" max="12061" width="15.21875" style="197" customWidth="1"/>
    <col min="12062" max="12062" width="13" style="197" customWidth="1"/>
    <col min="12063" max="12063" width="14.109375" style="197" customWidth="1"/>
    <col min="12064" max="12064" width="17.77734375" style="197" customWidth="1"/>
    <col min="12065" max="12065" width="14.109375" style="197" customWidth="1"/>
    <col min="12066" max="12066" width="15.21875" style="197" customWidth="1"/>
    <col min="12067" max="12067" width="13.21875" style="197" customWidth="1"/>
    <col min="12068" max="12068" width="14.109375" style="197" customWidth="1"/>
    <col min="12069" max="12069" width="13" style="197" customWidth="1"/>
    <col min="12070" max="12070" width="9.77734375" style="197" customWidth="1"/>
    <col min="12071" max="12071" width="16.77734375" style="197" customWidth="1"/>
    <col min="12072" max="12072" width="11.109375" style="197" customWidth="1"/>
    <col min="12073" max="12073" width="16.77734375" style="197" customWidth="1"/>
    <col min="12074" max="12074" width="15.21875" style="197" customWidth="1"/>
    <col min="12075" max="12075" width="15.21875" style="197" bestFit="1" customWidth="1"/>
    <col min="12076" max="12076" width="12.88671875" style="197" customWidth="1"/>
    <col min="12077" max="12077" width="16.33203125" style="197" bestFit="1" customWidth="1"/>
    <col min="12078" max="12080" width="13.88671875" style="197" bestFit="1" customWidth="1"/>
    <col min="12081" max="12081" width="12.6640625" style="197" bestFit="1" customWidth="1"/>
    <col min="12082" max="12082" width="13.21875" style="197" bestFit="1" customWidth="1"/>
    <col min="12083" max="12083" width="13.109375" style="197" bestFit="1" customWidth="1"/>
    <col min="12084" max="12289" width="9.21875" style="197"/>
    <col min="12290" max="12290" width="0" style="197" hidden="1" customWidth="1"/>
    <col min="12291" max="12291" width="32.6640625" style="197" customWidth="1"/>
    <col min="12292" max="12292" width="0" style="197" hidden="1" customWidth="1"/>
    <col min="12293" max="12293" width="17.6640625" style="197" customWidth="1"/>
    <col min="12294" max="12294" width="15.6640625" style="197" bestFit="1" customWidth="1"/>
    <col min="12295" max="12295" width="15.21875" style="197" customWidth="1"/>
    <col min="12296" max="12296" width="15.33203125" style="197" bestFit="1" customWidth="1"/>
    <col min="12297" max="12297" width="14.109375" style="197" customWidth="1"/>
    <col min="12298" max="12298" width="13.88671875" style="197" bestFit="1" customWidth="1"/>
    <col min="12299" max="12299" width="15.21875" style="197" bestFit="1" customWidth="1"/>
    <col min="12300" max="12300" width="13" style="197" bestFit="1" customWidth="1"/>
    <col min="12301" max="12302" width="14.109375" style="197" customWidth="1"/>
    <col min="12303" max="12304" width="15.21875" style="197" bestFit="1" customWidth="1"/>
    <col min="12305" max="12305" width="14.21875" style="197" bestFit="1" customWidth="1"/>
    <col min="12306" max="12306" width="14.88671875" style="197" bestFit="1" customWidth="1"/>
    <col min="12307" max="12307" width="14.33203125" style="197" customWidth="1"/>
    <col min="12308" max="12308" width="17.21875" style="197" customWidth="1"/>
    <col min="12309" max="12309" width="4.77734375" style="197" customWidth="1"/>
    <col min="12310" max="12310" width="15.21875" style="197" customWidth="1"/>
    <col min="12311" max="12311" width="10.21875" style="197" customWidth="1"/>
    <col min="12312" max="12312" width="15.21875" style="197" customWidth="1"/>
    <col min="12313" max="12313" width="13" style="197" customWidth="1"/>
    <col min="12314" max="12314" width="13.88671875" style="197" customWidth="1"/>
    <col min="12315" max="12315" width="13" style="197" customWidth="1"/>
    <col min="12316" max="12316" width="13.88671875" style="197" customWidth="1"/>
    <col min="12317" max="12317" width="15.21875" style="197" customWidth="1"/>
    <col min="12318" max="12318" width="13" style="197" customWidth="1"/>
    <col min="12319" max="12319" width="14.109375" style="197" customWidth="1"/>
    <col min="12320" max="12320" width="17.77734375" style="197" customWidth="1"/>
    <col min="12321" max="12321" width="14.109375" style="197" customWidth="1"/>
    <col min="12322" max="12322" width="15.21875" style="197" customWidth="1"/>
    <col min="12323" max="12323" width="13.21875" style="197" customWidth="1"/>
    <col min="12324" max="12324" width="14.109375" style="197" customWidth="1"/>
    <col min="12325" max="12325" width="13" style="197" customWidth="1"/>
    <col min="12326" max="12326" width="9.77734375" style="197" customWidth="1"/>
    <col min="12327" max="12327" width="16.77734375" style="197" customWidth="1"/>
    <col min="12328" max="12328" width="11.109375" style="197" customWidth="1"/>
    <col min="12329" max="12329" width="16.77734375" style="197" customWidth="1"/>
    <col min="12330" max="12330" width="15.21875" style="197" customWidth="1"/>
    <col min="12331" max="12331" width="15.21875" style="197" bestFit="1" customWidth="1"/>
    <col min="12332" max="12332" width="12.88671875" style="197" customWidth="1"/>
    <col min="12333" max="12333" width="16.33203125" style="197" bestFit="1" customWidth="1"/>
    <col min="12334" max="12336" width="13.88671875" style="197" bestFit="1" customWidth="1"/>
    <col min="12337" max="12337" width="12.6640625" style="197" bestFit="1" customWidth="1"/>
    <col min="12338" max="12338" width="13.21875" style="197" bestFit="1" customWidth="1"/>
    <col min="12339" max="12339" width="13.109375" style="197" bestFit="1" customWidth="1"/>
    <col min="12340" max="12545" width="9.21875" style="197"/>
    <col min="12546" max="12546" width="0" style="197" hidden="1" customWidth="1"/>
    <col min="12547" max="12547" width="32.6640625" style="197" customWidth="1"/>
    <col min="12548" max="12548" width="0" style="197" hidden="1" customWidth="1"/>
    <col min="12549" max="12549" width="17.6640625" style="197" customWidth="1"/>
    <col min="12550" max="12550" width="15.6640625" style="197" bestFit="1" customWidth="1"/>
    <col min="12551" max="12551" width="15.21875" style="197" customWidth="1"/>
    <col min="12552" max="12552" width="15.33203125" style="197" bestFit="1" customWidth="1"/>
    <col min="12553" max="12553" width="14.109375" style="197" customWidth="1"/>
    <col min="12554" max="12554" width="13.88671875" style="197" bestFit="1" customWidth="1"/>
    <col min="12555" max="12555" width="15.21875" style="197" bestFit="1" customWidth="1"/>
    <col min="12556" max="12556" width="13" style="197" bestFit="1" customWidth="1"/>
    <col min="12557" max="12558" width="14.109375" style="197" customWidth="1"/>
    <col min="12559" max="12560" width="15.21875" style="197" bestFit="1" customWidth="1"/>
    <col min="12561" max="12561" width="14.21875" style="197" bestFit="1" customWidth="1"/>
    <col min="12562" max="12562" width="14.88671875" style="197" bestFit="1" customWidth="1"/>
    <col min="12563" max="12563" width="14.33203125" style="197" customWidth="1"/>
    <col min="12564" max="12564" width="17.21875" style="197" customWidth="1"/>
    <col min="12565" max="12565" width="4.77734375" style="197" customWidth="1"/>
    <col min="12566" max="12566" width="15.21875" style="197" customWidth="1"/>
    <col min="12567" max="12567" width="10.21875" style="197" customWidth="1"/>
    <col min="12568" max="12568" width="15.21875" style="197" customWidth="1"/>
    <col min="12569" max="12569" width="13" style="197" customWidth="1"/>
    <col min="12570" max="12570" width="13.88671875" style="197" customWidth="1"/>
    <col min="12571" max="12571" width="13" style="197" customWidth="1"/>
    <col min="12572" max="12572" width="13.88671875" style="197" customWidth="1"/>
    <col min="12573" max="12573" width="15.21875" style="197" customWidth="1"/>
    <col min="12574" max="12574" width="13" style="197" customWidth="1"/>
    <col min="12575" max="12575" width="14.109375" style="197" customWidth="1"/>
    <col min="12576" max="12576" width="17.77734375" style="197" customWidth="1"/>
    <col min="12577" max="12577" width="14.109375" style="197" customWidth="1"/>
    <col min="12578" max="12578" width="15.21875" style="197" customWidth="1"/>
    <col min="12579" max="12579" width="13.21875" style="197" customWidth="1"/>
    <col min="12580" max="12580" width="14.109375" style="197" customWidth="1"/>
    <col min="12581" max="12581" width="13" style="197" customWidth="1"/>
    <col min="12582" max="12582" width="9.77734375" style="197" customWidth="1"/>
    <col min="12583" max="12583" width="16.77734375" style="197" customWidth="1"/>
    <col min="12584" max="12584" width="11.109375" style="197" customWidth="1"/>
    <col min="12585" max="12585" width="16.77734375" style="197" customWidth="1"/>
    <col min="12586" max="12586" width="15.21875" style="197" customWidth="1"/>
    <col min="12587" max="12587" width="15.21875" style="197" bestFit="1" customWidth="1"/>
    <col min="12588" max="12588" width="12.88671875" style="197" customWidth="1"/>
    <col min="12589" max="12589" width="16.33203125" style="197" bestFit="1" customWidth="1"/>
    <col min="12590" max="12592" width="13.88671875" style="197" bestFit="1" customWidth="1"/>
    <col min="12593" max="12593" width="12.6640625" style="197" bestFit="1" customWidth="1"/>
    <col min="12594" max="12594" width="13.21875" style="197" bestFit="1" customWidth="1"/>
    <col min="12595" max="12595" width="13.109375" style="197" bestFit="1" customWidth="1"/>
    <col min="12596" max="12801" width="9.21875" style="197"/>
    <col min="12802" max="12802" width="0" style="197" hidden="1" customWidth="1"/>
    <col min="12803" max="12803" width="32.6640625" style="197" customWidth="1"/>
    <col min="12804" max="12804" width="0" style="197" hidden="1" customWidth="1"/>
    <col min="12805" max="12805" width="17.6640625" style="197" customWidth="1"/>
    <col min="12806" max="12806" width="15.6640625" style="197" bestFit="1" customWidth="1"/>
    <col min="12807" max="12807" width="15.21875" style="197" customWidth="1"/>
    <col min="12808" max="12808" width="15.33203125" style="197" bestFit="1" customWidth="1"/>
    <col min="12809" max="12809" width="14.109375" style="197" customWidth="1"/>
    <col min="12810" max="12810" width="13.88671875" style="197" bestFit="1" customWidth="1"/>
    <col min="12811" max="12811" width="15.21875" style="197" bestFit="1" customWidth="1"/>
    <col min="12812" max="12812" width="13" style="197" bestFit="1" customWidth="1"/>
    <col min="12813" max="12814" width="14.109375" style="197" customWidth="1"/>
    <col min="12815" max="12816" width="15.21875" style="197" bestFit="1" customWidth="1"/>
    <col min="12817" max="12817" width="14.21875" style="197" bestFit="1" customWidth="1"/>
    <col min="12818" max="12818" width="14.88671875" style="197" bestFit="1" customWidth="1"/>
    <col min="12819" max="12819" width="14.33203125" style="197" customWidth="1"/>
    <col min="12820" max="12820" width="17.21875" style="197" customWidth="1"/>
    <col min="12821" max="12821" width="4.77734375" style="197" customWidth="1"/>
    <col min="12822" max="12822" width="15.21875" style="197" customWidth="1"/>
    <col min="12823" max="12823" width="10.21875" style="197" customWidth="1"/>
    <col min="12824" max="12824" width="15.21875" style="197" customWidth="1"/>
    <col min="12825" max="12825" width="13" style="197" customWidth="1"/>
    <col min="12826" max="12826" width="13.88671875" style="197" customWidth="1"/>
    <col min="12827" max="12827" width="13" style="197" customWidth="1"/>
    <col min="12828" max="12828" width="13.88671875" style="197" customWidth="1"/>
    <col min="12829" max="12829" width="15.21875" style="197" customWidth="1"/>
    <col min="12830" max="12830" width="13" style="197" customWidth="1"/>
    <col min="12831" max="12831" width="14.109375" style="197" customWidth="1"/>
    <col min="12832" max="12832" width="17.77734375" style="197" customWidth="1"/>
    <col min="12833" max="12833" width="14.109375" style="197" customWidth="1"/>
    <col min="12834" max="12834" width="15.21875" style="197" customWidth="1"/>
    <col min="12835" max="12835" width="13.21875" style="197" customWidth="1"/>
    <col min="12836" max="12836" width="14.109375" style="197" customWidth="1"/>
    <col min="12837" max="12837" width="13" style="197" customWidth="1"/>
    <col min="12838" max="12838" width="9.77734375" style="197" customWidth="1"/>
    <col min="12839" max="12839" width="16.77734375" style="197" customWidth="1"/>
    <col min="12840" max="12840" width="11.109375" style="197" customWidth="1"/>
    <col min="12841" max="12841" width="16.77734375" style="197" customWidth="1"/>
    <col min="12842" max="12842" width="15.21875" style="197" customWidth="1"/>
    <col min="12843" max="12843" width="15.21875" style="197" bestFit="1" customWidth="1"/>
    <col min="12844" max="12844" width="12.88671875" style="197" customWidth="1"/>
    <col min="12845" max="12845" width="16.33203125" style="197" bestFit="1" customWidth="1"/>
    <col min="12846" max="12848" width="13.88671875" style="197" bestFit="1" customWidth="1"/>
    <col min="12849" max="12849" width="12.6640625" style="197" bestFit="1" customWidth="1"/>
    <col min="12850" max="12850" width="13.21875" style="197" bestFit="1" customWidth="1"/>
    <col min="12851" max="12851" width="13.109375" style="197" bestFit="1" customWidth="1"/>
    <col min="12852" max="13057" width="9.21875" style="197"/>
    <col min="13058" max="13058" width="0" style="197" hidden="1" customWidth="1"/>
    <col min="13059" max="13059" width="32.6640625" style="197" customWidth="1"/>
    <col min="13060" max="13060" width="0" style="197" hidden="1" customWidth="1"/>
    <col min="13061" max="13061" width="17.6640625" style="197" customWidth="1"/>
    <col min="13062" max="13062" width="15.6640625" style="197" bestFit="1" customWidth="1"/>
    <col min="13063" max="13063" width="15.21875" style="197" customWidth="1"/>
    <col min="13064" max="13064" width="15.33203125" style="197" bestFit="1" customWidth="1"/>
    <col min="13065" max="13065" width="14.109375" style="197" customWidth="1"/>
    <col min="13066" max="13066" width="13.88671875" style="197" bestFit="1" customWidth="1"/>
    <col min="13067" max="13067" width="15.21875" style="197" bestFit="1" customWidth="1"/>
    <col min="13068" max="13068" width="13" style="197" bestFit="1" customWidth="1"/>
    <col min="13069" max="13070" width="14.109375" style="197" customWidth="1"/>
    <col min="13071" max="13072" width="15.21875" style="197" bestFit="1" customWidth="1"/>
    <col min="13073" max="13073" width="14.21875" style="197" bestFit="1" customWidth="1"/>
    <col min="13074" max="13074" width="14.88671875" style="197" bestFit="1" customWidth="1"/>
    <col min="13075" max="13075" width="14.33203125" style="197" customWidth="1"/>
    <col min="13076" max="13076" width="17.21875" style="197" customWidth="1"/>
    <col min="13077" max="13077" width="4.77734375" style="197" customWidth="1"/>
    <col min="13078" max="13078" width="15.21875" style="197" customWidth="1"/>
    <col min="13079" max="13079" width="10.21875" style="197" customWidth="1"/>
    <col min="13080" max="13080" width="15.21875" style="197" customWidth="1"/>
    <col min="13081" max="13081" width="13" style="197" customWidth="1"/>
    <col min="13082" max="13082" width="13.88671875" style="197" customWidth="1"/>
    <col min="13083" max="13083" width="13" style="197" customWidth="1"/>
    <col min="13084" max="13084" width="13.88671875" style="197" customWidth="1"/>
    <col min="13085" max="13085" width="15.21875" style="197" customWidth="1"/>
    <col min="13086" max="13086" width="13" style="197" customWidth="1"/>
    <col min="13087" max="13087" width="14.109375" style="197" customWidth="1"/>
    <col min="13088" max="13088" width="17.77734375" style="197" customWidth="1"/>
    <col min="13089" max="13089" width="14.109375" style="197" customWidth="1"/>
    <col min="13090" max="13090" width="15.21875" style="197" customWidth="1"/>
    <col min="13091" max="13091" width="13.21875" style="197" customWidth="1"/>
    <col min="13092" max="13092" width="14.109375" style="197" customWidth="1"/>
    <col min="13093" max="13093" width="13" style="197" customWidth="1"/>
    <col min="13094" max="13094" width="9.77734375" style="197" customWidth="1"/>
    <col min="13095" max="13095" width="16.77734375" style="197" customWidth="1"/>
    <col min="13096" max="13096" width="11.109375" style="197" customWidth="1"/>
    <col min="13097" max="13097" width="16.77734375" style="197" customWidth="1"/>
    <col min="13098" max="13098" width="15.21875" style="197" customWidth="1"/>
    <col min="13099" max="13099" width="15.21875" style="197" bestFit="1" customWidth="1"/>
    <col min="13100" max="13100" width="12.88671875" style="197" customWidth="1"/>
    <col min="13101" max="13101" width="16.33203125" style="197" bestFit="1" customWidth="1"/>
    <col min="13102" max="13104" width="13.88671875" style="197" bestFit="1" customWidth="1"/>
    <col min="13105" max="13105" width="12.6640625" style="197" bestFit="1" customWidth="1"/>
    <col min="13106" max="13106" width="13.21875" style="197" bestFit="1" customWidth="1"/>
    <col min="13107" max="13107" width="13.109375" style="197" bestFit="1" customWidth="1"/>
    <col min="13108" max="13313" width="9.21875" style="197"/>
    <col min="13314" max="13314" width="0" style="197" hidden="1" customWidth="1"/>
    <col min="13315" max="13315" width="32.6640625" style="197" customWidth="1"/>
    <col min="13316" max="13316" width="0" style="197" hidden="1" customWidth="1"/>
    <col min="13317" max="13317" width="17.6640625" style="197" customWidth="1"/>
    <col min="13318" max="13318" width="15.6640625" style="197" bestFit="1" customWidth="1"/>
    <col min="13319" max="13319" width="15.21875" style="197" customWidth="1"/>
    <col min="13320" max="13320" width="15.33203125" style="197" bestFit="1" customWidth="1"/>
    <col min="13321" max="13321" width="14.109375" style="197" customWidth="1"/>
    <col min="13322" max="13322" width="13.88671875" style="197" bestFit="1" customWidth="1"/>
    <col min="13323" max="13323" width="15.21875" style="197" bestFit="1" customWidth="1"/>
    <col min="13324" max="13324" width="13" style="197" bestFit="1" customWidth="1"/>
    <col min="13325" max="13326" width="14.109375" style="197" customWidth="1"/>
    <col min="13327" max="13328" width="15.21875" style="197" bestFit="1" customWidth="1"/>
    <col min="13329" max="13329" width="14.21875" style="197" bestFit="1" customWidth="1"/>
    <col min="13330" max="13330" width="14.88671875" style="197" bestFit="1" customWidth="1"/>
    <col min="13331" max="13331" width="14.33203125" style="197" customWidth="1"/>
    <col min="13332" max="13332" width="17.21875" style="197" customWidth="1"/>
    <col min="13333" max="13333" width="4.77734375" style="197" customWidth="1"/>
    <col min="13334" max="13334" width="15.21875" style="197" customWidth="1"/>
    <col min="13335" max="13335" width="10.21875" style="197" customWidth="1"/>
    <col min="13336" max="13336" width="15.21875" style="197" customWidth="1"/>
    <col min="13337" max="13337" width="13" style="197" customWidth="1"/>
    <col min="13338" max="13338" width="13.88671875" style="197" customWidth="1"/>
    <col min="13339" max="13339" width="13" style="197" customWidth="1"/>
    <col min="13340" max="13340" width="13.88671875" style="197" customWidth="1"/>
    <col min="13341" max="13341" width="15.21875" style="197" customWidth="1"/>
    <col min="13342" max="13342" width="13" style="197" customWidth="1"/>
    <col min="13343" max="13343" width="14.109375" style="197" customWidth="1"/>
    <col min="13344" max="13344" width="17.77734375" style="197" customWidth="1"/>
    <col min="13345" max="13345" width="14.109375" style="197" customWidth="1"/>
    <col min="13346" max="13346" width="15.21875" style="197" customWidth="1"/>
    <col min="13347" max="13347" width="13.21875" style="197" customWidth="1"/>
    <col min="13348" max="13348" width="14.109375" style="197" customWidth="1"/>
    <col min="13349" max="13349" width="13" style="197" customWidth="1"/>
    <col min="13350" max="13350" width="9.77734375" style="197" customWidth="1"/>
    <col min="13351" max="13351" width="16.77734375" style="197" customWidth="1"/>
    <col min="13352" max="13352" width="11.109375" style="197" customWidth="1"/>
    <col min="13353" max="13353" width="16.77734375" style="197" customWidth="1"/>
    <col min="13354" max="13354" width="15.21875" style="197" customWidth="1"/>
    <col min="13355" max="13355" width="15.21875" style="197" bestFit="1" customWidth="1"/>
    <col min="13356" max="13356" width="12.88671875" style="197" customWidth="1"/>
    <col min="13357" max="13357" width="16.33203125" style="197" bestFit="1" customWidth="1"/>
    <col min="13358" max="13360" width="13.88671875" style="197" bestFit="1" customWidth="1"/>
    <col min="13361" max="13361" width="12.6640625" style="197" bestFit="1" customWidth="1"/>
    <col min="13362" max="13362" width="13.21875" style="197" bestFit="1" customWidth="1"/>
    <col min="13363" max="13363" width="13.109375" style="197" bestFit="1" customWidth="1"/>
    <col min="13364" max="13569" width="9.21875" style="197"/>
    <col min="13570" max="13570" width="0" style="197" hidden="1" customWidth="1"/>
    <col min="13571" max="13571" width="32.6640625" style="197" customWidth="1"/>
    <col min="13572" max="13572" width="0" style="197" hidden="1" customWidth="1"/>
    <col min="13573" max="13573" width="17.6640625" style="197" customWidth="1"/>
    <col min="13574" max="13574" width="15.6640625" style="197" bestFit="1" customWidth="1"/>
    <col min="13575" max="13575" width="15.21875" style="197" customWidth="1"/>
    <col min="13576" max="13576" width="15.33203125" style="197" bestFit="1" customWidth="1"/>
    <col min="13577" max="13577" width="14.109375" style="197" customWidth="1"/>
    <col min="13578" max="13578" width="13.88671875" style="197" bestFit="1" customWidth="1"/>
    <col min="13579" max="13579" width="15.21875" style="197" bestFit="1" customWidth="1"/>
    <col min="13580" max="13580" width="13" style="197" bestFit="1" customWidth="1"/>
    <col min="13581" max="13582" width="14.109375" style="197" customWidth="1"/>
    <col min="13583" max="13584" width="15.21875" style="197" bestFit="1" customWidth="1"/>
    <col min="13585" max="13585" width="14.21875" style="197" bestFit="1" customWidth="1"/>
    <col min="13586" max="13586" width="14.88671875" style="197" bestFit="1" customWidth="1"/>
    <col min="13587" max="13587" width="14.33203125" style="197" customWidth="1"/>
    <col min="13588" max="13588" width="17.21875" style="197" customWidth="1"/>
    <col min="13589" max="13589" width="4.77734375" style="197" customWidth="1"/>
    <col min="13590" max="13590" width="15.21875" style="197" customWidth="1"/>
    <col min="13591" max="13591" width="10.21875" style="197" customWidth="1"/>
    <col min="13592" max="13592" width="15.21875" style="197" customWidth="1"/>
    <col min="13593" max="13593" width="13" style="197" customWidth="1"/>
    <col min="13594" max="13594" width="13.88671875" style="197" customWidth="1"/>
    <col min="13595" max="13595" width="13" style="197" customWidth="1"/>
    <col min="13596" max="13596" width="13.88671875" style="197" customWidth="1"/>
    <col min="13597" max="13597" width="15.21875" style="197" customWidth="1"/>
    <col min="13598" max="13598" width="13" style="197" customWidth="1"/>
    <col min="13599" max="13599" width="14.109375" style="197" customWidth="1"/>
    <col min="13600" max="13600" width="17.77734375" style="197" customWidth="1"/>
    <col min="13601" max="13601" width="14.109375" style="197" customWidth="1"/>
    <col min="13602" max="13602" width="15.21875" style="197" customWidth="1"/>
    <col min="13603" max="13603" width="13.21875" style="197" customWidth="1"/>
    <col min="13604" max="13604" width="14.109375" style="197" customWidth="1"/>
    <col min="13605" max="13605" width="13" style="197" customWidth="1"/>
    <col min="13606" max="13606" width="9.77734375" style="197" customWidth="1"/>
    <col min="13607" max="13607" width="16.77734375" style="197" customWidth="1"/>
    <col min="13608" max="13608" width="11.109375" style="197" customWidth="1"/>
    <col min="13609" max="13609" width="16.77734375" style="197" customWidth="1"/>
    <col min="13610" max="13610" width="15.21875" style="197" customWidth="1"/>
    <col min="13611" max="13611" width="15.21875" style="197" bestFit="1" customWidth="1"/>
    <col min="13612" max="13612" width="12.88671875" style="197" customWidth="1"/>
    <col min="13613" max="13613" width="16.33203125" style="197" bestFit="1" customWidth="1"/>
    <col min="13614" max="13616" width="13.88671875" style="197" bestFit="1" customWidth="1"/>
    <col min="13617" max="13617" width="12.6640625" style="197" bestFit="1" customWidth="1"/>
    <col min="13618" max="13618" width="13.21875" style="197" bestFit="1" customWidth="1"/>
    <col min="13619" max="13619" width="13.109375" style="197" bestFit="1" customWidth="1"/>
    <col min="13620" max="13825" width="9.21875" style="197"/>
    <col min="13826" max="13826" width="0" style="197" hidden="1" customWidth="1"/>
    <col min="13827" max="13827" width="32.6640625" style="197" customWidth="1"/>
    <col min="13828" max="13828" width="0" style="197" hidden="1" customWidth="1"/>
    <col min="13829" max="13829" width="17.6640625" style="197" customWidth="1"/>
    <col min="13830" max="13830" width="15.6640625" style="197" bestFit="1" customWidth="1"/>
    <col min="13831" max="13831" width="15.21875" style="197" customWidth="1"/>
    <col min="13832" max="13832" width="15.33203125" style="197" bestFit="1" customWidth="1"/>
    <col min="13833" max="13833" width="14.109375" style="197" customWidth="1"/>
    <col min="13834" max="13834" width="13.88671875" style="197" bestFit="1" customWidth="1"/>
    <col min="13835" max="13835" width="15.21875" style="197" bestFit="1" customWidth="1"/>
    <col min="13836" max="13836" width="13" style="197" bestFit="1" customWidth="1"/>
    <col min="13837" max="13838" width="14.109375" style="197" customWidth="1"/>
    <col min="13839" max="13840" width="15.21875" style="197" bestFit="1" customWidth="1"/>
    <col min="13841" max="13841" width="14.21875" style="197" bestFit="1" customWidth="1"/>
    <col min="13842" max="13842" width="14.88671875" style="197" bestFit="1" customWidth="1"/>
    <col min="13843" max="13843" width="14.33203125" style="197" customWidth="1"/>
    <col min="13844" max="13844" width="17.21875" style="197" customWidth="1"/>
    <col min="13845" max="13845" width="4.77734375" style="197" customWidth="1"/>
    <col min="13846" max="13846" width="15.21875" style="197" customWidth="1"/>
    <col min="13847" max="13847" width="10.21875" style="197" customWidth="1"/>
    <col min="13848" max="13848" width="15.21875" style="197" customWidth="1"/>
    <col min="13849" max="13849" width="13" style="197" customWidth="1"/>
    <col min="13850" max="13850" width="13.88671875" style="197" customWidth="1"/>
    <col min="13851" max="13851" width="13" style="197" customWidth="1"/>
    <col min="13852" max="13852" width="13.88671875" style="197" customWidth="1"/>
    <col min="13853" max="13853" width="15.21875" style="197" customWidth="1"/>
    <col min="13854" max="13854" width="13" style="197" customWidth="1"/>
    <col min="13855" max="13855" width="14.109375" style="197" customWidth="1"/>
    <col min="13856" max="13856" width="17.77734375" style="197" customWidth="1"/>
    <col min="13857" max="13857" width="14.109375" style="197" customWidth="1"/>
    <col min="13858" max="13858" width="15.21875" style="197" customWidth="1"/>
    <col min="13859" max="13859" width="13.21875" style="197" customWidth="1"/>
    <col min="13860" max="13860" width="14.109375" style="197" customWidth="1"/>
    <col min="13861" max="13861" width="13" style="197" customWidth="1"/>
    <col min="13862" max="13862" width="9.77734375" style="197" customWidth="1"/>
    <col min="13863" max="13863" width="16.77734375" style="197" customWidth="1"/>
    <col min="13864" max="13864" width="11.109375" style="197" customWidth="1"/>
    <col min="13865" max="13865" width="16.77734375" style="197" customWidth="1"/>
    <col min="13866" max="13866" width="15.21875" style="197" customWidth="1"/>
    <col min="13867" max="13867" width="15.21875" style="197" bestFit="1" customWidth="1"/>
    <col min="13868" max="13868" width="12.88671875" style="197" customWidth="1"/>
    <col min="13869" max="13869" width="16.33203125" style="197" bestFit="1" customWidth="1"/>
    <col min="13870" max="13872" width="13.88671875" style="197" bestFit="1" customWidth="1"/>
    <col min="13873" max="13873" width="12.6640625" style="197" bestFit="1" customWidth="1"/>
    <col min="13874" max="13874" width="13.21875" style="197" bestFit="1" customWidth="1"/>
    <col min="13875" max="13875" width="13.109375" style="197" bestFit="1" customWidth="1"/>
    <col min="13876" max="14081" width="9.21875" style="197"/>
    <col min="14082" max="14082" width="0" style="197" hidden="1" customWidth="1"/>
    <col min="14083" max="14083" width="32.6640625" style="197" customWidth="1"/>
    <col min="14084" max="14084" width="0" style="197" hidden="1" customWidth="1"/>
    <col min="14085" max="14085" width="17.6640625" style="197" customWidth="1"/>
    <col min="14086" max="14086" width="15.6640625" style="197" bestFit="1" customWidth="1"/>
    <col min="14087" max="14087" width="15.21875" style="197" customWidth="1"/>
    <col min="14088" max="14088" width="15.33203125" style="197" bestFit="1" customWidth="1"/>
    <col min="14089" max="14089" width="14.109375" style="197" customWidth="1"/>
    <col min="14090" max="14090" width="13.88671875" style="197" bestFit="1" customWidth="1"/>
    <col min="14091" max="14091" width="15.21875" style="197" bestFit="1" customWidth="1"/>
    <col min="14092" max="14092" width="13" style="197" bestFit="1" customWidth="1"/>
    <col min="14093" max="14094" width="14.109375" style="197" customWidth="1"/>
    <col min="14095" max="14096" width="15.21875" style="197" bestFit="1" customWidth="1"/>
    <col min="14097" max="14097" width="14.21875" style="197" bestFit="1" customWidth="1"/>
    <col min="14098" max="14098" width="14.88671875" style="197" bestFit="1" customWidth="1"/>
    <col min="14099" max="14099" width="14.33203125" style="197" customWidth="1"/>
    <col min="14100" max="14100" width="17.21875" style="197" customWidth="1"/>
    <col min="14101" max="14101" width="4.77734375" style="197" customWidth="1"/>
    <col min="14102" max="14102" width="15.21875" style="197" customWidth="1"/>
    <col min="14103" max="14103" width="10.21875" style="197" customWidth="1"/>
    <col min="14104" max="14104" width="15.21875" style="197" customWidth="1"/>
    <col min="14105" max="14105" width="13" style="197" customWidth="1"/>
    <col min="14106" max="14106" width="13.88671875" style="197" customWidth="1"/>
    <col min="14107" max="14107" width="13" style="197" customWidth="1"/>
    <col min="14108" max="14108" width="13.88671875" style="197" customWidth="1"/>
    <col min="14109" max="14109" width="15.21875" style="197" customWidth="1"/>
    <col min="14110" max="14110" width="13" style="197" customWidth="1"/>
    <col min="14111" max="14111" width="14.109375" style="197" customWidth="1"/>
    <col min="14112" max="14112" width="17.77734375" style="197" customWidth="1"/>
    <col min="14113" max="14113" width="14.109375" style="197" customWidth="1"/>
    <col min="14114" max="14114" width="15.21875" style="197" customWidth="1"/>
    <col min="14115" max="14115" width="13.21875" style="197" customWidth="1"/>
    <col min="14116" max="14116" width="14.109375" style="197" customWidth="1"/>
    <col min="14117" max="14117" width="13" style="197" customWidth="1"/>
    <col min="14118" max="14118" width="9.77734375" style="197" customWidth="1"/>
    <col min="14119" max="14119" width="16.77734375" style="197" customWidth="1"/>
    <col min="14120" max="14120" width="11.109375" style="197" customWidth="1"/>
    <col min="14121" max="14121" width="16.77734375" style="197" customWidth="1"/>
    <col min="14122" max="14122" width="15.21875" style="197" customWidth="1"/>
    <col min="14123" max="14123" width="15.21875" style="197" bestFit="1" customWidth="1"/>
    <col min="14124" max="14124" width="12.88671875" style="197" customWidth="1"/>
    <col min="14125" max="14125" width="16.33203125" style="197" bestFit="1" customWidth="1"/>
    <col min="14126" max="14128" width="13.88671875" style="197" bestFit="1" customWidth="1"/>
    <col min="14129" max="14129" width="12.6640625" style="197" bestFit="1" customWidth="1"/>
    <col min="14130" max="14130" width="13.21875" style="197" bestFit="1" customWidth="1"/>
    <col min="14131" max="14131" width="13.109375" style="197" bestFit="1" customWidth="1"/>
    <col min="14132" max="14337" width="9.21875" style="197"/>
    <col min="14338" max="14338" width="0" style="197" hidden="1" customWidth="1"/>
    <col min="14339" max="14339" width="32.6640625" style="197" customWidth="1"/>
    <col min="14340" max="14340" width="0" style="197" hidden="1" customWidth="1"/>
    <col min="14341" max="14341" width="17.6640625" style="197" customWidth="1"/>
    <col min="14342" max="14342" width="15.6640625" style="197" bestFit="1" customWidth="1"/>
    <col min="14343" max="14343" width="15.21875" style="197" customWidth="1"/>
    <col min="14344" max="14344" width="15.33203125" style="197" bestFit="1" customWidth="1"/>
    <col min="14345" max="14345" width="14.109375" style="197" customWidth="1"/>
    <col min="14346" max="14346" width="13.88671875" style="197" bestFit="1" customWidth="1"/>
    <col min="14347" max="14347" width="15.21875" style="197" bestFit="1" customWidth="1"/>
    <col min="14348" max="14348" width="13" style="197" bestFit="1" customWidth="1"/>
    <col min="14349" max="14350" width="14.109375" style="197" customWidth="1"/>
    <col min="14351" max="14352" width="15.21875" style="197" bestFit="1" customWidth="1"/>
    <col min="14353" max="14353" width="14.21875" style="197" bestFit="1" customWidth="1"/>
    <col min="14354" max="14354" width="14.88671875" style="197" bestFit="1" customWidth="1"/>
    <col min="14355" max="14355" width="14.33203125" style="197" customWidth="1"/>
    <col min="14356" max="14356" width="17.21875" style="197" customWidth="1"/>
    <col min="14357" max="14357" width="4.77734375" style="197" customWidth="1"/>
    <col min="14358" max="14358" width="15.21875" style="197" customWidth="1"/>
    <col min="14359" max="14359" width="10.21875" style="197" customWidth="1"/>
    <col min="14360" max="14360" width="15.21875" style="197" customWidth="1"/>
    <col min="14361" max="14361" width="13" style="197" customWidth="1"/>
    <col min="14362" max="14362" width="13.88671875" style="197" customWidth="1"/>
    <col min="14363" max="14363" width="13" style="197" customWidth="1"/>
    <col min="14364" max="14364" width="13.88671875" style="197" customWidth="1"/>
    <col min="14365" max="14365" width="15.21875" style="197" customWidth="1"/>
    <col min="14366" max="14366" width="13" style="197" customWidth="1"/>
    <col min="14367" max="14367" width="14.109375" style="197" customWidth="1"/>
    <col min="14368" max="14368" width="17.77734375" style="197" customWidth="1"/>
    <col min="14369" max="14369" width="14.109375" style="197" customWidth="1"/>
    <col min="14370" max="14370" width="15.21875" style="197" customWidth="1"/>
    <col min="14371" max="14371" width="13.21875" style="197" customWidth="1"/>
    <col min="14372" max="14372" width="14.109375" style="197" customWidth="1"/>
    <col min="14373" max="14373" width="13" style="197" customWidth="1"/>
    <col min="14374" max="14374" width="9.77734375" style="197" customWidth="1"/>
    <col min="14375" max="14375" width="16.77734375" style="197" customWidth="1"/>
    <col min="14376" max="14376" width="11.109375" style="197" customWidth="1"/>
    <col min="14377" max="14377" width="16.77734375" style="197" customWidth="1"/>
    <col min="14378" max="14378" width="15.21875" style="197" customWidth="1"/>
    <col min="14379" max="14379" width="15.21875" style="197" bestFit="1" customWidth="1"/>
    <col min="14380" max="14380" width="12.88671875" style="197" customWidth="1"/>
    <col min="14381" max="14381" width="16.33203125" style="197" bestFit="1" customWidth="1"/>
    <col min="14382" max="14384" width="13.88671875" style="197" bestFit="1" customWidth="1"/>
    <col min="14385" max="14385" width="12.6640625" style="197" bestFit="1" customWidth="1"/>
    <col min="14386" max="14386" width="13.21875" style="197" bestFit="1" customWidth="1"/>
    <col min="14387" max="14387" width="13.109375" style="197" bestFit="1" customWidth="1"/>
    <col min="14388" max="14593" width="9.21875" style="197"/>
    <col min="14594" max="14594" width="0" style="197" hidden="1" customWidth="1"/>
    <col min="14595" max="14595" width="32.6640625" style="197" customWidth="1"/>
    <col min="14596" max="14596" width="0" style="197" hidden="1" customWidth="1"/>
    <col min="14597" max="14597" width="17.6640625" style="197" customWidth="1"/>
    <col min="14598" max="14598" width="15.6640625" style="197" bestFit="1" customWidth="1"/>
    <col min="14599" max="14599" width="15.21875" style="197" customWidth="1"/>
    <col min="14600" max="14600" width="15.33203125" style="197" bestFit="1" customWidth="1"/>
    <col min="14601" max="14601" width="14.109375" style="197" customWidth="1"/>
    <col min="14602" max="14602" width="13.88671875" style="197" bestFit="1" customWidth="1"/>
    <col min="14603" max="14603" width="15.21875" style="197" bestFit="1" customWidth="1"/>
    <col min="14604" max="14604" width="13" style="197" bestFit="1" customWidth="1"/>
    <col min="14605" max="14606" width="14.109375" style="197" customWidth="1"/>
    <col min="14607" max="14608" width="15.21875" style="197" bestFit="1" customWidth="1"/>
    <col min="14609" max="14609" width="14.21875" style="197" bestFit="1" customWidth="1"/>
    <col min="14610" max="14610" width="14.88671875" style="197" bestFit="1" customWidth="1"/>
    <col min="14611" max="14611" width="14.33203125" style="197" customWidth="1"/>
    <col min="14612" max="14612" width="17.21875" style="197" customWidth="1"/>
    <col min="14613" max="14613" width="4.77734375" style="197" customWidth="1"/>
    <col min="14614" max="14614" width="15.21875" style="197" customWidth="1"/>
    <col min="14615" max="14615" width="10.21875" style="197" customWidth="1"/>
    <col min="14616" max="14616" width="15.21875" style="197" customWidth="1"/>
    <col min="14617" max="14617" width="13" style="197" customWidth="1"/>
    <col min="14618" max="14618" width="13.88671875" style="197" customWidth="1"/>
    <col min="14619" max="14619" width="13" style="197" customWidth="1"/>
    <col min="14620" max="14620" width="13.88671875" style="197" customWidth="1"/>
    <col min="14621" max="14621" width="15.21875" style="197" customWidth="1"/>
    <col min="14622" max="14622" width="13" style="197" customWidth="1"/>
    <col min="14623" max="14623" width="14.109375" style="197" customWidth="1"/>
    <col min="14624" max="14624" width="17.77734375" style="197" customWidth="1"/>
    <col min="14625" max="14625" width="14.109375" style="197" customWidth="1"/>
    <col min="14626" max="14626" width="15.21875" style="197" customWidth="1"/>
    <col min="14627" max="14627" width="13.21875" style="197" customWidth="1"/>
    <col min="14628" max="14628" width="14.109375" style="197" customWidth="1"/>
    <col min="14629" max="14629" width="13" style="197" customWidth="1"/>
    <col min="14630" max="14630" width="9.77734375" style="197" customWidth="1"/>
    <col min="14631" max="14631" width="16.77734375" style="197" customWidth="1"/>
    <col min="14632" max="14632" width="11.109375" style="197" customWidth="1"/>
    <col min="14633" max="14633" width="16.77734375" style="197" customWidth="1"/>
    <col min="14634" max="14634" width="15.21875" style="197" customWidth="1"/>
    <col min="14635" max="14635" width="15.21875" style="197" bestFit="1" customWidth="1"/>
    <col min="14636" max="14636" width="12.88671875" style="197" customWidth="1"/>
    <col min="14637" max="14637" width="16.33203125" style="197" bestFit="1" customWidth="1"/>
    <col min="14638" max="14640" width="13.88671875" style="197" bestFit="1" customWidth="1"/>
    <col min="14641" max="14641" width="12.6640625" style="197" bestFit="1" customWidth="1"/>
    <col min="14642" max="14642" width="13.21875" style="197" bestFit="1" customWidth="1"/>
    <col min="14643" max="14643" width="13.109375" style="197" bestFit="1" customWidth="1"/>
    <col min="14644" max="14849" width="9.21875" style="197"/>
    <col min="14850" max="14850" width="0" style="197" hidden="1" customWidth="1"/>
    <col min="14851" max="14851" width="32.6640625" style="197" customWidth="1"/>
    <col min="14852" max="14852" width="0" style="197" hidden="1" customWidth="1"/>
    <col min="14853" max="14853" width="17.6640625" style="197" customWidth="1"/>
    <col min="14854" max="14854" width="15.6640625" style="197" bestFit="1" customWidth="1"/>
    <col min="14855" max="14855" width="15.21875" style="197" customWidth="1"/>
    <col min="14856" max="14856" width="15.33203125" style="197" bestFit="1" customWidth="1"/>
    <col min="14857" max="14857" width="14.109375" style="197" customWidth="1"/>
    <col min="14858" max="14858" width="13.88671875" style="197" bestFit="1" customWidth="1"/>
    <col min="14859" max="14859" width="15.21875" style="197" bestFit="1" customWidth="1"/>
    <col min="14860" max="14860" width="13" style="197" bestFit="1" customWidth="1"/>
    <col min="14861" max="14862" width="14.109375" style="197" customWidth="1"/>
    <col min="14863" max="14864" width="15.21875" style="197" bestFit="1" customWidth="1"/>
    <col min="14865" max="14865" width="14.21875" style="197" bestFit="1" customWidth="1"/>
    <col min="14866" max="14866" width="14.88671875" style="197" bestFit="1" customWidth="1"/>
    <col min="14867" max="14867" width="14.33203125" style="197" customWidth="1"/>
    <col min="14868" max="14868" width="17.21875" style="197" customWidth="1"/>
    <col min="14869" max="14869" width="4.77734375" style="197" customWidth="1"/>
    <col min="14870" max="14870" width="15.21875" style="197" customWidth="1"/>
    <col min="14871" max="14871" width="10.21875" style="197" customWidth="1"/>
    <col min="14872" max="14872" width="15.21875" style="197" customWidth="1"/>
    <col min="14873" max="14873" width="13" style="197" customWidth="1"/>
    <col min="14874" max="14874" width="13.88671875" style="197" customWidth="1"/>
    <col min="14875" max="14875" width="13" style="197" customWidth="1"/>
    <col min="14876" max="14876" width="13.88671875" style="197" customWidth="1"/>
    <col min="14877" max="14877" width="15.21875" style="197" customWidth="1"/>
    <col min="14878" max="14878" width="13" style="197" customWidth="1"/>
    <col min="14879" max="14879" width="14.109375" style="197" customWidth="1"/>
    <col min="14880" max="14880" width="17.77734375" style="197" customWidth="1"/>
    <col min="14881" max="14881" width="14.109375" style="197" customWidth="1"/>
    <col min="14882" max="14882" width="15.21875" style="197" customWidth="1"/>
    <col min="14883" max="14883" width="13.21875" style="197" customWidth="1"/>
    <col min="14884" max="14884" width="14.109375" style="197" customWidth="1"/>
    <col min="14885" max="14885" width="13" style="197" customWidth="1"/>
    <col min="14886" max="14886" width="9.77734375" style="197" customWidth="1"/>
    <col min="14887" max="14887" width="16.77734375" style="197" customWidth="1"/>
    <col min="14888" max="14888" width="11.109375" style="197" customWidth="1"/>
    <col min="14889" max="14889" width="16.77734375" style="197" customWidth="1"/>
    <col min="14890" max="14890" width="15.21875" style="197" customWidth="1"/>
    <col min="14891" max="14891" width="15.21875" style="197" bestFit="1" customWidth="1"/>
    <col min="14892" max="14892" width="12.88671875" style="197" customWidth="1"/>
    <col min="14893" max="14893" width="16.33203125" style="197" bestFit="1" customWidth="1"/>
    <col min="14894" max="14896" width="13.88671875" style="197" bestFit="1" customWidth="1"/>
    <col min="14897" max="14897" width="12.6640625" style="197" bestFit="1" customWidth="1"/>
    <col min="14898" max="14898" width="13.21875" style="197" bestFit="1" customWidth="1"/>
    <col min="14899" max="14899" width="13.109375" style="197" bestFit="1" customWidth="1"/>
    <col min="14900" max="15105" width="9.21875" style="197"/>
    <col min="15106" max="15106" width="0" style="197" hidden="1" customWidth="1"/>
    <col min="15107" max="15107" width="32.6640625" style="197" customWidth="1"/>
    <col min="15108" max="15108" width="0" style="197" hidden="1" customWidth="1"/>
    <col min="15109" max="15109" width="17.6640625" style="197" customWidth="1"/>
    <col min="15110" max="15110" width="15.6640625" style="197" bestFit="1" customWidth="1"/>
    <col min="15111" max="15111" width="15.21875" style="197" customWidth="1"/>
    <col min="15112" max="15112" width="15.33203125" style="197" bestFit="1" customWidth="1"/>
    <col min="15113" max="15113" width="14.109375" style="197" customWidth="1"/>
    <col min="15114" max="15114" width="13.88671875" style="197" bestFit="1" customWidth="1"/>
    <col min="15115" max="15115" width="15.21875" style="197" bestFit="1" customWidth="1"/>
    <col min="15116" max="15116" width="13" style="197" bestFit="1" customWidth="1"/>
    <col min="15117" max="15118" width="14.109375" style="197" customWidth="1"/>
    <col min="15119" max="15120" width="15.21875" style="197" bestFit="1" customWidth="1"/>
    <col min="15121" max="15121" width="14.21875" style="197" bestFit="1" customWidth="1"/>
    <col min="15122" max="15122" width="14.88671875" style="197" bestFit="1" customWidth="1"/>
    <col min="15123" max="15123" width="14.33203125" style="197" customWidth="1"/>
    <col min="15124" max="15124" width="17.21875" style="197" customWidth="1"/>
    <col min="15125" max="15125" width="4.77734375" style="197" customWidth="1"/>
    <col min="15126" max="15126" width="15.21875" style="197" customWidth="1"/>
    <col min="15127" max="15127" width="10.21875" style="197" customWidth="1"/>
    <col min="15128" max="15128" width="15.21875" style="197" customWidth="1"/>
    <col min="15129" max="15129" width="13" style="197" customWidth="1"/>
    <col min="15130" max="15130" width="13.88671875" style="197" customWidth="1"/>
    <col min="15131" max="15131" width="13" style="197" customWidth="1"/>
    <col min="15132" max="15132" width="13.88671875" style="197" customWidth="1"/>
    <col min="15133" max="15133" width="15.21875" style="197" customWidth="1"/>
    <col min="15134" max="15134" width="13" style="197" customWidth="1"/>
    <col min="15135" max="15135" width="14.109375" style="197" customWidth="1"/>
    <col min="15136" max="15136" width="17.77734375" style="197" customWidth="1"/>
    <col min="15137" max="15137" width="14.109375" style="197" customWidth="1"/>
    <col min="15138" max="15138" width="15.21875" style="197" customWidth="1"/>
    <col min="15139" max="15139" width="13.21875" style="197" customWidth="1"/>
    <col min="15140" max="15140" width="14.109375" style="197" customWidth="1"/>
    <col min="15141" max="15141" width="13" style="197" customWidth="1"/>
    <col min="15142" max="15142" width="9.77734375" style="197" customWidth="1"/>
    <col min="15143" max="15143" width="16.77734375" style="197" customWidth="1"/>
    <col min="15144" max="15144" width="11.109375" style="197" customWidth="1"/>
    <col min="15145" max="15145" width="16.77734375" style="197" customWidth="1"/>
    <col min="15146" max="15146" width="15.21875" style="197" customWidth="1"/>
    <col min="15147" max="15147" width="15.21875" style="197" bestFit="1" customWidth="1"/>
    <col min="15148" max="15148" width="12.88671875" style="197" customWidth="1"/>
    <col min="15149" max="15149" width="16.33203125" style="197" bestFit="1" customWidth="1"/>
    <col min="15150" max="15152" width="13.88671875" style="197" bestFit="1" customWidth="1"/>
    <col min="15153" max="15153" width="12.6640625" style="197" bestFit="1" customWidth="1"/>
    <col min="15154" max="15154" width="13.21875" style="197" bestFit="1" customWidth="1"/>
    <col min="15155" max="15155" width="13.109375" style="197" bestFit="1" customWidth="1"/>
    <col min="15156" max="15361" width="9.21875" style="197"/>
    <col min="15362" max="15362" width="0" style="197" hidden="1" customWidth="1"/>
    <col min="15363" max="15363" width="32.6640625" style="197" customWidth="1"/>
    <col min="15364" max="15364" width="0" style="197" hidden="1" customWidth="1"/>
    <col min="15365" max="15365" width="17.6640625" style="197" customWidth="1"/>
    <col min="15366" max="15366" width="15.6640625" style="197" bestFit="1" customWidth="1"/>
    <col min="15367" max="15367" width="15.21875" style="197" customWidth="1"/>
    <col min="15368" max="15368" width="15.33203125" style="197" bestFit="1" customWidth="1"/>
    <col min="15369" max="15369" width="14.109375" style="197" customWidth="1"/>
    <col min="15370" max="15370" width="13.88671875" style="197" bestFit="1" customWidth="1"/>
    <col min="15371" max="15371" width="15.21875" style="197" bestFit="1" customWidth="1"/>
    <col min="15372" max="15372" width="13" style="197" bestFit="1" customWidth="1"/>
    <col min="15373" max="15374" width="14.109375" style="197" customWidth="1"/>
    <col min="15375" max="15376" width="15.21875" style="197" bestFit="1" customWidth="1"/>
    <col min="15377" max="15377" width="14.21875" style="197" bestFit="1" customWidth="1"/>
    <col min="15378" max="15378" width="14.88671875" style="197" bestFit="1" customWidth="1"/>
    <col min="15379" max="15379" width="14.33203125" style="197" customWidth="1"/>
    <col min="15380" max="15380" width="17.21875" style="197" customWidth="1"/>
    <col min="15381" max="15381" width="4.77734375" style="197" customWidth="1"/>
    <col min="15382" max="15382" width="15.21875" style="197" customWidth="1"/>
    <col min="15383" max="15383" width="10.21875" style="197" customWidth="1"/>
    <col min="15384" max="15384" width="15.21875" style="197" customWidth="1"/>
    <col min="15385" max="15385" width="13" style="197" customWidth="1"/>
    <col min="15386" max="15386" width="13.88671875" style="197" customWidth="1"/>
    <col min="15387" max="15387" width="13" style="197" customWidth="1"/>
    <col min="15388" max="15388" width="13.88671875" style="197" customWidth="1"/>
    <col min="15389" max="15389" width="15.21875" style="197" customWidth="1"/>
    <col min="15390" max="15390" width="13" style="197" customWidth="1"/>
    <col min="15391" max="15391" width="14.109375" style="197" customWidth="1"/>
    <col min="15392" max="15392" width="17.77734375" style="197" customWidth="1"/>
    <col min="15393" max="15393" width="14.109375" style="197" customWidth="1"/>
    <col min="15394" max="15394" width="15.21875" style="197" customWidth="1"/>
    <col min="15395" max="15395" width="13.21875" style="197" customWidth="1"/>
    <col min="15396" max="15396" width="14.109375" style="197" customWidth="1"/>
    <col min="15397" max="15397" width="13" style="197" customWidth="1"/>
    <col min="15398" max="15398" width="9.77734375" style="197" customWidth="1"/>
    <col min="15399" max="15399" width="16.77734375" style="197" customWidth="1"/>
    <col min="15400" max="15400" width="11.109375" style="197" customWidth="1"/>
    <col min="15401" max="15401" width="16.77734375" style="197" customWidth="1"/>
    <col min="15402" max="15402" width="15.21875" style="197" customWidth="1"/>
    <col min="15403" max="15403" width="15.21875" style="197" bestFit="1" customWidth="1"/>
    <col min="15404" max="15404" width="12.88671875" style="197" customWidth="1"/>
    <col min="15405" max="15405" width="16.33203125" style="197" bestFit="1" customWidth="1"/>
    <col min="15406" max="15408" width="13.88671875" style="197" bestFit="1" customWidth="1"/>
    <col min="15409" max="15409" width="12.6640625" style="197" bestFit="1" customWidth="1"/>
    <col min="15410" max="15410" width="13.21875" style="197" bestFit="1" customWidth="1"/>
    <col min="15411" max="15411" width="13.109375" style="197" bestFit="1" customWidth="1"/>
    <col min="15412" max="15617" width="9.21875" style="197"/>
    <col min="15618" max="15618" width="0" style="197" hidden="1" customWidth="1"/>
    <col min="15619" max="15619" width="32.6640625" style="197" customWidth="1"/>
    <col min="15620" max="15620" width="0" style="197" hidden="1" customWidth="1"/>
    <col min="15621" max="15621" width="17.6640625" style="197" customWidth="1"/>
    <col min="15622" max="15622" width="15.6640625" style="197" bestFit="1" customWidth="1"/>
    <col min="15623" max="15623" width="15.21875" style="197" customWidth="1"/>
    <col min="15624" max="15624" width="15.33203125" style="197" bestFit="1" customWidth="1"/>
    <col min="15625" max="15625" width="14.109375" style="197" customWidth="1"/>
    <col min="15626" max="15626" width="13.88671875" style="197" bestFit="1" customWidth="1"/>
    <col min="15627" max="15627" width="15.21875" style="197" bestFit="1" customWidth="1"/>
    <col min="15628" max="15628" width="13" style="197" bestFit="1" customWidth="1"/>
    <col min="15629" max="15630" width="14.109375" style="197" customWidth="1"/>
    <col min="15631" max="15632" width="15.21875" style="197" bestFit="1" customWidth="1"/>
    <col min="15633" max="15633" width="14.21875" style="197" bestFit="1" customWidth="1"/>
    <col min="15634" max="15634" width="14.88671875" style="197" bestFit="1" customWidth="1"/>
    <col min="15635" max="15635" width="14.33203125" style="197" customWidth="1"/>
    <col min="15636" max="15636" width="17.21875" style="197" customWidth="1"/>
    <col min="15637" max="15637" width="4.77734375" style="197" customWidth="1"/>
    <col min="15638" max="15638" width="15.21875" style="197" customWidth="1"/>
    <col min="15639" max="15639" width="10.21875" style="197" customWidth="1"/>
    <col min="15640" max="15640" width="15.21875" style="197" customWidth="1"/>
    <col min="15641" max="15641" width="13" style="197" customWidth="1"/>
    <col min="15642" max="15642" width="13.88671875" style="197" customWidth="1"/>
    <col min="15643" max="15643" width="13" style="197" customWidth="1"/>
    <col min="15644" max="15644" width="13.88671875" style="197" customWidth="1"/>
    <col min="15645" max="15645" width="15.21875" style="197" customWidth="1"/>
    <col min="15646" max="15646" width="13" style="197" customWidth="1"/>
    <col min="15647" max="15647" width="14.109375" style="197" customWidth="1"/>
    <col min="15648" max="15648" width="17.77734375" style="197" customWidth="1"/>
    <col min="15649" max="15649" width="14.109375" style="197" customWidth="1"/>
    <col min="15650" max="15650" width="15.21875" style="197" customWidth="1"/>
    <col min="15651" max="15651" width="13.21875" style="197" customWidth="1"/>
    <col min="15652" max="15652" width="14.109375" style="197" customWidth="1"/>
    <col min="15653" max="15653" width="13" style="197" customWidth="1"/>
    <col min="15654" max="15654" width="9.77734375" style="197" customWidth="1"/>
    <col min="15655" max="15655" width="16.77734375" style="197" customWidth="1"/>
    <col min="15656" max="15656" width="11.109375" style="197" customWidth="1"/>
    <col min="15657" max="15657" width="16.77734375" style="197" customWidth="1"/>
    <col min="15658" max="15658" width="15.21875" style="197" customWidth="1"/>
    <col min="15659" max="15659" width="15.21875" style="197" bestFit="1" customWidth="1"/>
    <col min="15660" max="15660" width="12.88671875" style="197" customWidth="1"/>
    <col min="15661" max="15661" width="16.33203125" style="197" bestFit="1" customWidth="1"/>
    <col min="15662" max="15664" width="13.88671875" style="197" bestFit="1" customWidth="1"/>
    <col min="15665" max="15665" width="12.6640625" style="197" bestFit="1" customWidth="1"/>
    <col min="15666" max="15666" width="13.21875" style="197" bestFit="1" customWidth="1"/>
    <col min="15667" max="15667" width="13.109375" style="197" bestFit="1" customWidth="1"/>
    <col min="15668" max="15873" width="9.21875" style="197"/>
    <col min="15874" max="15874" width="0" style="197" hidden="1" customWidth="1"/>
    <col min="15875" max="15875" width="32.6640625" style="197" customWidth="1"/>
    <col min="15876" max="15876" width="0" style="197" hidden="1" customWidth="1"/>
    <col min="15877" max="15877" width="17.6640625" style="197" customWidth="1"/>
    <col min="15878" max="15878" width="15.6640625" style="197" bestFit="1" customWidth="1"/>
    <col min="15879" max="15879" width="15.21875" style="197" customWidth="1"/>
    <col min="15880" max="15880" width="15.33203125" style="197" bestFit="1" customWidth="1"/>
    <col min="15881" max="15881" width="14.109375" style="197" customWidth="1"/>
    <col min="15882" max="15882" width="13.88671875" style="197" bestFit="1" customWidth="1"/>
    <col min="15883" max="15883" width="15.21875" style="197" bestFit="1" customWidth="1"/>
    <col min="15884" max="15884" width="13" style="197" bestFit="1" customWidth="1"/>
    <col min="15885" max="15886" width="14.109375" style="197" customWidth="1"/>
    <col min="15887" max="15888" width="15.21875" style="197" bestFit="1" customWidth="1"/>
    <col min="15889" max="15889" width="14.21875" style="197" bestFit="1" customWidth="1"/>
    <col min="15890" max="15890" width="14.88671875" style="197" bestFit="1" customWidth="1"/>
    <col min="15891" max="15891" width="14.33203125" style="197" customWidth="1"/>
    <col min="15892" max="15892" width="17.21875" style="197" customWidth="1"/>
    <col min="15893" max="15893" width="4.77734375" style="197" customWidth="1"/>
    <col min="15894" max="15894" width="15.21875" style="197" customWidth="1"/>
    <col min="15895" max="15895" width="10.21875" style="197" customWidth="1"/>
    <col min="15896" max="15896" width="15.21875" style="197" customWidth="1"/>
    <col min="15897" max="15897" width="13" style="197" customWidth="1"/>
    <col min="15898" max="15898" width="13.88671875" style="197" customWidth="1"/>
    <col min="15899" max="15899" width="13" style="197" customWidth="1"/>
    <col min="15900" max="15900" width="13.88671875" style="197" customWidth="1"/>
    <col min="15901" max="15901" width="15.21875" style="197" customWidth="1"/>
    <col min="15902" max="15902" width="13" style="197" customWidth="1"/>
    <col min="15903" max="15903" width="14.109375" style="197" customWidth="1"/>
    <col min="15904" max="15904" width="17.77734375" style="197" customWidth="1"/>
    <col min="15905" max="15905" width="14.109375" style="197" customWidth="1"/>
    <col min="15906" max="15906" width="15.21875" style="197" customWidth="1"/>
    <col min="15907" max="15907" width="13.21875" style="197" customWidth="1"/>
    <col min="15908" max="15908" width="14.109375" style="197" customWidth="1"/>
    <col min="15909" max="15909" width="13" style="197" customWidth="1"/>
    <col min="15910" max="15910" width="9.77734375" style="197" customWidth="1"/>
    <col min="15911" max="15911" width="16.77734375" style="197" customWidth="1"/>
    <col min="15912" max="15912" width="11.109375" style="197" customWidth="1"/>
    <col min="15913" max="15913" width="16.77734375" style="197" customWidth="1"/>
    <col min="15914" max="15914" width="15.21875" style="197" customWidth="1"/>
    <col min="15915" max="15915" width="15.21875" style="197" bestFit="1" customWidth="1"/>
    <col min="15916" max="15916" width="12.88671875" style="197" customWidth="1"/>
    <col min="15917" max="15917" width="16.33203125" style="197" bestFit="1" customWidth="1"/>
    <col min="15918" max="15920" width="13.88671875" style="197" bestFit="1" customWidth="1"/>
    <col min="15921" max="15921" width="12.6640625" style="197" bestFit="1" customWidth="1"/>
    <col min="15922" max="15922" width="13.21875" style="197" bestFit="1" customWidth="1"/>
    <col min="15923" max="15923" width="13.109375" style="197" bestFit="1" customWidth="1"/>
    <col min="15924" max="16129" width="9.21875" style="197"/>
    <col min="16130" max="16130" width="0" style="197" hidden="1" customWidth="1"/>
    <col min="16131" max="16131" width="32.6640625" style="197" customWidth="1"/>
    <col min="16132" max="16132" width="0" style="197" hidden="1" customWidth="1"/>
    <col min="16133" max="16133" width="17.6640625" style="197" customWidth="1"/>
    <col min="16134" max="16134" width="15.6640625" style="197" bestFit="1" customWidth="1"/>
    <col min="16135" max="16135" width="15.21875" style="197" customWidth="1"/>
    <col min="16136" max="16136" width="15.33203125" style="197" bestFit="1" customWidth="1"/>
    <col min="16137" max="16137" width="14.109375" style="197" customWidth="1"/>
    <col min="16138" max="16138" width="13.88671875" style="197" bestFit="1" customWidth="1"/>
    <col min="16139" max="16139" width="15.21875" style="197" bestFit="1" customWidth="1"/>
    <col min="16140" max="16140" width="13" style="197" bestFit="1" customWidth="1"/>
    <col min="16141" max="16142" width="14.109375" style="197" customWidth="1"/>
    <col min="16143" max="16144" width="15.21875" style="197" bestFit="1" customWidth="1"/>
    <col min="16145" max="16145" width="14.21875" style="197" bestFit="1" customWidth="1"/>
    <col min="16146" max="16146" width="14.88671875" style="197" bestFit="1" customWidth="1"/>
    <col min="16147" max="16147" width="14.33203125" style="197" customWidth="1"/>
    <col min="16148" max="16148" width="17.21875" style="197" customWidth="1"/>
    <col min="16149" max="16149" width="4.77734375" style="197" customWidth="1"/>
    <col min="16150" max="16150" width="15.21875" style="197" customWidth="1"/>
    <col min="16151" max="16151" width="10.21875" style="197" customWidth="1"/>
    <col min="16152" max="16152" width="15.21875" style="197" customWidth="1"/>
    <col min="16153" max="16153" width="13" style="197" customWidth="1"/>
    <col min="16154" max="16154" width="13.88671875" style="197" customWidth="1"/>
    <col min="16155" max="16155" width="13" style="197" customWidth="1"/>
    <col min="16156" max="16156" width="13.88671875" style="197" customWidth="1"/>
    <col min="16157" max="16157" width="15.21875" style="197" customWidth="1"/>
    <col min="16158" max="16158" width="13" style="197" customWidth="1"/>
    <col min="16159" max="16159" width="14.109375" style="197" customWidth="1"/>
    <col min="16160" max="16160" width="17.77734375" style="197" customWidth="1"/>
    <col min="16161" max="16161" width="14.109375" style="197" customWidth="1"/>
    <col min="16162" max="16162" width="15.21875" style="197" customWidth="1"/>
    <col min="16163" max="16163" width="13.21875" style="197" customWidth="1"/>
    <col min="16164" max="16164" width="14.109375" style="197" customWidth="1"/>
    <col min="16165" max="16165" width="13" style="197" customWidth="1"/>
    <col min="16166" max="16166" width="9.77734375" style="197" customWidth="1"/>
    <col min="16167" max="16167" width="16.77734375" style="197" customWidth="1"/>
    <col min="16168" max="16168" width="11.109375" style="197" customWidth="1"/>
    <col min="16169" max="16169" width="16.77734375" style="197" customWidth="1"/>
    <col min="16170" max="16170" width="15.21875" style="197" customWidth="1"/>
    <col min="16171" max="16171" width="15.21875" style="197" bestFit="1" customWidth="1"/>
    <col min="16172" max="16172" width="12.88671875" style="197" customWidth="1"/>
    <col min="16173" max="16173" width="16.33203125" style="197" bestFit="1" customWidth="1"/>
    <col min="16174" max="16176" width="13.88671875" style="197" bestFit="1" customWidth="1"/>
    <col min="16177" max="16177" width="12.6640625" style="197" bestFit="1" customWidth="1"/>
    <col min="16178" max="16178" width="13.21875" style="197" bestFit="1" customWidth="1"/>
    <col min="16179" max="16179" width="13.109375" style="197" bestFit="1" customWidth="1"/>
    <col min="16180" max="16384" width="9.21875" style="197"/>
  </cols>
  <sheetData>
    <row r="1" spans="1:51" s="195" customFormat="1">
      <c r="A1" s="288"/>
      <c r="D1" s="290"/>
      <c r="E1" s="290"/>
      <c r="F1" s="290"/>
      <c r="G1" s="290"/>
      <c r="H1" s="290"/>
      <c r="I1" s="290"/>
      <c r="J1" s="290"/>
      <c r="K1" s="196"/>
      <c r="L1" s="290"/>
      <c r="M1" s="290"/>
      <c r="N1" s="290"/>
      <c r="O1" s="290"/>
      <c r="P1" s="290"/>
      <c r="Q1" s="290"/>
      <c r="R1" s="290"/>
      <c r="S1" s="290"/>
      <c r="T1" s="290"/>
      <c r="U1" s="290"/>
      <c r="V1" s="290"/>
      <c r="W1" s="290"/>
      <c r="X1" s="290"/>
      <c r="Y1" s="290"/>
      <c r="Z1" s="290"/>
      <c r="AA1" s="290"/>
      <c r="AB1" s="290"/>
      <c r="AC1" s="290"/>
      <c r="AD1" s="290"/>
      <c r="AE1" s="290"/>
      <c r="AF1" s="290"/>
      <c r="AG1" s="290"/>
      <c r="AH1" s="290"/>
      <c r="AI1" s="290"/>
      <c r="AJ1" s="290"/>
      <c r="AK1" s="290"/>
      <c r="AL1" s="290"/>
      <c r="AM1" s="290"/>
      <c r="AN1" s="290"/>
      <c r="AO1" s="290"/>
      <c r="AP1" s="290"/>
      <c r="AQ1" s="290"/>
      <c r="AR1" s="290"/>
      <c r="AS1" s="290"/>
      <c r="AT1" s="290"/>
      <c r="AU1" s="290"/>
      <c r="AV1" s="290"/>
      <c r="AW1" s="290"/>
      <c r="AX1" s="290"/>
    </row>
    <row r="2" spans="1:51" s="290" customFormat="1">
      <c r="A2" s="289" t="s">
        <v>1342</v>
      </c>
      <c r="D2" s="290" t="s">
        <v>248</v>
      </c>
      <c r="E2" s="290" t="s">
        <v>252</v>
      </c>
      <c r="F2" s="290" t="s">
        <v>249</v>
      </c>
      <c r="G2" s="324" t="s">
        <v>975</v>
      </c>
      <c r="H2" s="324"/>
      <c r="I2" s="290" t="s">
        <v>168</v>
      </c>
      <c r="J2" s="290" t="s">
        <v>253</v>
      </c>
      <c r="K2" s="196" t="s">
        <v>976</v>
      </c>
      <c r="L2" s="290" t="s">
        <v>977</v>
      </c>
      <c r="M2" s="291" t="s">
        <v>978</v>
      </c>
      <c r="N2" s="291" t="s">
        <v>979</v>
      </c>
      <c r="O2" s="292" t="s">
        <v>257</v>
      </c>
      <c r="P2" s="292" t="s">
        <v>254</v>
      </c>
      <c r="Q2" s="292"/>
      <c r="R2" s="292" t="s">
        <v>980</v>
      </c>
      <c r="S2" s="290" t="s">
        <v>258</v>
      </c>
      <c r="T2" s="290" t="s">
        <v>259</v>
      </c>
      <c r="V2" s="290" t="s">
        <v>260</v>
      </c>
      <c r="W2" s="290" t="s">
        <v>261</v>
      </c>
      <c r="X2" s="290" t="s">
        <v>981</v>
      </c>
      <c r="Y2" s="290" t="s">
        <v>982</v>
      </c>
      <c r="Z2" s="290" t="s">
        <v>264</v>
      </c>
      <c r="AA2" s="290" t="s">
        <v>983</v>
      </c>
      <c r="AB2" s="290" t="s">
        <v>984</v>
      </c>
      <c r="AC2" s="290" t="s">
        <v>266</v>
      </c>
      <c r="AD2" s="290" t="s">
        <v>985</v>
      </c>
      <c r="AE2" s="290" t="s">
        <v>986</v>
      </c>
      <c r="AF2" s="290" t="s">
        <v>987</v>
      </c>
      <c r="AG2" s="290" t="s">
        <v>988</v>
      </c>
      <c r="AH2" s="290" t="s">
        <v>989</v>
      </c>
      <c r="AI2" s="290" t="s">
        <v>990</v>
      </c>
      <c r="AJ2" s="290" t="s">
        <v>991</v>
      </c>
      <c r="AK2" s="290" t="s">
        <v>992</v>
      </c>
      <c r="AM2" s="290" t="s">
        <v>993</v>
      </c>
      <c r="AN2" s="290" t="s">
        <v>994</v>
      </c>
      <c r="AO2" s="290" t="s">
        <v>995</v>
      </c>
      <c r="AP2" s="290" t="s">
        <v>996</v>
      </c>
      <c r="AQ2" s="290" t="s">
        <v>997</v>
      </c>
      <c r="AR2" s="290" t="s">
        <v>998</v>
      </c>
      <c r="AS2" s="290" t="s">
        <v>974</v>
      </c>
      <c r="AT2" s="290" t="s">
        <v>270</v>
      </c>
      <c r="AU2" s="290" t="s">
        <v>999</v>
      </c>
      <c r="AV2" s="290" t="s">
        <v>1000</v>
      </c>
      <c r="AW2" s="290" t="s">
        <v>1001</v>
      </c>
      <c r="AX2" s="290" t="s">
        <v>1002</v>
      </c>
    </row>
    <row r="3" spans="1:51">
      <c r="A3" s="289" t="s">
        <v>1343</v>
      </c>
      <c r="D3" s="290"/>
      <c r="E3" s="290"/>
      <c r="F3" s="290"/>
      <c r="G3" s="290" t="s">
        <v>191</v>
      </c>
      <c r="H3" s="290" t="s">
        <v>192</v>
      </c>
      <c r="I3" s="290"/>
      <c r="J3" s="290"/>
      <c r="K3" s="196"/>
      <c r="L3" s="290"/>
      <c r="M3" s="291"/>
      <c r="N3" s="291"/>
      <c r="O3" s="290"/>
      <c r="P3" s="290" t="s">
        <v>193</v>
      </c>
      <c r="Q3" s="290" t="s">
        <v>194</v>
      </c>
      <c r="R3" s="290"/>
      <c r="S3" s="290"/>
      <c r="T3" s="290"/>
      <c r="U3" s="290"/>
      <c r="V3" s="290"/>
      <c r="W3" s="290"/>
      <c r="X3" s="290"/>
      <c r="Y3" s="290"/>
      <c r="Z3" s="290"/>
      <c r="AA3" s="290"/>
      <c r="AB3" s="290"/>
      <c r="AC3" s="290"/>
      <c r="AD3" s="290"/>
      <c r="AE3" s="290"/>
      <c r="AF3" s="290"/>
      <c r="AG3" s="290"/>
      <c r="AH3" s="290"/>
      <c r="AI3" s="290"/>
      <c r="AJ3" s="290"/>
      <c r="AK3" s="290"/>
      <c r="AM3" s="290"/>
      <c r="AN3" s="290"/>
      <c r="AO3" s="290"/>
      <c r="AP3" s="290"/>
      <c r="AQ3" s="290"/>
      <c r="AR3" s="290"/>
      <c r="AS3" s="290"/>
      <c r="AT3" s="290"/>
      <c r="AU3" s="290"/>
    </row>
    <row r="4" spans="1:51">
      <c r="B4" s="198"/>
      <c r="C4" s="198" t="s">
        <v>1344</v>
      </c>
      <c r="D4" s="199">
        <v>17037464.82</v>
      </c>
      <c r="E4" s="199">
        <v>1012478.63</v>
      </c>
      <c r="F4" s="199">
        <v>22009455.039999999</v>
      </c>
      <c r="G4" s="199">
        <v>58766268.719999999</v>
      </c>
      <c r="H4" s="199">
        <v>-378262.26</v>
      </c>
      <c r="I4" s="199">
        <v>10536372.949999999</v>
      </c>
      <c r="J4" s="199">
        <v>93929181.199999988</v>
      </c>
      <c r="K4" s="220">
        <v>-2795876.38</v>
      </c>
      <c r="L4" s="199">
        <v>5395095.4699999997</v>
      </c>
      <c r="M4" s="199"/>
      <c r="N4" s="199"/>
      <c r="O4" s="199">
        <v>28447106.789999999</v>
      </c>
      <c r="P4" s="199">
        <v>370198943.54000008</v>
      </c>
      <c r="Q4" s="199">
        <v>-30980486.400000013</v>
      </c>
      <c r="R4" s="199"/>
      <c r="S4" s="199">
        <v>50751422.380000003</v>
      </c>
      <c r="T4" s="199">
        <v>14895106.506499995</v>
      </c>
      <c r="U4" s="199"/>
      <c r="V4" s="197">
        <v>-113107093.98999999</v>
      </c>
      <c r="W4" s="199">
        <v>-1898454.64</v>
      </c>
      <c r="X4" s="199">
        <v>-47707559.259999998</v>
      </c>
      <c r="Y4" s="199">
        <v>-1726364.4</v>
      </c>
      <c r="Z4" s="199">
        <v>-48374775.159999996</v>
      </c>
      <c r="AA4" s="199">
        <v>-6364013.5</v>
      </c>
      <c r="AB4" s="199">
        <v>0</v>
      </c>
      <c r="AC4" s="199">
        <v>17800524.399999999</v>
      </c>
      <c r="AD4" s="199">
        <v>0</v>
      </c>
      <c r="AE4" s="199">
        <v>-860154.06</v>
      </c>
      <c r="AF4" s="199"/>
      <c r="AG4" s="199">
        <v>-156088000</v>
      </c>
      <c r="AH4" s="199">
        <v>-306849861.18000001</v>
      </c>
      <c r="AI4" s="199">
        <v>0</v>
      </c>
      <c r="AJ4" s="199">
        <v>0</v>
      </c>
      <c r="AK4" s="199">
        <v>26351480.783499986</v>
      </c>
      <c r="AL4" s="39">
        <f>SUM(D4:T4)+SUM(V4:AK4)</f>
        <v>0</v>
      </c>
      <c r="AM4" s="199"/>
      <c r="AN4" s="199"/>
      <c r="AO4" s="199"/>
      <c r="AP4" s="199"/>
      <c r="AQ4" s="199"/>
      <c r="AR4" s="199"/>
      <c r="AS4" s="199"/>
      <c r="AT4" s="199"/>
      <c r="AU4" s="199"/>
      <c r="AV4" s="199"/>
      <c r="AW4" s="199"/>
      <c r="AX4" s="199"/>
    </row>
    <row r="5" spans="1:51">
      <c r="B5" s="198" t="s">
        <v>1344</v>
      </c>
      <c r="C5" s="198" t="s">
        <v>965</v>
      </c>
      <c r="D5" s="199">
        <f>'[10]PRC Spreadsheet-2018.12.31'!M9</f>
        <v>20122076.329999998</v>
      </c>
      <c r="E5" s="199">
        <f>'[10]PRC Spreadsheet-2018.12.31'!M18</f>
        <v>1976370.43</v>
      </c>
      <c r="F5" s="199">
        <f>'[10]PRC Spreadsheet-2018.12.31'!M10</f>
        <v>15614057.98</v>
      </c>
      <c r="G5" s="199">
        <f>'[10]PRC Spreadsheet-2018.12.31'!M11</f>
        <v>123259547.58</v>
      </c>
      <c r="H5" s="199">
        <f>'[10]PRC Spreadsheet-2018.12.31'!M12</f>
        <v>-378262.26</v>
      </c>
      <c r="I5" s="39">
        <f>'[10]PRC Spreadsheet-2018.12.31'!M13</f>
        <v>28023466.039999999</v>
      </c>
      <c r="J5" s="39">
        <f>'[10]PRC Spreadsheet-2018.12.31'!M16</f>
        <v>132224913.48</v>
      </c>
      <c r="K5" s="220">
        <f>'[10]PRC Spreadsheet-2018.12.31'!M17</f>
        <v>-10609636.16</v>
      </c>
      <c r="L5" s="39">
        <f>'[10]PRC Spreadsheet-2018.12.31'!M14</f>
        <v>4270124.46</v>
      </c>
      <c r="M5" s="39"/>
      <c r="N5" s="39"/>
      <c r="O5" s="39">
        <f>'[10]PRC Spreadsheet-2018.12.31'!M31</f>
        <v>18031636.299999997</v>
      </c>
      <c r="P5" s="39">
        <f>'[10]PRC Spreadsheet-2018.12.31'!M25</f>
        <v>392209454.44</v>
      </c>
      <c r="Q5" s="199">
        <f>'[10]PRC Spreadsheet-2018.12.31'!M26</f>
        <v>-57227922.909999996</v>
      </c>
      <c r="R5" s="39"/>
      <c r="S5" s="39">
        <f>'[10]PRC Spreadsheet-2018.12.31'!M35</f>
        <v>49578023.5</v>
      </c>
      <c r="T5" s="39">
        <f>'[10]PRC Spreadsheet-2018.12.31'!M41</f>
        <v>14321919.17</v>
      </c>
      <c r="U5" s="199"/>
      <c r="V5" s="197">
        <f>'[10]PRC Spreadsheet-2018.12.31'!M45</f>
        <v>-144704415.18000001</v>
      </c>
      <c r="W5" s="199">
        <f>'[10]PRC Spreadsheet-2018.12.31'!M49</f>
        <v>-2108768.9300000002</v>
      </c>
      <c r="X5" s="199">
        <f>'[10]PRC Spreadsheet-2018.12.31'!M47</f>
        <v>-83524630.030000001</v>
      </c>
      <c r="Y5" s="199">
        <f>'[10]PRC Spreadsheet-2018.12.31'!M50</f>
        <v>-8802201.4000000004</v>
      </c>
      <c r="Z5" s="199">
        <f>'[10]PRC Spreadsheet-2018.12.31'!M53</f>
        <v>-36797452.280000001</v>
      </c>
      <c r="AA5" s="199">
        <f>'[10]PRC Spreadsheet-2018.12.31'!M48</f>
        <v>-6619298.9000000004</v>
      </c>
      <c r="AB5" s="199">
        <v>0</v>
      </c>
      <c r="AC5" s="199">
        <f>'[10]PRC Spreadsheet-2018.12.31'!M51</f>
        <v>-849170.37999999966</v>
      </c>
      <c r="AD5" s="199">
        <v>0</v>
      </c>
      <c r="AE5" s="199">
        <f>'[10]PRC Spreadsheet-2018.12.31'!M52</f>
        <v>-9663351.9199999999</v>
      </c>
      <c r="AF5" s="199"/>
      <c r="AG5" s="199">
        <f>'[10]PRC Spreadsheet-2018.12.31'!M56</f>
        <v>-157502000</v>
      </c>
      <c r="AH5" s="199">
        <f>'[10]PRC Spreadsheet-2018.12.31'!M63</f>
        <v>-306849861.18000001</v>
      </c>
      <c r="AI5" s="199">
        <f>'[10]PRC Spreadsheet-2018.12.31'!M64</f>
        <v>0</v>
      </c>
      <c r="AJ5" s="199">
        <f>'[10]PRC Spreadsheet-2018.12.31'!M65</f>
        <v>0</v>
      </c>
      <c r="AK5" s="199">
        <f>'[10]PRC Spreadsheet-2018.12.31'!M66+'[10]PRC Spreadsheet-2018.12.31'!M67</f>
        <v>26005381.819999974</v>
      </c>
      <c r="AL5" s="39">
        <f>SUM(D5:T5)+SUM(V5:AK5)</f>
        <v>0</v>
      </c>
      <c r="AM5" s="199">
        <f>'[10]PRC Spreadsheet-2018.12.31'!M74</f>
        <v>-475610380.38999999</v>
      </c>
      <c r="AN5" s="199">
        <f>'[10]PRC Spreadsheet-2018.12.31'!M76</f>
        <v>3196464.63</v>
      </c>
      <c r="AO5" s="199">
        <f>'[10]PRC Spreadsheet-2018.12.31'!M75</f>
        <v>375931417.95000005</v>
      </c>
      <c r="AP5" s="199">
        <f>'[10]PRC Spreadsheet-2018.12.31'!M81</f>
        <v>14871452.65</v>
      </c>
      <c r="AQ5" s="199">
        <f>'[10]PRC Spreadsheet-2018.12.31'!M82</f>
        <v>43596197.479999997</v>
      </c>
      <c r="AR5" s="199">
        <f>'PRC Spreadsheet-2019.12.31'!Q83</f>
        <v>0</v>
      </c>
      <c r="AS5" s="199">
        <f>'[10]PRC Spreadsheet-2018.12.31'!M84</f>
        <v>8695612.4600000009</v>
      </c>
      <c r="AT5" s="199">
        <f>'PRC Spreadsheet-2019.12.31'!Q86</f>
        <v>0</v>
      </c>
      <c r="AU5" s="199">
        <f>'[10]PRC Spreadsheet-2018.12.31'!M89</f>
        <v>-65636.78</v>
      </c>
      <c r="AV5" s="199">
        <f>'[10]PRC Spreadsheet-2018.12.31'!M90</f>
        <v>311493.86999999918</v>
      </c>
      <c r="AW5" s="199">
        <f>'[10]PRC Spreadsheet-2018.12.31'!M94</f>
        <v>573187.34000000008</v>
      </c>
      <c r="AX5" s="199">
        <f>'[10]PRC Spreadsheet-2018.12.31'!M96</f>
        <v>-346098.95999993896</v>
      </c>
      <c r="AY5" s="197">
        <f>AX5-SUM(AM5:AW5)</f>
        <v>28154091.830000006</v>
      </c>
    </row>
    <row r="6" spans="1:51" s="199" customFormat="1">
      <c r="B6" s="201" t="s">
        <v>964</v>
      </c>
      <c r="C6" s="201" t="s">
        <v>1345</v>
      </c>
      <c r="D6" s="199">
        <f t="shared" ref="D6:AW6" si="0">D5-D4</f>
        <v>3084611.5099999979</v>
      </c>
      <c r="E6" s="199">
        <f t="shared" si="0"/>
        <v>963891.79999999993</v>
      </c>
      <c r="F6" s="199">
        <f t="shared" si="0"/>
        <v>-6395397.0599999987</v>
      </c>
      <c r="G6" s="199">
        <f>G5-G4</f>
        <v>64493278.859999999</v>
      </c>
      <c r="H6" s="199">
        <f t="shared" si="0"/>
        <v>0</v>
      </c>
      <c r="I6" s="199">
        <f>I5-I4</f>
        <v>17487093.09</v>
      </c>
      <c r="J6" s="199">
        <f t="shared" si="0"/>
        <v>38295732.280000016</v>
      </c>
      <c r="K6" s="220">
        <f t="shared" si="0"/>
        <v>-7813759.7800000003</v>
      </c>
      <c r="L6" s="199">
        <f t="shared" si="0"/>
        <v>-1124971.0099999998</v>
      </c>
      <c r="M6" s="199">
        <f t="shared" si="0"/>
        <v>0</v>
      </c>
      <c r="N6" s="199">
        <f t="shared" si="0"/>
        <v>0</v>
      </c>
      <c r="O6" s="199">
        <f t="shared" si="0"/>
        <v>-10415470.490000002</v>
      </c>
      <c r="P6" s="199">
        <f t="shared" si="0"/>
        <v>22010510.899999917</v>
      </c>
      <c r="Q6" s="199">
        <f t="shared" si="0"/>
        <v>-26247436.509999983</v>
      </c>
      <c r="R6" s="199">
        <f t="shared" si="0"/>
        <v>0</v>
      </c>
      <c r="S6" s="199">
        <f>S5-S4</f>
        <v>-1173398.8800000027</v>
      </c>
      <c r="T6" s="199">
        <f>T5-T4</f>
        <v>-573187.33649999462</v>
      </c>
      <c r="V6" s="199">
        <f t="shared" si="0"/>
        <v>-31597321.190000013</v>
      </c>
      <c r="W6" s="199">
        <f t="shared" si="0"/>
        <v>-210314.29000000027</v>
      </c>
      <c r="X6" s="199">
        <f t="shared" si="0"/>
        <v>-35817070.770000003</v>
      </c>
      <c r="Y6" s="199">
        <f t="shared" si="0"/>
        <v>-7075837</v>
      </c>
      <c r="Z6" s="199">
        <f t="shared" si="0"/>
        <v>11577322.879999995</v>
      </c>
      <c r="AA6" s="199">
        <f t="shared" si="0"/>
        <v>-255285.40000000037</v>
      </c>
      <c r="AB6" s="199">
        <f t="shared" si="0"/>
        <v>0</v>
      </c>
      <c r="AC6" s="199">
        <f t="shared" si="0"/>
        <v>-18649694.779999997</v>
      </c>
      <c r="AD6" s="199">
        <f t="shared" si="0"/>
        <v>0</v>
      </c>
      <c r="AE6" s="199">
        <f t="shared" si="0"/>
        <v>-8803197.8599999994</v>
      </c>
      <c r="AF6" s="199">
        <f>AF5-AF4</f>
        <v>0</v>
      </c>
      <c r="AG6" s="199">
        <f t="shared" si="0"/>
        <v>-1414000</v>
      </c>
      <c r="AH6" s="199">
        <f t="shared" si="0"/>
        <v>0</v>
      </c>
      <c r="AI6" s="199">
        <f t="shared" si="0"/>
        <v>0</v>
      </c>
      <c r="AJ6" s="199">
        <f>AJ5-AJ4</f>
        <v>0</v>
      </c>
      <c r="AK6" s="199">
        <f>AK5-AK4</f>
        <v>-346098.96350001171</v>
      </c>
      <c r="AL6" s="39">
        <f>AL5-AL4</f>
        <v>0</v>
      </c>
      <c r="AM6" s="199">
        <f t="shared" si="0"/>
        <v>-475610380.38999999</v>
      </c>
      <c r="AN6" s="199">
        <f t="shared" si="0"/>
        <v>3196464.63</v>
      </c>
      <c r="AO6" s="199">
        <f t="shared" si="0"/>
        <v>375931417.95000005</v>
      </c>
      <c r="AP6" s="199">
        <f t="shared" si="0"/>
        <v>14871452.65</v>
      </c>
      <c r="AQ6" s="199">
        <f t="shared" si="0"/>
        <v>43596197.479999997</v>
      </c>
      <c r="AR6" s="199">
        <f t="shared" si="0"/>
        <v>0</v>
      </c>
      <c r="AS6" s="199">
        <f t="shared" si="0"/>
        <v>8695612.4600000009</v>
      </c>
      <c r="AT6" s="199">
        <f t="shared" si="0"/>
        <v>0</v>
      </c>
      <c r="AU6" s="199">
        <f t="shared" si="0"/>
        <v>-65636.78</v>
      </c>
      <c r="AV6" s="199">
        <f t="shared" si="0"/>
        <v>311493.86999999918</v>
      </c>
      <c r="AW6" s="199">
        <f t="shared" si="0"/>
        <v>573187.34000000008</v>
      </c>
      <c r="AX6" s="199">
        <f>-(AX5-AX4)</f>
        <v>346098.95999993896</v>
      </c>
      <c r="AY6" s="197"/>
    </row>
    <row r="7" spans="1:51">
      <c r="A7" s="203" t="s">
        <v>196</v>
      </c>
      <c r="B7" s="204" t="s">
        <v>1346</v>
      </c>
      <c r="C7" s="204" t="s">
        <v>1347</v>
      </c>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c r="AP7" s="200"/>
      <c r="AQ7" s="200"/>
      <c r="AR7" s="200"/>
      <c r="AS7" s="200"/>
      <c r="AT7" s="200"/>
      <c r="AU7" s="200"/>
      <c r="AV7" s="200"/>
      <c r="AW7" s="200"/>
      <c r="AX7" s="200"/>
    </row>
    <row r="8" spans="1:51">
      <c r="A8" s="205" t="s">
        <v>1003</v>
      </c>
      <c r="D8" s="200"/>
      <c r="E8" s="200"/>
      <c r="F8" s="200"/>
      <c r="G8" s="200"/>
      <c r="H8" s="200"/>
      <c r="I8" s="200"/>
      <c r="J8" s="200"/>
      <c r="K8" s="200"/>
      <c r="L8" s="200"/>
      <c r="M8" s="200"/>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200"/>
      <c r="AQ8" s="200"/>
      <c r="AR8" s="200"/>
      <c r="AS8" s="200"/>
      <c r="AT8" s="200"/>
      <c r="AU8" s="200"/>
      <c r="AV8" s="200"/>
      <c r="AW8" s="200"/>
      <c r="AX8" s="200"/>
    </row>
    <row r="9" spans="1:51">
      <c r="A9" s="206" t="s">
        <v>1004</v>
      </c>
      <c r="B9" s="197">
        <v>386530205.52000004</v>
      </c>
      <c r="C9" s="197">
        <f>SUM(D9:AX9)</f>
        <v>492929809.90999997</v>
      </c>
      <c r="D9" s="200"/>
      <c r="E9" s="200"/>
      <c r="F9" s="200">
        <f>-F6</f>
        <v>6395397.0599999987</v>
      </c>
      <c r="G9" s="200">
        <f>-G6</f>
        <v>-64493278.859999999</v>
      </c>
      <c r="H9" s="200"/>
      <c r="I9" s="200"/>
      <c r="J9" s="200"/>
      <c r="K9" s="200"/>
      <c r="L9" s="200"/>
      <c r="M9" s="200"/>
      <c r="N9" s="200"/>
      <c r="O9" s="200"/>
      <c r="P9" s="200"/>
      <c r="Q9" s="200"/>
      <c r="R9" s="200"/>
      <c r="S9" s="200"/>
      <c r="T9" s="200"/>
      <c r="U9" s="200"/>
      <c r="V9" s="200"/>
      <c r="W9" s="200"/>
      <c r="X9" s="68"/>
      <c r="Y9" s="200">
        <f>-Y6</f>
        <v>7075837</v>
      </c>
      <c r="Z9" s="200"/>
      <c r="AA9" s="200"/>
      <c r="AB9" s="200"/>
      <c r="AC9" s="200">
        <v>68341474.319999993</v>
      </c>
      <c r="AD9" s="68"/>
      <c r="AE9" s="200"/>
      <c r="AF9" s="200"/>
      <c r="AG9" s="200"/>
      <c r="AH9" s="200"/>
      <c r="AI9" s="200"/>
      <c r="AJ9" s="200"/>
      <c r="AK9" s="200"/>
      <c r="AL9" s="200"/>
      <c r="AM9" s="200">
        <f>-AM6</f>
        <v>475610380.38999999</v>
      </c>
      <c r="AN9" s="200"/>
      <c r="AO9" s="68"/>
      <c r="AP9" s="200"/>
      <c r="AQ9" s="200"/>
      <c r="AR9" s="200"/>
      <c r="AS9" s="200"/>
      <c r="AT9" s="200"/>
      <c r="AU9" s="200"/>
      <c r="AV9" s="200"/>
      <c r="AW9" s="200"/>
      <c r="AX9" s="200"/>
    </row>
    <row r="10" spans="1:51">
      <c r="A10" s="206" t="s">
        <v>1005</v>
      </c>
      <c r="B10" s="197">
        <v>7737317.79</v>
      </c>
      <c r="C10" s="197">
        <f>SUM(D10:AX10)</f>
        <v>6606191.79</v>
      </c>
      <c r="D10" s="200"/>
      <c r="E10" s="200"/>
      <c r="F10" s="200"/>
      <c r="G10" s="200"/>
      <c r="H10" s="200"/>
      <c r="I10" s="200">
        <v>-1407958.38</v>
      </c>
      <c r="J10" s="200"/>
      <c r="K10" s="200"/>
      <c r="L10" s="200"/>
      <c r="M10" s="200"/>
      <c r="N10" s="200"/>
      <c r="O10" s="200"/>
      <c r="P10" s="200"/>
      <c r="Q10" s="200"/>
      <c r="R10" s="200"/>
      <c r="S10" s="200"/>
      <c r="T10" s="200"/>
      <c r="U10" s="200"/>
      <c r="V10" s="200"/>
      <c r="W10" s="200"/>
      <c r="X10" s="200"/>
      <c r="Y10" s="200"/>
      <c r="Z10" s="200"/>
      <c r="AA10" s="200"/>
      <c r="AB10" s="200"/>
      <c r="AC10" s="200">
        <v>8014150.1699999999</v>
      </c>
      <c r="AD10" s="200"/>
      <c r="AE10" s="200"/>
      <c r="AF10" s="200"/>
      <c r="AG10" s="200"/>
      <c r="AH10" s="200"/>
      <c r="AI10" s="200"/>
      <c r="AJ10" s="200"/>
      <c r="AK10" s="200"/>
      <c r="AL10" s="200"/>
      <c r="AM10" s="200"/>
      <c r="AN10" s="200"/>
      <c r="AO10" s="200"/>
      <c r="AP10" s="200"/>
      <c r="AQ10" s="200"/>
      <c r="AR10" s="200"/>
      <c r="AS10" s="200"/>
      <c r="AT10" s="200"/>
      <c r="AU10" s="200"/>
      <c r="AV10" s="200"/>
      <c r="AW10" s="200"/>
      <c r="AX10" s="200"/>
    </row>
    <row r="11" spans="1:51">
      <c r="A11" s="206" t="s">
        <v>1006</v>
      </c>
      <c r="B11" s="197">
        <v>96150.77</v>
      </c>
      <c r="C11" s="197">
        <f>SUM(D11:AX11)</f>
        <v>61326.44</v>
      </c>
      <c r="D11" s="200"/>
      <c r="E11" s="200"/>
      <c r="F11" s="200"/>
      <c r="G11" s="200"/>
      <c r="H11" s="200"/>
      <c r="I11" s="68"/>
      <c r="J11" s="200"/>
      <c r="K11" s="200"/>
      <c r="L11" s="200"/>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200"/>
      <c r="AR11" s="68"/>
      <c r="AS11" s="200"/>
      <c r="AT11" s="200"/>
      <c r="AU11" s="200">
        <f>-AU6-AU38</f>
        <v>61326.44</v>
      </c>
      <c r="AV11" s="68"/>
      <c r="AW11" s="200"/>
      <c r="AX11" s="200"/>
    </row>
    <row r="12" spans="1:51">
      <c r="A12" s="207" t="s">
        <v>1007</v>
      </c>
      <c r="B12" s="208">
        <v>394363674.08000004</v>
      </c>
      <c r="C12" s="208">
        <f>SUM(C9:C11)</f>
        <v>499597328.13999999</v>
      </c>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row>
    <row r="13" spans="1:51">
      <c r="A13" s="206" t="s">
        <v>1008</v>
      </c>
      <c r="B13" s="197">
        <v>-355747421.49000001</v>
      </c>
      <c r="C13" s="197">
        <f>SUM(D13:AX13)</f>
        <v>-378484956.66000009</v>
      </c>
      <c r="D13" s="200"/>
      <c r="E13" s="200"/>
      <c r="F13" s="200"/>
      <c r="G13" s="200"/>
      <c r="H13" s="200"/>
      <c r="I13" s="200"/>
      <c r="J13" s="200">
        <f>-J6-J20</f>
        <v>-39177584.960000016</v>
      </c>
      <c r="K13" s="200"/>
      <c r="L13" s="200">
        <f>-L6</f>
        <v>1124971.0099999998</v>
      </c>
      <c r="M13" s="200"/>
      <c r="N13" s="200"/>
      <c r="O13" s="200"/>
      <c r="P13" s="200"/>
      <c r="Q13" s="200"/>
      <c r="R13" s="200"/>
      <c r="S13" s="200"/>
      <c r="T13" s="200"/>
      <c r="U13" s="200"/>
      <c r="V13" s="200"/>
      <c r="W13" s="200"/>
      <c r="X13" s="200">
        <f>-X6</f>
        <v>35817070.770000003</v>
      </c>
      <c r="Y13" s="200"/>
      <c r="Z13" s="200"/>
      <c r="AA13" s="200"/>
      <c r="AB13" s="200"/>
      <c r="AC13" s="68">
        <f>-60036434.89+400140.7-1101.17</f>
        <v>-59637395.359999999</v>
      </c>
      <c r="AD13" s="200"/>
      <c r="AE13" s="200"/>
      <c r="AF13" s="200"/>
      <c r="AG13" s="200"/>
      <c r="AH13" s="200"/>
      <c r="AI13" s="200"/>
      <c r="AJ13" s="200"/>
      <c r="AK13" s="200"/>
      <c r="AL13" s="200"/>
      <c r="AM13" s="200"/>
      <c r="AN13" s="200"/>
      <c r="AO13" s="200">
        <f>-AO6-AO14-AO27-AO26-AO22-AO16</f>
        <v>-327352228.68000007</v>
      </c>
      <c r="AP13" s="200"/>
      <c r="AQ13" s="200"/>
      <c r="AR13" s="200">
        <f>-AR6-AR30-AR57</f>
        <v>10740210.560000001</v>
      </c>
      <c r="AS13" s="200"/>
      <c r="AU13" s="200"/>
      <c r="AV13" s="200"/>
      <c r="AW13" s="200"/>
      <c r="AX13" s="200"/>
    </row>
    <row r="14" spans="1:51">
      <c r="A14" s="206" t="s">
        <v>1009</v>
      </c>
      <c r="B14" s="197">
        <v>-46073067.829999998</v>
      </c>
      <c r="C14" s="197">
        <f>SUM(D14:AX14)</f>
        <v>-49733183.560000002</v>
      </c>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f>-AA6</f>
        <v>255285.40000000037</v>
      </c>
      <c r="AB14" s="200"/>
      <c r="AC14" s="200">
        <v>-90064.78</v>
      </c>
      <c r="AD14" s="200"/>
      <c r="AE14" s="68"/>
      <c r="AF14" s="200"/>
      <c r="AG14" s="200"/>
      <c r="AH14" s="200"/>
      <c r="AI14" s="200"/>
      <c r="AJ14" s="200"/>
      <c r="AK14" s="200"/>
      <c r="AL14" s="200"/>
      <c r="AM14" s="200"/>
      <c r="AN14" s="200"/>
      <c r="AO14" s="200">
        <f>-35256552.01</f>
        <v>-35256552.009999998</v>
      </c>
      <c r="AP14" s="200">
        <v>-2350391.96</v>
      </c>
      <c r="AQ14" s="200">
        <f>-11558238.24-641954.76+159232.79-250500</f>
        <v>-12291460.210000001</v>
      </c>
      <c r="AR14" s="200"/>
      <c r="AS14" s="200"/>
      <c r="AT14" s="200"/>
      <c r="AU14" s="200"/>
      <c r="AV14" s="200"/>
      <c r="AW14" s="200"/>
      <c r="AX14" s="200"/>
    </row>
    <row r="15" spans="1:51">
      <c r="A15" s="206" t="s">
        <v>1010</v>
      </c>
      <c r="B15" s="197">
        <v>-2203397.3899999969</v>
      </c>
      <c r="C15" s="197">
        <f>SUM(D15:AX15)</f>
        <v>-3151304.6334999977</v>
      </c>
      <c r="D15" s="200"/>
      <c r="E15" s="200">
        <v>-1976370.4299999997</v>
      </c>
      <c r="F15" s="200"/>
      <c r="G15" s="200"/>
      <c r="H15" s="200"/>
      <c r="J15" s="200"/>
      <c r="K15" s="200"/>
      <c r="L15" s="200"/>
      <c r="M15" s="200"/>
      <c r="N15" s="200"/>
      <c r="O15" s="200"/>
      <c r="P15" s="200"/>
      <c r="Q15" s="200"/>
      <c r="R15" s="200"/>
      <c r="S15" s="200"/>
      <c r="T15" s="39">
        <f>-T6</f>
        <v>573187.33649999462</v>
      </c>
      <c r="U15" s="200"/>
      <c r="V15" s="200"/>
      <c r="W15" s="200"/>
      <c r="X15" s="200"/>
      <c r="Y15" s="200"/>
      <c r="Z15" s="200"/>
      <c r="AA15" s="200"/>
      <c r="AB15" s="200">
        <f>-AB6</f>
        <v>0</v>
      </c>
      <c r="AC15" s="200">
        <f>AC6*-1-AC9-AC13-AC14-AC10</f>
        <v>2021530.4300000072</v>
      </c>
      <c r="AD15" s="200"/>
      <c r="AE15" s="200"/>
      <c r="AF15" s="200"/>
      <c r="AG15" s="200"/>
      <c r="AH15" s="200"/>
      <c r="AI15" s="200"/>
      <c r="AJ15" s="200"/>
      <c r="AK15" s="200"/>
      <c r="AL15" s="200"/>
      <c r="AM15" s="200"/>
      <c r="AN15" s="200">
        <f>-AN6</f>
        <v>-3196464.63</v>
      </c>
      <c r="AO15" s="200"/>
      <c r="AP15" s="200"/>
      <c r="AQ15" s="200"/>
      <c r="AR15" s="200"/>
      <c r="AS15" s="200"/>
      <c r="AT15" s="200"/>
      <c r="AU15" s="200"/>
      <c r="AV15" s="200"/>
      <c r="AW15" s="68">
        <f>-AW6</f>
        <v>-573187.34000000008</v>
      </c>
      <c r="AX15" s="200"/>
    </row>
    <row r="16" spans="1:51">
      <c r="A16" s="206" t="s">
        <v>1011</v>
      </c>
      <c r="B16" s="197">
        <v>-63139368.530000001</v>
      </c>
      <c r="C16" s="197">
        <f>SUM(D16:AX16)</f>
        <v>-54354701.419999987</v>
      </c>
      <c r="D16" s="200"/>
      <c r="E16" s="200"/>
      <c r="F16" s="200"/>
      <c r="G16" s="200"/>
      <c r="H16" s="200"/>
      <c r="I16" s="200">
        <f>-I6-I10</f>
        <v>-16079134.710000001</v>
      </c>
      <c r="J16" s="200"/>
      <c r="K16" s="200"/>
      <c r="L16" s="200"/>
      <c r="M16" s="68"/>
      <c r="N16" s="39"/>
      <c r="O16" s="39"/>
      <c r="P16" s="200"/>
      <c r="Q16" s="200"/>
      <c r="R16" s="200"/>
      <c r="S16" s="200"/>
      <c r="T16" s="200"/>
      <c r="U16" s="200"/>
      <c r="V16" s="200"/>
      <c r="W16" s="200"/>
      <c r="X16" s="200"/>
      <c r="Y16" s="200"/>
      <c r="Z16" s="200">
        <f>Z6*-1-Z13-Z42</f>
        <v>-12247651.019999996</v>
      </c>
      <c r="AA16" s="200"/>
      <c r="AB16" s="200"/>
      <c r="AC16" s="200"/>
      <c r="AD16" s="200">
        <f>-AD6-AD13-AD57</f>
        <v>0</v>
      </c>
      <c r="AE16" s="68">
        <f>AE6*-1-AE39</f>
        <v>3586516.8699999992</v>
      </c>
      <c r="AF16" s="200"/>
      <c r="AG16" s="200"/>
      <c r="AH16" s="200"/>
      <c r="AI16" s="200"/>
      <c r="AJ16" s="200"/>
      <c r="AK16" s="200"/>
      <c r="AL16" s="200"/>
      <c r="AM16" s="200"/>
      <c r="AN16" s="200"/>
      <c r="AO16" s="200"/>
      <c r="AP16" s="200">
        <f>-AP6-AP14-AP15</f>
        <v>-12521060.690000001</v>
      </c>
      <c r="AQ16" s="200">
        <f>-AQ6-AQ14-AQ15-AQ23-AQ27-AQ19-AQ22-AQ18-AQ26-AQ42-AQ44</f>
        <v>-17020142.089999992</v>
      </c>
      <c r="AS16" s="68"/>
      <c r="AT16" s="200"/>
      <c r="AU16" s="200"/>
      <c r="AV16" s="200">
        <f>-AV6-AV38</f>
        <v>-73229.779999999184</v>
      </c>
      <c r="AW16" s="200"/>
      <c r="AX16" s="200"/>
    </row>
    <row r="17" spans="1:50">
      <c r="A17" s="207" t="s">
        <v>1012</v>
      </c>
      <c r="B17" s="208">
        <v>-467163255.23999995</v>
      </c>
      <c r="C17" s="208">
        <f>SUM(C13:C16)</f>
        <v>-485724146.27350008</v>
      </c>
      <c r="D17" s="200"/>
      <c r="E17" s="200"/>
      <c r="F17" s="200"/>
      <c r="G17" s="200"/>
      <c r="H17" s="200"/>
      <c r="I17" s="200"/>
      <c r="J17" s="200"/>
      <c r="K17" s="200"/>
      <c r="L17" s="200"/>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row>
    <row r="18" spans="1:50">
      <c r="A18" s="209" t="s">
        <v>1348</v>
      </c>
      <c r="B18" s="197">
        <v>0</v>
      </c>
      <c r="C18" s="197">
        <f t="shared" ref="C18:C30" si="1">SUM(D18:AX18)</f>
        <v>0</v>
      </c>
      <c r="D18" s="200"/>
      <c r="E18" s="200"/>
      <c r="F18" s="200"/>
      <c r="G18" s="200"/>
      <c r="H18" s="200">
        <f>-H6</f>
        <v>0</v>
      </c>
      <c r="I18" s="200"/>
      <c r="J18" s="200"/>
      <c r="K18" s="200"/>
      <c r="L18" s="200"/>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c r="AL18" s="200"/>
      <c r="AM18" s="200"/>
      <c r="AN18" s="200"/>
      <c r="AO18" s="200"/>
      <c r="AP18" s="200"/>
      <c r="AQ18" s="200">
        <f>-H18</f>
        <v>0</v>
      </c>
      <c r="AR18" s="200"/>
      <c r="AS18" s="200"/>
      <c r="AT18" s="200"/>
      <c r="AU18" s="200"/>
      <c r="AV18" s="200"/>
      <c r="AW18" s="200"/>
      <c r="AX18" s="200"/>
    </row>
    <row r="19" spans="1:50">
      <c r="A19" s="209" t="s">
        <v>198</v>
      </c>
      <c r="B19" s="197">
        <v>0</v>
      </c>
      <c r="C19" s="197">
        <f t="shared" si="1"/>
        <v>0</v>
      </c>
      <c r="D19" s="200"/>
      <c r="E19" s="200"/>
      <c r="F19" s="200"/>
      <c r="G19" s="200"/>
      <c r="H19" s="200"/>
      <c r="I19" s="200"/>
      <c r="J19" s="200"/>
      <c r="K19" s="200">
        <f>-K6-K20</f>
        <v>8695612.4600000009</v>
      </c>
      <c r="L19" s="200"/>
      <c r="M19" s="68"/>
      <c r="N19" s="68"/>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c r="AS19" s="200">
        <f>-AS6</f>
        <v>-8695612.4600000009</v>
      </c>
      <c r="AT19" s="200"/>
      <c r="AU19" s="200"/>
      <c r="AV19" s="200"/>
      <c r="AW19" s="200"/>
      <c r="AX19" s="200"/>
    </row>
    <row r="20" spans="1:50">
      <c r="A20" s="209" t="s">
        <v>1039</v>
      </c>
      <c r="B20" s="197">
        <v>0</v>
      </c>
      <c r="C20" s="197">
        <f t="shared" si="1"/>
        <v>0</v>
      </c>
      <c r="D20" s="200"/>
      <c r="E20" s="200"/>
      <c r="F20" s="200"/>
      <c r="G20" s="200"/>
      <c r="H20" s="200"/>
      <c r="I20" s="200"/>
      <c r="J20" s="200">
        <v>881852.68</v>
      </c>
      <c r="K20" s="200">
        <v>-881852.68</v>
      </c>
      <c r="L20" s="200"/>
      <c r="M20" s="68"/>
      <c r="N20" s="68"/>
      <c r="O20" s="200"/>
      <c r="P20" s="200"/>
      <c r="Q20" s="200"/>
      <c r="R20" s="200"/>
      <c r="S20" s="200"/>
      <c r="T20" s="200"/>
      <c r="U20" s="200"/>
      <c r="V20" s="200"/>
      <c r="W20" s="200"/>
      <c r="X20" s="200"/>
      <c r="Y20" s="200"/>
      <c r="Z20" s="200"/>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c r="AW20" s="200"/>
      <c r="AX20" s="200"/>
    </row>
    <row r="21" spans="1:50">
      <c r="A21" s="209" t="s">
        <v>1349</v>
      </c>
      <c r="B21" s="197">
        <v>0</v>
      </c>
      <c r="C21" s="197">
        <f t="shared" si="1"/>
        <v>0</v>
      </c>
      <c r="D21" s="200"/>
      <c r="E21" s="200"/>
      <c r="F21" s="200"/>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row>
    <row r="22" spans="1:50">
      <c r="A22" s="209" t="s">
        <v>1350</v>
      </c>
      <c r="B22" s="197">
        <v>0</v>
      </c>
      <c r="C22" s="197">
        <f t="shared" si="1"/>
        <v>0</v>
      </c>
      <c r="D22" s="200"/>
      <c r="E22" s="200"/>
      <c r="F22" s="200"/>
      <c r="G22" s="200"/>
      <c r="H22" s="200"/>
      <c r="I22" s="200"/>
      <c r="J22" s="200"/>
      <c r="K22" s="200"/>
      <c r="L22" s="200"/>
      <c r="M22" s="200"/>
      <c r="N22" s="200"/>
      <c r="O22" s="200"/>
      <c r="P22" s="200"/>
      <c r="Q22" s="200"/>
      <c r="R22" s="200"/>
      <c r="S22" s="200">
        <f>-S6</f>
        <v>1173398.8800000027</v>
      </c>
      <c r="T22" s="200"/>
      <c r="U22" s="200"/>
      <c r="V22" s="200"/>
      <c r="W22" s="200"/>
      <c r="X22" s="200"/>
      <c r="Y22" s="200"/>
      <c r="Z22" s="200"/>
      <c r="AA22" s="200"/>
      <c r="AB22" s="200"/>
      <c r="AC22" s="200"/>
      <c r="AD22" s="200"/>
      <c r="AE22" s="200"/>
      <c r="AF22" s="200"/>
      <c r="AG22" s="200"/>
      <c r="AH22" s="200"/>
      <c r="AI22" s="200"/>
      <c r="AJ22" s="200"/>
      <c r="AK22" s="200"/>
      <c r="AL22" s="200"/>
      <c r="AM22" s="200"/>
      <c r="AN22" s="200"/>
      <c r="AO22" s="200"/>
      <c r="AP22" s="200"/>
      <c r="AQ22" s="200">
        <f>-S22</f>
        <v>-1173398.8800000027</v>
      </c>
      <c r="AR22" s="200"/>
      <c r="AS22" s="200"/>
      <c r="AT22" s="200"/>
      <c r="AU22" s="200"/>
      <c r="AV22" s="200"/>
      <c r="AW22" s="200"/>
      <c r="AX22" s="200"/>
    </row>
    <row r="23" spans="1:50">
      <c r="A23" s="209" t="s">
        <v>1351</v>
      </c>
      <c r="B23" s="197">
        <v>0</v>
      </c>
      <c r="C23" s="197">
        <f t="shared" si="1"/>
        <v>0</v>
      </c>
      <c r="D23" s="200"/>
      <c r="E23" s="200"/>
      <c r="F23" s="200"/>
      <c r="G23" s="200"/>
      <c r="H23" s="200"/>
      <c r="I23" s="200"/>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0"/>
      <c r="AM23" s="200"/>
      <c r="AN23" s="200"/>
      <c r="AO23" s="200"/>
      <c r="AP23" s="200"/>
      <c r="AQ23" s="200">
        <f>-O23-P23</f>
        <v>0</v>
      </c>
      <c r="AR23" s="200"/>
      <c r="AS23" s="200"/>
      <c r="AT23" s="200"/>
      <c r="AU23" s="200"/>
      <c r="AV23" s="200"/>
      <c r="AW23" s="200"/>
      <c r="AX23" s="200"/>
    </row>
    <row r="24" spans="1:50">
      <c r="A24" s="209" t="s">
        <v>1352</v>
      </c>
      <c r="B24" s="197">
        <v>0</v>
      </c>
      <c r="C24" s="197">
        <f t="shared" si="1"/>
        <v>0</v>
      </c>
      <c r="D24" s="200"/>
      <c r="E24" s="200"/>
      <c r="F24" s="200"/>
      <c r="G24" s="200"/>
      <c r="H24" s="200"/>
      <c r="I24" s="200"/>
      <c r="J24" s="200"/>
      <c r="K24" s="200"/>
      <c r="L24" s="200"/>
      <c r="M24" s="200"/>
      <c r="N24" s="200"/>
      <c r="O24" s="200"/>
      <c r="P24" s="200"/>
      <c r="Q24" s="200"/>
      <c r="R24" s="200"/>
      <c r="S24" s="200"/>
      <c r="T24" s="200"/>
      <c r="U24" s="200"/>
      <c r="V24" s="200"/>
      <c r="W24" s="200"/>
      <c r="X24" s="200"/>
      <c r="Y24" s="200"/>
      <c r="Z24" s="200"/>
      <c r="AA24" s="200"/>
      <c r="AB24" s="200"/>
      <c r="AC24" s="200"/>
      <c r="AD24" s="200"/>
      <c r="AE24" s="200"/>
      <c r="AF24" s="200"/>
      <c r="AG24" s="200"/>
      <c r="AH24" s="200"/>
      <c r="AI24" s="200"/>
      <c r="AJ24" s="200"/>
      <c r="AK24" s="200"/>
      <c r="AL24" s="200"/>
      <c r="AM24" s="200"/>
      <c r="AN24" s="200"/>
      <c r="AO24" s="200"/>
      <c r="AP24" s="200"/>
      <c r="AQ24" s="200"/>
      <c r="AR24" s="200"/>
      <c r="AS24" s="200"/>
      <c r="AT24" s="200"/>
      <c r="AU24" s="200"/>
      <c r="AV24" s="200"/>
      <c r="AW24" s="200"/>
      <c r="AX24" s="200"/>
    </row>
    <row r="25" spans="1:50">
      <c r="A25" s="209" t="s">
        <v>203</v>
      </c>
      <c r="B25" s="197">
        <v>0</v>
      </c>
      <c r="C25" s="197">
        <f t="shared" si="1"/>
        <v>0</v>
      </c>
      <c r="D25" s="200"/>
      <c r="E25" s="200"/>
      <c r="F25" s="200"/>
      <c r="G25" s="200"/>
      <c r="H25" s="200"/>
      <c r="I25" s="200"/>
      <c r="J25" s="200"/>
      <c r="K25" s="200"/>
      <c r="L25" s="200"/>
      <c r="M25" s="200"/>
      <c r="N25" s="200"/>
      <c r="O25" s="200"/>
      <c r="P25" s="200"/>
      <c r="Q25" s="200"/>
      <c r="R25" s="200"/>
      <c r="S25" s="200"/>
      <c r="T25" s="200"/>
      <c r="U25" s="200"/>
      <c r="V25" s="200"/>
      <c r="W25" s="200"/>
      <c r="X25" s="200"/>
      <c r="Y25" s="200"/>
      <c r="Z25" s="200"/>
      <c r="AA25" s="200"/>
      <c r="AB25" s="200"/>
      <c r="AC25" s="200">
        <f>-AW25</f>
        <v>0</v>
      </c>
      <c r="AD25" s="200"/>
      <c r="AE25" s="200"/>
      <c r="AF25" s="200"/>
      <c r="AG25" s="200"/>
      <c r="AH25" s="200"/>
      <c r="AI25" s="200"/>
      <c r="AJ25" s="200"/>
      <c r="AK25" s="200"/>
      <c r="AL25" s="200"/>
      <c r="AM25" s="200"/>
      <c r="AN25" s="200"/>
      <c r="AO25" s="200"/>
      <c r="AP25" s="200"/>
      <c r="AQ25" s="200"/>
      <c r="AR25" s="200"/>
      <c r="AS25" s="200"/>
      <c r="AT25" s="200"/>
      <c r="AU25" s="200"/>
      <c r="AV25" s="200"/>
      <c r="AW25" s="200"/>
      <c r="AX25" s="200"/>
    </row>
    <row r="26" spans="1:50">
      <c r="A26" s="209" t="s">
        <v>1013</v>
      </c>
      <c r="B26" s="197">
        <v>0</v>
      </c>
      <c r="C26" s="197">
        <f t="shared" si="1"/>
        <v>0</v>
      </c>
      <c r="D26" s="200"/>
      <c r="E26" s="200"/>
      <c r="F26" s="200"/>
      <c r="G26" s="200"/>
      <c r="H26" s="200"/>
      <c r="I26" s="200"/>
      <c r="J26" s="200"/>
      <c r="K26" s="200"/>
      <c r="L26" s="200"/>
      <c r="M26" s="200"/>
      <c r="N26" s="200"/>
      <c r="O26" s="200"/>
      <c r="P26" s="200"/>
      <c r="Q26" s="200"/>
      <c r="R26" s="200"/>
      <c r="S26" s="200"/>
      <c r="T26" s="200"/>
      <c r="U26" s="200"/>
      <c r="V26" s="200"/>
      <c r="W26" s="200"/>
      <c r="X26" s="200"/>
      <c r="Y26" s="200"/>
      <c r="Z26" s="200"/>
      <c r="AA26" s="200"/>
      <c r="AB26" s="68"/>
      <c r="AC26" s="200"/>
      <c r="AD26" s="200"/>
      <c r="AE26" s="200"/>
      <c r="AF26" s="200"/>
      <c r="AG26" s="200"/>
      <c r="AH26" s="200"/>
      <c r="AI26" s="200"/>
      <c r="AJ26" s="200"/>
      <c r="AK26" s="200"/>
      <c r="AL26" s="200"/>
      <c r="AM26" s="200"/>
      <c r="AN26" s="200"/>
      <c r="AO26" s="200"/>
      <c r="AP26" s="200"/>
      <c r="AQ26" s="200"/>
      <c r="AR26" s="200"/>
      <c r="AS26" s="200"/>
      <c r="AT26" s="200"/>
      <c r="AU26" s="200"/>
      <c r="AV26" s="200"/>
      <c r="AW26" s="200"/>
      <c r="AX26" s="200"/>
    </row>
    <row r="27" spans="1:50">
      <c r="A27" s="209" t="s">
        <v>204</v>
      </c>
      <c r="B27" s="197">
        <v>0</v>
      </c>
      <c r="C27" s="197">
        <f t="shared" si="1"/>
        <v>-1.6763806343078613E-8</v>
      </c>
      <c r="D27" s="200"/>
      <c r="E27" s="200"/>
      <c r="F27" s="200"/>
      <c r="G27" s="200"/>
      <c r="H27" s="200"/>
      <c r="I27" s="200"/>
      <c r="J27" s="200"/>
      <c r="K27" s="200"/>
      <c r="L27" s="200"/>
      <c r="M27" s="200"/>
      <c r="N27" s="200"/>
      <c r="O27" s="200"/>
      <c r="P27" s="200"/>
      <c r="Q27" s="200">
        <f>-Q6-Q38</f>
        <v>26433833.559999984</v>
      </c>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v>-13322637.26</v>
      </c>
      <c r="AP27" s="200"/>
      <c r="AQ27" s="200">
        <v>-13111196.300000001</v>
      </c>
      <c r="AR27" s="200"/>
      <c r="AS27" s="200"/>
      <c r="AT27" s="200"/>
      <c r="AU27" s="200"/>
      <c r="AV27" s="200"/>
      <c r="AW27" s="200"/>
      <c r="AX27" s="200"/>
    </row>
    <row r="28" spans="1:50">
      <c r="A28" s="209" t="s">
        <v>1353</v>
      </c>
      <c r="B28" s="197">
        <v>0</v>
      </c>
      <c r="C28" s="197">
        <f t="shared" si="1"/>
        <v>3.5000727511942387E-3</v>
      </c>
      <c r="D28" s="200"/>
      <c r="E28" s="200"/>
      <c r="F28" s="200"/>
      <c r="G28" s="200"/>
      <c r="H28" s="200"/>
      <c r="I28" s="200"/>
      <c r="J28" s="200"/>
      <c r="K28" s="200"/>
      <c r="L28" s="200"/>
      <c r="M28" s="200"/>
      <c r="N28" s="200"/>
      <c r="O28" s="200"/>
      <c r="P28" s="200"/>
      <c r="Q28" s="200"/>
      <c r="R28" s="200"/>
      <c r="S28" s="200"/>
      <c r="T28" s="200"/>
      <c r="U28" s="200"/>
      <c r="V28" s="200"/>
      <c r="W28" s="200"/>
      <c r="X28" s="200"/>
      <c r="Y28" s="200"/>
      <c r="Z28" s="200"/>
      <c r="AA28" s="200"/>
      <c r="AB28" s="200"/>
      <c r="AC28" s="200"/>
      <c r="AD28" s="200"/>
      <c r="AE28" s="200"/>
      <c r="AF28" s="200"/>
      <c r="AG28" s="200"/>
      <c r="AH28" s="200"/>
      <c r="AI28" s="200"/>
      <c r="AJ28" s="200">
        <f>-AJ6</f>
        <v>0</v>
      </c>
      <c r="AK28" s="68">
        <f>-AK6</f>
        <v>346098.96350001171</v>
      </c>
      <c r="AL28" s="200"/>
      <c r="AM28" s="200"/>
      <c r="AN28" s="200"/>
      <c r="AO28" s="200"/>
      <c r="AP28" s="200"/>
      <c r="AQ28" s="200"/>
      <c r="AR28" s="200"/>
      <c r="AS28" s="200"/>
      <c r="AT28" s="200"/>
      <c r="AU28" s="200"/>
      <c r="AV28" s="200"/>
      <c r="AW28" s="200"/>
      <c r="AX28" s="200">
        <f>-AX6</f>
        <v>-346098.95999993896</v>
      </c>
    </row>
    <row r="29" spans="1:50">
      <c r="A29" s="209" t="s">
        <v>1354</v>
      </c>
      <c r="B29" s="197">
        <v>0</v>
      </c>
      <c r="C29" s="197">
        <f t="shared" si="1"/>
        <v>0</v>
      </c>
      <c r="D29" s="200"/>
      <c r="E29" s="200"/>
      <c r="F29" s="200"/>
      <c r="G29" s="200"/>
      <c r="H29" s="200"/>
      <c r="I29" s="200"/>
      <c r="J29" s="200"/>
      <c r="K29" s="200"/>
      <c r="L29" s="200"/>
      <c r="M29" s="200"/>
      <c r="N29" s="200"/>
      <c r="O29" s="200"/>
      <c r="P29" s="200"/>
      <c r="Q29" s="200"/>
      <c r="R29" s="200"/>
      <c r="S29" s="200"/>
      <c r="T29" s="200"/>
      <c r="U29" s="200"/>
      <c r="V29" s="200"/>
      <c r="W29" s="200"/>
      <c r="X29" s="200"/>
      <c r="Y29" s="200"/>
      <c r="Z29" s="200"/>
      <c r="AA29" s="200"/>
      <c r="AB29" s="200"/>
      <c r="AC29" s="200"/>
      <c r="AD29" s="200"/>
      <c r="AE29" s="200"/>
      <c r="AF29" s="200"/>
      <c r="AG29" s="200"/>
      <c r="AH29" s="200"/>
      <c r="AI29" s="200"/>
      <c r="AJ29" s="200"/>
      <c r="AK29" s="200"/>
      <c r="AL29" s="200"/>
      <c r="AM29" s="200"/>
      <c r="AN29" s="200"/>
      <c r="AO29" s="200"/>
      <c r="AP29" s="200"/>
      <c r="AQ29" s="200"/>
      <c r="AR29" s="200"/>
      <c r="AS29" s="200"/>
      <c r="AT29" s="200"/>
      <c r="AU29" s="200"/>
      <c r="AV29" s="200"/>
      <c r="AW29" s="200"/>
      <c r="AX29" s="200"/>
    </row>
    <row r="30" spans="1:50" s="225" customFormat="1">
      <c r="A30" s="301" t="s">
        <v>1041</v>
      </c>
      <c r="B30" s="225">
        <v>0</v>
      </c>
      <c r="C30" s="225">
        <f t="shared" si="1"/>
        <v>0</v>
      </c>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f>-AG6-AG52</f>
        <v>1414000</v>
      </c>
      <c r="AH30" s="224"/>
      <c r="AI30" s="224">
        <f>-AI6</f>
        <v>0</v>
      </c>
      <c r="AJ30" s="224"/>
      <c r="AK30" s="224"/>
      <c r="AL30" s="224"/>
      <c r="AM30" s="224"/>
      <c r="AN30" s="224"/>
      <c r="AO30" s="224"/>
      <c r="AP30" s="224"/>
      <c r="AQ30" s="224"/>
      <c r="AR30" s="224">
        <f>-AI30-AG30</f>
        <v>-1414000</v>
      </c>
      <c r="AS30" s="224"/>
      <c r="AT30" s="224"/>
      <c r="AU30" s="224"/>
      <c r="AV30" s="224"/>
      <c r="AW30" s="224"/>
      <c r="AX30" s="224"/>
    </row>
    <row r="31" spans="1:50">
      <c r="A31" s="207"/>
      <c r="D31" s="200"/>
      <c r="E31" s="200"/>
      <c r="F31" s="200"/>
      <c r="G31" s="200"/>
      <c r="H31" s="200"/>
      <c r="I31" s="200"/>
      <c r="J31" s="200"/>
      <c r="K31" s="200"/>
      <c r="L31" s="200"/>
      <c r="M31" s="200"/>
      <c r="N31" s="200"/>
      <c r="O31" s="200"/>
      <c r="P31" s="200"/>
      <c r="Q31" s="200"/>
      <c r="R31" s="200"/>
      <c r="S31" s="200"/>
      <c r="T31" s="200"/>
      <c r="U31" s="200"/>
      <c r="V31" s="200"/>
      <c r="W31" s="200"/>
      <c r="X31" s="200"/>
      <c r="Y31" s="200"/>
      <c r="Z31" s="200"/>
      <c r="AA31" s="200"/>
      <c r="AB31" s="200"/>
      <c r="AC31" s="200"/>
      <c r="AD31" s="200"/>
      <c r="AE31" s="200"/>
      <c r="AF31" s="200"/>
      <c r="AG31" s="200"/>
      <c r="AH31" s="200"/>
      <c r="AI31" s="200"/>
      <c r="AJ31" s="200"/>
      <c r="AK31" s="200"/>
      <c r="AL31" s="200"/>
      <c r="AM31" s="200"/>
      <c r="AN31" s="200"/>
      <c r="AO31" s="200"/>
      <c r="AP31" s="200"/>
      <c r="AQ31" s="200"/>
      <c r="AR31" s="200"/>
      <c r="AS31" s="200"/>
      <c r="AT31" s="200"/>
      <c r="AU31" s="200"/>
      <c r="AV31" s="200"/>
      <c r="AW31" s="200"/>
      <c r="AX31" s="200"/>
    </row>
    <row r="32" spans="1:50" ht="13.8" thickBot="1">
      <c r="A32" s="205" t="s">
        <v>1014</v>
      </c>
      <c r="B32" s="210">
        <v>-72799581.159999907</v>
      </c>
      <c r="C32" s="210">
        <f>C12+C17+C20</f>
        <v>13873181.866499901</v>
      </c>
      <c r="D32" s="200"/>
      <c r="E32" s="200"/>
      <c r="F32" s="200"/>
      <c r="G32" s="200"/>
      <c r="H32" s="200"/>
      <c r="I32" s="200"/>
      <c r="J32" s="200"/>
      <c r="K32" s="200"/>
      <c r="L32" s="200"/>
      <c r="M32" s="200"/>
      <c r="N32" s="200"/>
      <c r="O32" s="200"/>
      <c r="P32" s="200"/>
      <c r="Q32" s="200"/>
      <c r="R32" s="200"/>
      <c r="S32" s="200"/>
      <c r="T32" s="200"/>
      <c r="U32" s="200"/>
      <c r="V32" s="200"/>
      <c r="W32" s="200"/>
      <c r="X32" s="200"/>
      <c r="Y32" s="200"/>
      <c r="Z32" s="200"/>
      <c r="AA32" s="200"/>
      <c r="AB32" s="200"/>
      <c r="AC32" s="200"/>
      <c r="AD32" s="200"/>
      <c r="AE32" s="200"/>
      <c r="AF32" s="200"/>
      <c r="AG32" s="200"/>
      <c r="AH32" s="200"/>
      <c r="AI32" s="200"/>
      <c r="AJ32" s="200"/>
      <c r="AK32" s="200"/>
      <c r="AL32" s="200"/>
      <c r="AM32" s="200"/>
      <c r="AN32" s="200"/>
      <c r="AO32" s="200"/>
      <c r="AP32" s="200"/>
      <c r="AQ32" s="200"/>
      <c r="AR32" s="200"/>
      <c r="AS32" s="200"/>
      <c r="AT32" s="200"/>
      <c r="AU32" s="200"/>
      <c r="AV32" s="200"/>
      <c r="AW32" s="200"/>
      <c r="AX32" s="200"/>
    </row>
    <row r="33" spans="1:50" ht="13.8" thickTop="1">
      <c r="A33" s="211"/>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c r="AX33" s="200"/>
    </row>
    <row r="34" spans="1:50">
      <c r="A34" s="212" t="s">
        <v>1015</v>
      </c>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row>
    <row r="35" spans="1:50">
      <c r="A35" s="213"/>
      <c r="B35" s="197">
        <v>0</v>
      </c>
      <c r="C35" s="197">
        <f>SUM(D35:AX35)</f>
        <v>0</v>
      </c>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c r="AD35" s="200"/>
      <c r="AE35" s="200"/>
      <c r="AF35" s="200"/>
      <c r="AG35" s="200"/>
      <c r="AH35" s="200"/>
      <c r="AI35" s="200"/>
      <c r="AJ35" s="200"/>
      <c r="AK35" s="200"/>
      <c r="AL35" s="200"/>
      <c r="AM35" s="200"/>
      <c r="AN35" s="200"/>
      <c r="AO35" s="200"/>
      <c r="AP35" s="200"/>
      <c r="AQ35" s="200"/>
      <c r="AR35" s="200"/>
      <c r="AS35" s="200"/>
      <c r="AT35" s="200"/>
      <c r="AU35" s="200"/>
      <c r="AV35" s="200"/>
      <c r="AW35" s="200"/>
      <c r="AX35" s="200"/>
    </row>
    <row r="36" spans="1:50">
      <c r="A36" s="206" t="s">
        <v>1016</v>
      </c>
      <c r="B36" s="197">
        <v>0</v>
      </c>
      <c r="C36" s="197">
        <f>SUM(D36:AX36)</f>
        <v>0</v>
      </c>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row>
    <row r="37" spans="1:50">
      <c r="A37" s="206" t="s">
        <v>1017</v>
      </c>
      <c r="B37" s="197">
        <v>0</v>
      </c>
      <c r="C37" s="197">
        <f>SUM(D37:AX37)</f>
        <v>0</v>
      </c>
      <c r="D37" s="200"/>
      <c r="E37" s="200"/>
      <c r="F37" s="200"/>
      <c r="G37" s="200"/>
      <c r="H37" s="200"/>
      <c r="I37" s="200"/>
      <c r="J37" s="200"/>
      <c r="K37" s="200"/>
      <c r="L37" s="200"/>
      <c r="M37" s="200"/>
      <c r="N37" s="200"/>
      <c r="O37" s="200"/>
      <c r="P37" s="68"/>
      <c r="Q37" s="200"/>
      <c r="R37" s="200"/>
      <c r="S37" s="200"/>
      <c r="T37" s="200"/>
      <c r="U37" s="200"/>
      <c r="V37" s="200"/>
      <c r="W37" s="200"/>
      <c r="X37" s="200"/>
      <c r="Y37" s="200"/>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row>
    <row r="38" spans="1:50">
      <c r="A38" s="206" t="s">
        <v>1018</v>
      </c>
      <c r="B38" s="197">
        <v>0</v>
      </c>
      <c r="C38" s="197">
        <f>SUM(D38:AX38)</f>
        <v>4310.3400000000256</v>
      </c>
      <c r="D38" s="200"/>
      <c r="E38" s="200"/>
      <c r="F38" s="200"/>
      <c r="G38" s="200"/>
      <c r="H38" s="200"/>
      <c r="I38" s="200"/>
      <c r="J38" s="200"/>
      <c r="K38" s="200"/>
      <c r="L38" s="200"/>
      <c r="M38" s="200"/>
      <c r="N38" s="200"/>
      <c r="O38" s="200">
        <v>94832.09</v>
      </c>
      <c r="P38" s="200">
        <v>329829.05</v>
      </c>
      <c r="Q38" s="200">
        <v>-186397.05</v>
      </c>
      <c r="R38" s="200"/>
      <c r="S38" s="200"/>
      <c r="T38" s="200"/>
      <c r="U38" s="200"/>
      <c r="V38" s="200"/>
      <c r="W38" s="200"/>
      <c r="X38" s="200"/>
      <c r="Y38" s="200"/>
      <c r="Z38" s="200"/>
      <c r="AA38" s="200"/>
      <c r="AB38" s="200"/>
      <c r="AC38" s="200"/>
      <c r="AD38" s="200"/>
      <c r="AE38" s="200"/>
      <c r="AF38" s="200"/>
      <c r="AG38" s="200"/>
      <c r="AH38" s="200"/>
      <c r="AI38" s="200"/>
      <c r="AJ38" s="200"/>
      <c r="AK38" s="200"/>
      <c r="AL38" s="200"/>
      <c r="AM38" s="200"/>
      <c r="AN38" s="200"/>
      <c r="AO38" s="200"/>
      <c r="AP38" s="200"/>
      <c r="AQ38" s="200"/>
      <c r="AR38" s="200"/>
      <c r="AS38" s="200"/>
      <c r="AT38" s="200"/>
      <c r="AU38" s="200">
        <v>4310.34</v>
      </c>
      <c r="AV38" s="200">
        <v>-238264.09</v>
      </c>
      <c r="AW38" s="200"/>
      <c r="AX38" s="200"/>
    </row>
    <row r="39" spans="1:50" s="225" customFormat="1">
      <c r="A39" s="226" t="s">
        <v>1019</v>
      </c>
      <c r="B39" s="225">
        <v>0</v>
      </c>
      <c r="C39" s="225">
        <f>SUM(D39:AX39)</f>
        <v>0</v>
      </c>
      <c r="D39" s="224"/>
      <c r="E39" s="224">
        <f>-E6-E15</f>
        <v>1012478.6299999998</v>
      </c>
      <c r="F39" s="224"/>
      <c r="G39" s="224"/>
      <c r="H39" s="224"/>
      <c r="I39" s="302"/>
      <c r="J39" s="224"/>
      <c r="K39" s="224"/>
      <c r="L39" s="224"/>
      <c r="M39" s="224"/>
      <c r="N39" s="224"/>
      <c r="O39" s="224"/>
      <c r="P39" s="224"/>
      <c r="Q39" s="224"/>
      <c r="R39" s="224"/>
      <c r="S39" s="224"/>
      <c r="T39" s="224"/>
      <c r="U39" s="224"/>
      <c r="V39" s="224"/>
      <c r="W39" s="224"/>
      <c r="X39" s="224"/>
      <c r="Y39" s="224"/>
      <c r="Z39" s="224"/>
      <c r="AA39" s="224"/>
      <c r="AB39" s="224"/>
      <c r="AC39" s="224"/>
      <c r="AD39" s="224"/>
      <c r="AE39" s="224">
        <f>5215291.99+1389</f>
        <v>5216680.99</v>
      </c>
      <c r="AF39" s="224"/>
      <c r="AG39" s="224"/>
      <c r="AH39" s="224"/>
      <c r="AI39" s="224"/>
      <c r="AJ39" s="224"/>
      <c r="AK39" s="224"/>
      <c r="AL39" s="224"/>
      <c r="AM39" s="224"/>
      <c r="AN39" s="224"/>
      <c r="AO39" s="224"/>
      <c r="AP39" s="224"/>
      <c r="AQ39" s="224"/>
      <c r="AR39" s="300"/>
      <c r="AS39" s="224"/>
      <c r="AT39" s="308">
        <v>-6229159.6200000001</v>
      </c>
      <c r="AU39" s="224"/>
      <c r="AV39" s="224"/>
      <c r="AW39" s="224"/>
      <c r="AX39" s="224"/>
    </row>
    <row r="40" spans="1:50">
      <c r="A40" s="207" t="s">
        <v>1007</v>
      </c>
      <c r="B40" s="214">
        <v>0</v>
      </c>
      <c r="C40" s="214">
        <f>SUM(C36:C39)</f>
        <v>4310.3400000000256</v>
      </c>
      <c r="D40" s="200"/>
      <c r="E40" s="200"/>
      <c r="F40" s="200"/>
      <c r="G40" s="200"/>
      <c r="H40" s="200"/>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0"/>
      <c r="AF40" s="200"/>
      <c r="AG40" s="200"/>
      <c r="AH40" s="200"/>
      <c r="AI40" s="200"/>
      <c r="AJ40" s="200"/>
      <c r="AK40" s="200"/>
      <c r="AL40" s="200"/>
      <c r="AM40" s="200"/>
      <c r="AN40" s="200"/>
      <c r="AO40" s="200"/>
      <c r="AP40" s="200"/>
      <c r="AQ40" s="200"/>
      <c r="AR40" s="200"/>
      <c r="AS40" s="200"/>
      <c r="AT40" s="200"/>
      <c r="AU40" s="200"/>
      <c r="AV40" s="200"/>
      <c r="AW40" s="200"/>
      <c r="AX40" s="200"/>
    </row>
    <row r="41" spans="1:50">
      <c r="A41" s="207"/>
      <c r="B41" s="195"/>
      <c r="C41" s="195"/>
      <c r="D41" s="200"/>
      <c r="E41" s="200"/>
      <c r="F41" s="200"/>
      <c r="G41" s="200"/>
      <c r="H41" s="200"/>
      <c r="I41" s="200"/>
      <c r="J41" s="200"/>
      <c r="K41" s="200"/>
      <c r="L41" s="200"/>
      <c r="M41" s="200"/>
      <c r="N41" s="200"/>
      <c r="O41" s="200"/>
      <c r="P41" s="200"/>
      <c r="Q41" s="200"/>
      <c r="R41" s="200"/>
      <c r="S41" s="200"/>
      <c r="T41" s="200"/>
      <c r="U41" s="200"/>
      <c r="V41" s="200"/>
      <c r="W41" s="200"/>
      <c r="X41" s="200"/>
      <c r="Y41" s="200"/>
      <c r="Z41" s="200"/>
      <c r="AA41" s="200"/>
      <c r="AB41" s="200"/>
      <c r="AC41" s="200"/>
      <c r="AD41" s="200"/>
      <c r="AE41" s="200"/>
      <c r="AF41" s="200"/>
      <c r="AG41" s="200"/>
      <c r="AH41" s="200"/>
      <c r="AI41" s="200"/>
      <c r="AJ41" s="200"/>
      <c r="AK41" s="200"/>
      <c r="AL41" s="200"/>
      <c r="AM41" s="200"/>
      <c r="AN41" s="200"/>
      <c r="AO41" s="200"/>
      <c r="AP41" s="200"/>
      <c r="AQ41" s="200"/>
      <c r="AR41" s="200"/>
      <c r="AS41" s="200"/>
      <c r="AT41" s="200"/>
      <c r="AU41" s="200"/>
      <c r="AV41" s="200"/>
      <c r="AW41" s="200"/>
      <c r="AX41" s="200"/>
    </row>
    <row r="42" spans="1:50">
      <c r="A42" s="206" t="s">
        <v>1020</v>
      </c>
      <c r="B42" s="197">
        <v>-110437605.90000007</v>
      </c>
      <c r="C42" s="197">
        <f>SUM(D42:AX42)</f>
        <v>-11349373.409999914</v>
      </c>
      <c r="D42" s="200"/>
      <c r="E42" s="200"/>
      <c r="F42" s="200"/>
      <c r="G42" s="200"/>
      <c r="H42" s="200"/>
      <c r="I42" s="200"/>
      <c r="J42" s="200"/>
      <c r="K42" s="200"/>
      <c r="L42" s="200"/>
      <c r="M42" s="200"/>
      <c r="N42" s="200">
        <f>-N6</f>
        <v>0</v>
      </c>
      <c r="O42" s="200">
        <f>-O6-O38</f>
        <v>10320638.400000002</v>
      </c>
      <c r="P42" s="200">
        <f>-P6-P38</f>
        <v>-22340339.949999917</v>
      </c>
      <c r="Q42" s="200"/>
      <c r="R42" s="200"/>
      <c r="S42" s="200">
        <v>0</v>
      </c>
      <c r="T42" s="200"/>
      <c r="U42" s="200"/>
      <c r="V42" s="200"/>
      <c r="W42" s="200"/>
      <c r="X42" s="200"/>
      <c r="Y42" s="200"/>
      <c r="Z42" s="200">
        <v>670328.14</v>
      </c>
      <c r="AA42" s="200"/>
      <c r="AB42" s="200"/>
      <c r="AC42" s="200"/>
      <c r="AD42" s="200"/>
      <c r="AE42" s="200"/>
      <c r="AF42" s="200"/>
      <c r="AG42" s="200"/>
      <c r="AH42" s="200"/>
      <c r="AI42" s="200"/>
      <c r="AJ42" s="200"/>
      <c r="AK42" s="200"/>
      <c r="AL42" s="200"/>
      <c r="AM42" s="200"/>
      <c r="AN42" s="200"/>
      <c r="AO42" s="200"/>
      <c r="AP42" s="200"/>
      <c r="AQ42" s="200"/>
      <c r="AR42" s="200"/>
      <c r="AS42" s="200"/>
      <c r="AT42" s="200"/>
      <c r="AU42" s="200"/>
      <c r="AV42" s="200"/>
      <c r="AW42" s="200"/>
      <c r="AX42" s="200"/>
    </row>
    <row r="43" spans="1:50">
      <c r="A43" s="206" t="s">
        <v>1021</v>
      </c>
      <c r="B43" s="197">
        <v>0</v>
      </c>
      <c r="C43" s="197">
        <f>SUM(D43:AX43)</f>
        <v>0</v>
      </c>
      <c r="D43" s="200"/>
      <c r="E43" s="200"/>
      <c r="F43" s="200"/>
      <c r="G43" s="200"/>
      <c r="H43" s="200"/>
      <c r="I43" s="200"/>
      <c r="J43" s="200"/>
      <c r="K43" s="200"/>
      <c r="L43" s="200"/>
      <c r="M43" s="200"/>
      <c r="N43" s="200"/>
      <c r="O43" s="200"/>
      <c r="P43" s="200"/>
      <c r="Q43" s="200"/>
      <c r="R43" s="200"/>
      <c r="S43" s="200"/>
      <c r="T43" s="200"/>
      <c r="U43" s="200"/>
      <c r="V43" s="200"/>
      <c r="W43" s="200"/>
      <c r="X43" s="200"/>
      <c r="Y43" s="200"/>
      <c r="Z43" s="200"/>
      <c r="AA43" s="200"/>
      <c r="AB43" s="200"/>
      <c r="AC43" s="200"/>
      <c r="AD43" s="200"/>
      <c r="AE43" s="200"/>
      <c r="AF43" s="200"/>
      <c r="AG43" s="200"/>
      <c r="AH43" s="200"/>
      <c r="AI43" s="200"/>
      <c r="AJ43" s="200"/>
      <c r="AK43" s="200"/>
      <c r="AL43" s="200"/>
      <c r="AM43" s="200"/>
      <c r="AN43" s="200"/>
      <c r="AO43" s="200"/>
      <c r="AP43" s="200"/>
      <c r="AQ43" s="200"/>
      <c r="AR43" s="200"/>
      <c r="AS43" s="200"/>
      <c r="AT43" s="200"/>
      <c r="AU43" s="200"/>
      <c r="AV43" s="200"/>
      <c r="AW43" s="200"/>
      <c r="AX43" s="200"/>
    </row>
    <row r="44" spans="1:50">
      <c r="A44" s="206" t="s">
        <v>1022</v>
      </c>
      <c r="B44" s="197">
        <v>0</v>
      </c>
      <c r="C44" s="197">
        <f>SUM(D44:AX44)</f>
        <v>0</v>
      </c>
      <c r="D44" s="200"/>
      <c r="E44" s="200"/>
      <c r="F44" s="200"/>
      <c r="G44" s="200"/>
      <c r="H44" s="200"/>
      <c r="I44" s="200"/>
      <c r="J44" s="200"/>
      <c r="K44" s="200"/>
      <c r="L44" s="200"/>
      <c r="M44" s="200"/>
      <c r="N44" s="200"/>
      <c r="O44" s="200"/>
      <c r="P44" s="200"/>
      <c r="Q44" s="200"/>
      <c r="R44" s="200">
        <f>-R6-R21</f>
        <v>0</v>
      </c>
      <c r="S44" s="200"/>
      <c r="T44" s="200"/>
      <c r="U44" s="200"/>
      <c r="V44" s="200"/>
      <c r="W44" s="200"/>
      <c r="X44" s="200"/>
      <c r="Y44" s="200"/>
      <c r="Z44" s="200"/>
      <c r="AA44" s="200"/>
      <c r="AB44" s="200"/>
      <c r="AC44" s="200"/>
      <c r="AD44" s="200"/>
      <c r="AE44" s="200"/>
      <c r="AF44" s="200"/>
      <c r="AG44" s="200"/>
      <c r="AH44" s="200"/>
      <c r="AI44" s="200"/>
      <c r="AJ44" s="200"/>
      <c r="AK44" s="200"/>
      <c r="AL44" s="200"/>
      <c r="AM44" s="200"/>
      <c r="AN44" s="200"/>
      <c r="AO44" s="200"/>
      <c r="AP44" s="200"/>
      <c r="AQ44" s="200"/>
      <c r="AR44" s="200"/>
      <c r="AS44" s="200"/>
      <c r="AT44" s="200"/>
      <c r="AU44" s="200"/>
      <c r="AV44" s="200"/>
      <c r="AW44" s="200"/>
      <c r="AX44" s="200"/>
    </row>
    <row r="45" spans="1:50">
      <c r="A45" s="207" t="s">
        <v>1012</v>
      </c>
      <c r="B45" s="214">
        <v>-110437605.90000007</v>
      </c>
      <c r="C45" s="214">
        <f>SUM(C42:C44)</f>
        <v>-11349373.409999914</v>
      </c>
      <c r="D45" s="200"/>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row>
    <row r="46" spans="1:50">
      <c r="A46" s="207"/>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row>
    <row r="47" spans="1:50" ht="13.8" thickBot="1">
      <c r="A47" s="212" t="s">
        <v>1023</v>
      </c>
      <c r="B47" s="215">
        <v>-110437605.90000007</v>
      </c>
      <c r="C47" s="215">
        <f>C40+C45</f>
        <v>-11345063.069999915</v>
      </c>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row>
    <row r="48" spans="1:50" ht="13.8" thickTop="1">
      <c r="A48" s="213"/>
      <c r="D48" s="200"/>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c r="AE48" s="200"/>
      <c r="AF48" s="200"/>
      <c r="AG48" s="200"/>
      <c r="AH48" s="200"/>
      <c r="AI48" s="200"/>
      <c r="AJ48" s="200"/>
      <c r="AK48" s="200"/>
      <c r="AL48" s="200"/>
      <c r="AM48" s="200"/>
      <c r="AN48" s="200"/>
      <c r="AO48" s="200"/>
      <c r="AP48" s="200"/>
      <c r="AQ48" s="200"/>
      <c r="AR48" s="200"/>
      <c r="AS48" s="200"/>
      <c r="AT48" s="200"/>
      <c r="AU48" s="200"/>
      <c r="AV48" s="200"/>
      <c r="AW48" s="200"/>
      <c r="AX48" s="200"/>
    </row>
    <row r="49" spans="1:50">
      <c r="A49" s="212" t="s">
        <v>1024</v>
      </c>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c r="AX49" s="200"/>
    </row>
    <row r="50" spans="1:50">
      <c r="A50" s="213"/>
      <c r="D50" s="200"/>
      <c r="E50" s="200"/>
      <c r="F50" s="200"/>
      <c r="G50" s="200"/>
      <c r="H50" s="200"/>
      <c r="I50" s="200"/>
      <c r="J50" s="200"/>
      <c r="K50" s="200"/>
      <c r="L50" s="200"/>
      <c r="M50" s="200"/>
      <c r="N50" s="200"/>
      <c r="O50" s="200"/>
      <c r="P50" s="200"/>
      <c r="Q50" s="200"/>
      <c r="R50" s="200"/>
      <c r="S50" s="200"/>
      <c r="T50" s="200"/>
      <c r="U50" s="200"/>
      <c r="V50" s="200"/>
      <c r="W50" s="200"/>
      <c r="X50" s="200"/>
      <c r="Y50" s="200"/>
      <c r="Z50" s="200"/>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c r="AX50" s="200"/>
    </row>
    <row r="51" spans="1:50">
      <c r="A51" s="206" t="s">
        <v>1025</v>
      </c>
      <c r="B51" s="197">
        <v>0</v>
      </c>
      <c r="C51" s="197">
        <f>SUM(D51:AX51)</f>
        <v>0</v>
      </c>
      <c r="D51" s="200"/>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0"/>
      <c r="AG51" s="200"/>
      <c r="AH51" s="200">
        <f>-AH6</f>
        <v>0</v>
      </c>
      <c r="AI51" s="200"/>
      <c r="AJ51" s="200"/>
      <c r="AK51" s="200"/>
      <c r="AL51" s="200"/>
      <c r="AM51" s="200"/>
      <c r="AN51" s="200"/>
      <c r="AO51" s="200"/>
      <c r="AP51" s="200"/>
      <c r="AQ51" s="200"/>
      <c r="AR51" s="200"/>
      <c r="AS51" s="200"/>
      <c r="AT51" s="200"/>
      <c r="AU51" s="200"/>
      <c r="AV51" s="200"/>
      <c r="AW51" s="200"/>
      <c r="AX51" s="200"/>
    </row>
    <row r="52" spans="1:50">
      <c r="A52" s="206" t="s">
        <v>1026</v>
      </c>
      <c r="B52" s="197">
        <v>289941093.99000001</v>
      </c>
      <c r="C52" s="197">
        <f>SUM(D52:AX52)</f>
        <v>134851321.19</v>
      </c>
      <c r="D52" s="200"/>
      <c r="E52" s="200"/>
      <c r="F52" s="200"/>
      <c r="G52" s="200"/>
      <c r="H52" s="200"/>
      <c r="I52" s="200"/>
      <c r="J52" s="200"/>
      <c r="K52" s="200"/>
      <c r="L52" s="200"/>
      <c r="M52" s="200"/>
      <c r="N52" s="200"/>
      <c r="O52" s="200"/>
      <c r="P52" s="200"/>
      <c r="Q52" s="200"/>
      <c r="R52" s="200"/>
      <c r="S52" s="200"/>
      <c r="T52" s="200"/>
      <c r="U52" s="200"/>
      <c r="V52" s="200">
        <v>134851321.19</v>
      </c>
      <c r="W52" s="200"/>
      <c r="X52" s="200"/>
      <c r="Y52" s="200"/>
      <c r="Z52" s="200"/>
      <c r="AA52" s="200"/>
      <c r="AB52" s="200"/>
      <c r="AC52" s="200"/>
      <c r="AD52" s="200"/>
      <c r="AE52" s="200"/>
      <c r="AF52" s="200"/>
      <c r="AG52" s="200">
        <v>0</v>
      </c>
      <c r="AH52" s="200"/>
      <c r="AI52" s="200"/>
      <c r="AJ52" s="200"/>
      <c r="AK52" s="200"/>
      <c r="AL52" s="200"/>
      <c r="AM52" s="200"/>
      <c r="AN52" s="200"/>
      <c r="AO52" s="200"/>
      <c r="AP52" s="200"/>
      <c r="AQ52" s="200"/>
      <c r="AR52" s="200"/>
      <c r="AS52" s="200"/>
      <c r="AT52" s="200"/>
      <c r="AU52" s="200"/>
      <c r="AV52" s="200"/>
      <c r="AW52" s="200"/>
      <c r="AX52" s="200"/>
    </row>
    <row r="53" spans="1:50">
      <c r="A53" s="206" t="s">
        <v>1027</v>
      </c>
      <c r="B53" s="197">
        <v>0</v>
      </c>
      <c r="C53" s="197">
        <f>SUM(D53:AX53)</f>
        <v>0</v>
      </c>
      <c r="D53" s="200"/>
      <c r="E53" s="200"/>
      <c r="F53" s="200"/>
      <c r="G53" s="200"/>
      <c r="H53" s="200"/>
      <c r="I53" s="200"/>
      <c r="J53" s="200"/>
      <c r="K53" s="200"/>
      <c r="L53" s="200"/>
      <c r="M53" s="200"/>
      <c r="N53" s="200"/>
      <c r="O53" s="200"/>
      <c r="P53" s="200"/>
      <c r="Q53" s="200"/>
      <c r="R53" s="200"/>
      <c r="S53" s="200"/>
      <c r="T53" s="200"/>
      <c r="U53" s="200"/>
      <c r="V53" s="200"/>
      <c r="W53" s="200"/>
      <c r="X53" s="200"/>
      <c r="Y53" s="200"/>
      <c r="Z53" s="200"/>
      <c r="AA53" s="200"/>
      <c r="AB53" s="200"/>
      <c r="AC53" s="200"/>
      <c r="AD53" s="200"/>
      <c r="AE53" s="200"/>
      <c r="AF53" s="200"/>
      <c r="AG53" s="39"/>
      <c r="AH53" s="200"/>
      <c r="AI53" s="200"/>
      <c r="AJ53" s="200"/>
      <c r="AK53" s="200"/>
      <c r="AL53" s="200"/>
      <c r="AM53" s="200"/>
      <c r="AN53" s="200"/>
      <c r="AO53" s="200"/>
      <c r="AP53" s="200"/>
      <c r="AQ53" s="200"/>
      <c r="AR53" s="68">
        <f>-W53</f>
        <v>0</v>
      </c>
      <c r="AS53" s="200"/>
      <c r="AT53" s="200"/>
      <c r="AU53" s="200"/>
      <c r="AV53" s="200"/>
      <c r="AW53" s="200"/>
      <c r="AX53" s="200"/>
    </row>
    <row r="54" spans="1:50">
      <c r="A54" s="207" t="s">
        <v>1007</v>
      </c>
      <c r="B54" s="214">
        <v>289941093.99000001</v>
      </c>
      <c r="C54" s="214">
        <f>SUM(C51:C53)</f>
        <v>134851321.19</v>
      </c>
      <c r="D54" s="200"/>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c r="AE54" s="200"/>
      <c r="AF54" s="200"/>
      <c r="AG54" s="39"/>
      <c r="AH54" s="200"/>
      <c r="AI54" s="200"/>
      <c r="AJ54" s="200"/>
      <c r="AK54" s="200"/>
      <c r="AL54" s="200"/>
      <c r="AM54" s="200"/>
      <c r="AN54" s="200"/>
      <c r="AO54" s="200"/>
      <c r="AP54" s="200"/>
      <c r="AQ54" s="200"/>
      <c r="AR54" s="200"/>
      <c r="AS54" s="200"/>
      <c r="AT54" s="200"/>
      <c r="AU54" s="200"/>
      <c r="AV54" s="200"/>
      <c r="AW54" s="200"/>
      <c r="AX54" s="200"/>
    </row>
    <row r="55" spans="1:50">
      <c r="A55" s="207"/>
      <c r="D55" s="200"/>
      <c r="E55" s="200"/>
      <c r="F55" s="200"/>
      <c r="G55" s="200"/>
      <c r="H55" s="200"/>
      <c r="I55" s="200"/>
      <c r="J55" s="200"/>
      <c r="K55" s="200"/>
      <c r="L55" s="200"/>
      <c r="M55" s="200"/>
      <c r="N55" s="200"/>
      <c r="O55" s="200"/>
      <c r="P55" s="200"/>
      <c r="Q55" s="200"/>
      <c r="R55" s="200"/>
      <c r="S55" s="200"/>
      <c r="T55" s="200"/>
      <c r="U55" s="200"/>
      <c r="V55" s="200"/>
      <c r="W55" s="200"/>
      <c r="X55" s="200"/>
      <c r="Y55" s="200"/>
      <c r="Z55" s="200"/>
      <c r="AA55" s="200"/>
      <c r="AB55" s="200"/>
      <c r="AC55" s="200"/>
      <c r="AD55" s="200"/>
      <c r="AE55" s="200"/>
      <c r="AF55" s="200"/>
      <c r="AG55" s="39"/>
      <c r="AH55" s="200"/>
      <c r="AI55" s="200"/>
      <c r="AJ55" s="200"/>
      <c r="AK55" s="200"/>
      <c r="AL55" s="200"/>
      <c r="AM55" s="200"/>
      <c r="AN55" s="200"/>
      <c r="AO55" s="200"/>
      <c r="AP55" s="200"/>
      <c r="AQ55" s="200"/>
      <c r="AR55" s="200"/>
      <c r="AS55" s="200"/>
      <c r="AT55" s="200"/>
      <c r="AU55" s="200"/>
      <c r="AV55" s="200"/>
      <c r="AW55" s="200"/>
      <c r="AX55" s="200"/>
    </row>
    <row r="56" spans="1:50">
      <c r="A56" s="206" t="s">
        <v>1028</v>
      </c>
      <c r="B56" s="197">
        <v>-106380000</v>
      </c>
      <c r="C56" s="197">
        <f>SUM(D56:AX56)</f>
        <v>-103253999.99999999</v>
      </c>
      <c r="D56" s="200"/>
      <c r="E56" s="200"/>
      <c r="F56" s="200"/>
      <c r="G56" s="200"/>
      <c r="H56" s="200"/>
      <c r="I56" s="200"/>
      <c r="J56" s="200"/>
      <c r="K56" s="200"/>
      <c r="L56" s="200"/>
      <c r="M56" s="200"/>
      <c r="N56" s="200"/>
      <c r="O56" s="200"/>
      <c r="P56" s="200"/>
      <c r="Q56" s="200"/>
      <c r="R56" s="200"/>
      <c r="S56" s="200"/>
      <c r="T56" s="200"/>
      <c r="U56" s="200"/>
      <c r="V56" s="200">
        <f>-V6-V52</f>
        <v>-103253999.99999999</v>
      </c>
      <c r="W56" s="200"/>
      <c r="X56" s="200"/>
      <c r="Y56" s="200"/>
      <c r="Z56" s="200"/>
      <c r="AA56" s="200"/>
      <c r="AB56" s="200"/>
      <c r="AC56" s="200"/>
      <c r="AD56" s="200"/>
      <c r="AE56" s="200"/>
      <c r="AF56" s="200">
        <f>-AF6-AF53</f>
        <v>0</v>
      </c>
      <c r="AG56" s="39"/>
      <c r="AH56" s="200"/>
      <c r="AI56" s="200"/>
      <c r="AJ56" s="200"/>
      <c r="AK56" s="200"/>
      <c r="AL56" s="200"/>
      <c r="AM56" s="200"/>
      <c r="AN56" s="200"/>
      <c r="AO56" s="200"/>
      <c r="AP56" s="200"/>
      <c r="AQ56" s="200"/>
      <c r="AR56" s="200"/>
      <c r="AS56" s="200"/>
      <c r="AT56" s="200"/>
      <c r="AU56" s="200"/>
      <c r="AV56" s="200"/>
      <c r="AW56" s="200"/>
      <c r="AX56" s="200"/>
    </row>
    <row r="57" spans="1:50">
      <c r="A57" s="206" t="s">
        <v>1029</v>
      </c>
      <c r="B57" s="197">
        <v>0</v>
      </c>
      <c r="C57" s="197">
        <f>SUM(D57:AX57)</f>
        <v>-14624972.969999999</v>
      </c>
      <c r="D57" s="200"/>
      <c r="E57" s="200"/>
      <c r="F57" s="200"/>
      <c r="G57" s="200"/>
      <c r="H57" s="200"/>
      <c r="I57" s="200"/>
      <c r="J57" s="200"/>
      <c r="K57" s="200"/>
      <c r="L57" s="200"/>
      <c r="M57" s="200"/>
      <c r="N57" s="200"/>
      <c r="O57" s="200"/>
      <c r="P57" s="200"/>
      <c r="Q57" s="200"/>
      <c r="R57" s="200"/>
      <c r="S57" s="200"/>
      <c r="T57" s="200"/>
      <c r="U57" s="200"/>
      <c r="V57" s="200"/>
      <c r="W57" s="200">
        <f>-W6</f>
        <v>210314.29000000027</v>
      </c>
      <c r="X57" s="200"/>
      <c r="Y57" s="200"/>
      <c r="Z57" s="200"/>
      <c r="AA57" s="200"/>
      <c r="AB57" s="200"/>
      <c r="AC57" s="200"/>
      <c r="AD57" s="39"/>
      <c r="AE57" s="200"/>
      <c r="AF57" s="200"/>
      <c r="AG57" s="39"/>
      <c r="AH57" s="200"/>
      <c r="AI57" s="200"/>
      <c r="AJ57" s="200"/>
      <c r="AK57" s="39"/>
      <c r="AL57" s="200"/>
      <c r="AM57" s="200"/>
      <c r="AN57" s="200"/>
      <c r="AO57" s="200"/>
      <c r="AP57" s="200"/>
      <c r="AQ57" s="200"/>
      <c r="AR57" s="224">
        <f>-9326210.56</f>
        <v>-9326210.5600000005</v>
      </c>
      <c r="AS57" s="224"/>
      <c r="AT57" s="307">
        <f>-5509076.7</f>
        <v>-5509076.7000000002</v>
      </c>
      <c r="AU57" s="200"/>
      <c r="AV57" s="200"/>
      <c r="AW57" s="200"/>
      <c r="AX57" s="200"/>
    </row>
    <row r="58" spans="1:50">
      <c r="A58" s="206" t="s">
        <v>1030</v>
      </c>
      <c r="B58" s="197">
        <v>-8386456.5</v>
      </c>
      <c r="C58" s="197">
        <f>SUM(D58:AX58)</f>
        <v>0</v>
      </c>
      <c r="D58" s="200"/>
      <c r="E58" s="200"/>
      <c r="F58" s="200"/>
      <c r="G58" s="200"/>
      <c r="H58" s="200"/>
      <c r="I58" s="200"/>
      <c r="J58" s="200"/>
      <c r="K58" s="200"/>
      <c r="L58" s="200"/>
      <c r="M58" s="200"/>
      <c r="N58" s="200"/>
      <c r="O58" s="200"/>
      <c r="P58" s="200"/>
      <c r="Q58" s="200"/>
      <c r="R58" s="200"/>
      <c r="S58" s="200"/>
      <c r="T58" s="200"/>
      <c r="U58" s="200"/>
      <c r="V58" s="200"/>
      <c r="X58" s="200"/>
      <c r="Y58" s="200"/>
      <c r="Z58" s="200"/>
      <c r="AA58" s="200"/>
      <c r="AB58" s="200"/>
      <c r="AC58" s="200"/>
      <c r="AD58" s="200"/>
      <c r="AE58" s="200"/>
      <c r="AF58" s="200"/>
      <c r="AG58" s="39"/>
      <c r="AH58" s="200"/>
      <c r="AI58" s="200"/>
      <c r="AJ58" s="200"/>
      <c r="AK58" s="200"/>
      <c r="AL58" s="200"/>
      <c r="AM58" s="200"/>
      <c r="AN58" s="200"/>
      <c r="AO58" s="200"/>
      <c r="AP58" s="200"/>
      <c r="AQ58" s="200"/>
      <c r="AR58" s="200"/>
      <c r="AS58" s="200"/>
      <c r="AT58" s="200"/>
      <c r="AU58" s="200"/>
      <c r="AV58" s="200"/>
      <c r="AW58" s="200"/>
      <c r="AX58" s="200"/>
    </row>
    <row r="59" spans="1:50">
      <c r="A59" s="206" t="s">
        <v>1031</v>
      </c>
      <c r="B59" s="197">
        <v>0</v>
      </c>
      <c r="C59" s="197">
        <f>SUM(D59:AX59)</f>
        <v>0</v>
      </c>
      <c r="D59" s="200"/>
      <c r="E59" s="200"/>
      <c r="F59" s="200"/>
      <c r="G59" s="200"/>
      <c r="H59" s="200"/>
      <c r="I59" s="200"/>
      <c r="J59" s="200"/>
      <c r="K59" s="200"/>
      <c r="L59" s="200"/>
      <c r="M59" s="200"/>
      <c r="N59" s="200"/>
      <c r="O59" s="200"/>
      <c r="P59" s="200"/>
      <c r="Q59" s="200"/>
      <c r="R59" s="200"/>
      <c r="S59" s="200"/>
      <c r="T59" s="200"/>
      <c r="U59" s="200"/>
      <c r="V59" s="200"/>
      <c r="W59" s="200"/>
      <c r="X59" s="200"/>
      <c r="Y59" s="200"/>
      <c r="Z59" s="200"/>
      <c r="AA59" s="200"/>
      <c r="AB59" s="200"/>
      <c r="AC59" s="200"/>
      <c r="AD59" s="200"/>
      <c r="AE59" s="200"/>
      <c r="AF59" s="200"/>
      <c r="AG59" s="39"/>
      <c r="AH59" s="200"/>
      <c r="AI59" s="200"/>
      <c r="AJ59" s="200"/>
      <c r="AK59" s="200"/>
      <c r="AL59" s="200"/>
      <c r="AM59" s="200"/>
      <c r="AN59" s="200"/>
      <c r="AO59" s="200"/>
      <c r="AP59" s="200"/>
      <c r="AQ59" s="200"/>
      <c r="AR59" s="200"/>
      <c r="AS59" s="200"/>
      <c r="AT59" s="200"/>
      <c r="AU59" s="200"/>
      <c r="AV59" s="200"/>
      <c r="AW59" s="200"/>
      <c r="AX59" s="200"/>
    </row>
    <row r="60" spans="1:50">
      <c r="A60" s="207" t="s">
        <v>1012</v>
      </c>
      <c r="B60" s="214">
        <v>-114766456.5</v>
      </c>
      <c r="C60" s="214">
        <f>SUM(C56:C59)</f>
        <v>-117878972.96999998</v>
      </c>
      <c r="D60" s="200"/>
      <c r="E60" s="200"/>
      <c r="F60" s="200"/>
      <c r="G60" s="200"/>
      <c r="H60" s="200"/>
      <c r="I60" s="200"/>
      <c r="J60" s="200"/>
      <c r="K60" s="200"/>
      <c r="L60" s="200"/>
      <c r="M60" s="200"/>
      <c r="N60" s="200"/>
      <c r="O60" s="200"/>
      <c r="P60" s="200"/>
      <c r="Q60" s="200"/>
      <c r="R60" s="200"/>
      <c r="S60" s="200"/>
      <c r="T60" s="200"/>
      <c r="U60" s="200"/>
      <c r="V60" s="200"/>
      <c r="W60" s="200"/>
      <c r="X60" s="200"/>
      <c r="Y60" s="200"/>
      <c r="Z60" s="200"/>
      <c r="AA60" s="200"/>
      <c r="AB60" s="200"/>
      <c r="AC60" s="200"/>
      <c r="AD60" s="200"/>
      <c r="AE60" s="200"/>
      <c r="AF60" s="200"/>
      <c r="AG60" s="39"/>
      <c r="AH60" s="200"/>
      <c r="AI60" s="200"/>
      <c r="AJ60" s="200"/>
      <c r="AK60" s="200"/>
      <c r="AL60" s="200"/>
      <c r="AM60" s="200"/>
      <c r="AN60" s="200"/>
      <c r="AO60" s="200"/>
      <c r="AP60" s="200"/>
      <c r="AQ60" s="200"/>
      <c r="AR60" s="200"/>
      <c r="AS60" s="200"/>
      <c r="AT60" s="200"/>
      <c r="AU60" s="200"/>
      <c r="AV60" s="200"/>
      <c r="AW60" s="200"/>
      <c r="AX60" s="200"/>
    </row>
    <row r="61" spans="1:50">
      <c r="A61" s="207"/>
      <c r="B61" s="195"/>
      <c r="C61" s="195"/>
      <c r="D61" s="200"/>
      <c r="E61" s="200"/>
      <c r="F61" s="200"/>
      <c r="G61" s="200"/>
      <c r="H61" s="200"/>
      <c r="I61" s="200"/>
      <c r="J61" s="200"/>
      <c r="K61" s="200"/>
      <c r="L61" s="200"/>
      <c r="M61" s="200"/>
      <c r="N61" s="200"/>
      <c r="O61" s="200"/>
      <c r="P61" s="200"/>
      <c r="Q61" s="200"/>
      <c r="R61" s="200"/>
      <c r="S61" s="200"/>
      <c r="T61" s="200"/>
      <c r="U61" s="200"/>
      <c r="V61" s="200"/>
      <c r="W61" s="200"/>
      <c r="X61" s="200"/>
      <c r="Y61" s="200"/>
      <c r="Z61" s="200"/>
      <c r="AA61" s="200"/>
      <c r="AB61" s="200"/>
      <c r="AC61" s="200"/>
      <c r="AD61" s="200"/>
      <c r="AE61" s="200"/>
      <c r="AF61" s="200"/>
      <c r="AG61" s="39"/>
      <c r="AH61" s="200"/>
      <c r="AI61" s="200"/>
      <c r="AJ61" s="200"/>
      <c r="AK61" s="200"/>
      <c r="AL61" s="200"/>
      <c r="AM61" s="200"/>
      <c r="AN61" s="200"/>
      <c r="AO61" s="200"/>
      <c r="AP61" s="200"/>
      <c r="AQ61" s="200"/>
      <c r="AR61" s="200"/>
      <c r="AS61" s="200"/>
      <c r="AT61" s="200"/>
      <c r="AU61" s="200"/>
      <c r="AV61" s="200"/>
      <c r="AW61" s="200"/>
      <c r="AX61" s="200"/>
    </row>
    <row r="62" spans="1:50" ht="13.8" thickBot="1">
      <c r="A62" s="212" t="s">
        <v>1032</v>
      </c>
      <c r="B62" s="215">
        <v>175174637.49000001</v>
      </c>
      <c r="C62" s="215">
        <f>C54+C60</f>
        <v>16972348.220000014</v>
      </c>
      <c r="D62" s="200"/>
      <c r="E62" s="200"/>
      <c r="F62" s="200"/>
      <c r="G62" s="200"/>
      <c r="H62" s="200"/>
      <c r="I62" s="200"/>
      <c r="J62" s="200"/>
      <c r="K62" s="200"/>
      <c r="L62" s="200"/>
      <c r="M62" s="200"/>
      <c r="N62" s="200"/>
      <c r="O62" s="200"/>
      <c r="P62" s="200"/>
      <c r="Q62" s="200"/>
      <c r="R62" s="200"/>
      <c r="S62" s="200"/>
      <c r="T62" s="200"/>
      <c r="U62" s="200"/>
      <c r="V62" s="200"/>
      <c r="W62" s="200"/>
      <c r="X62" s="200"/>
      <c r="Y62" s="200"/>
      <c r="Z62" s="200"/>
      <c r="AA62" s="200"/>
      <c r="AB62" s="200"/>
      <c r="AC62" s="200"/>
      <c r="AD62" s="200"/>
      <c r="AE62" s="200"/>
      <c r="AF62" s="200"/>
      <c r="AG62" s="39"/>
      <c r="AH62" s="200"/>
      <c r="AI62" s="200"/>
      <c r="AJ62" s="200"/>
      <c r="AK62" s="200"/>
      <c r="AL62" s="200"/>
      <c r="AM62" s="200"/>
      <c r="AN62" s="200"/>
      <c r="AO62" s="200"/>
      <c r="AP62" s="200"/>
      <c r="AQ62" s="200"/>
      <c r="AR62" s="200"/>
      <c r="AS62" s="200"/>
      <c r="AT62" s="200"/>
      <c r="AU62" s="200"/>
      <c r="AV62" s="200"/>
      <c r="AW62" s="200"/>
      <c r="AX62" s="200"/>
    </row>
    <row r="63" spans="1:50" ht="13.8" thickTop="1">
      <c r="A63" s="207"/>
      <c r="D63" s="200"/>
      <c r="E63" s="200"/>
      <c r="F63" s="200"/>
      <c r="G63" s="200"/>
      <c r="H63" s="200"/>
      <c r="I63" s="200"/>
      <c r="J63" s="200"/>
      <c r="K63" s="200"/>
      <c r="L63" s="200"/>
      <c r="M63" s="200"/>
      <c r="N63" s="200"/>
      <c r="O63" s="200"/>
      <c r="P63" s="200"/>
      <c r="Q63" s="200"/>
      <c r="R63" s="200"/>
      <c r="S63" s="200"/>
      <c r="T63" s="200"/>
      <c r="U63" s="200"/>
      <c r="V63" s="200"/>
      <c r="W63" s="200"/>
      <c r="X63" s="200"/>
      <c r="Y63" s="200"/>
      <c r="Z63" s="200"/>
      <c r="AA63" s="200"/>
      <c r="AB63" s="200"/>
      <c r="AC63" s="200"/>
      <c r="AD63" s="200"/>
      <c r="AE63" s="200"/>
      <c r="AF63" s="200"/>
      <c r="AG63" s="200"/>
      <c r="AH63" s="200"/>
      <c r="AI63" s="200"/>
      <c r="AJ63" s="200"/>
      <c r="AK63" s="200"/>
      <c r="AL63" s="200"/>
      <c r="AM63" s="200"/>
      <c r="AN63" s="200"/>
      <c r="AO63" s="200"/>
      <c r="AP63" s="200"/>
      <c r="AQ63" s="200"/>
      <c r="AR63" s="200"/>
      <c r="AS63" s="200"/>
      <c r="AT63" s="200"/>
      <c r="AU63" s="200"/>
      <c r="AV63" s="200"/>
      <c r="AW63" s="200"/>
      <c r="AX63" s="200"/>
    </row>
    <row r="64" spans="1:50">
      <c r="A64" s="212" t="s">
        <v>1033</v>
      </c>
      <c r="B64" s="197">
        <v>0</v>
      </c>
      <c r="C64" s="197">
        <f>SUM(D64:AX64)</f>
        <v>0</v>
      </c>
      <c r="D64" s="200"/>
      <c r="E64" s="200"/>
      <c r="F64" s="200"/>
      <c r="G64" s="200"/>
      <c r="H64" s="200"/>
      <c r="I64" s="200"/>
      <c r="J64" s="200"/>
      <c r="K64" s="200"/>
      <c r="L64" s="200"/>
      <c r="M64" s="200"/>
      <c r="N64" s="200"/>
      <c r="O64" s="200"/>
      <c r="P64" s="200"/>
      <c r="Q64" s="200"/>
      <c r="R64" s="200"/>
      <c r="S64" s="200"/>
      <c r="T64" s="200"/>
      <c r="U64" s="200"/>
      <c r="V64" s="200"/>
      <c r="W64" s="200"/>
      <c r="X64" s="200"/>
      <c r="Y64" s="200"/>
      <c r="Z64" s="200"/>
      <c r="AA64" s="200"/>
      <c r="AB64" s="200"/>
      <c r="AC64" s="200"/>
      <c r="AD64" s="200"/>
      <c r="AE64" s="200"/>
      <c r="AF64" s="200"/>
      <c r="AG64" s="200"/>
      <c r="AH64" s="200"/>
      <c r="AI64" s="200"/>
      <c r="AJ64" s="200"/>
      <c r="AK64" s="200"/>
      <c r="AL64" s="200"/>
      <c r="AM64" s="200"/>
      <c r="AN64" s="200"/>
      <c r="AO64" s="200"/>
      <c r="AP64" s="200"/>
      <c r="AQ64" s="200"/>
      <c r="AR64" s="200"/>
      <c r="AS64" s="200"/>
      <c r="AT64" s="200"/>
      <c r="AU64" s="200"/>
      <c r="AV64" s="200"/>
      <c r="AW64" s="200"/>
      <c r="AX64" s="200"/>
    </row>
    <row r="65" spans="1:50">
      <c r="A65" s="213"/>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200"/>
      <c r="AB65" s="200"/>
      <c r="AC65" s="200"/>
      <c r="AD65" s="200"/>
      <c r="AE65" s="200"/>
      <c r="AF65" s="200"/>
      <c r="AG65" s="200"/>
      <c r="AH65" s="200"/>
      <c r="AI65" s="200"/>
      <c r="AJ65" s="200"/>
      <c r="AK65" s="200"/>
      <c r="AL65" s="200"/>
      <c r="AM65" s="200"/>
      <c r="AN65" s="200"/>
      <c r="AO65" s="200"/>
      <c r="AP65" s="200"/>
      <c r="AQ65" s="200"/>
      <c r="AR65" s="200"/>
      <c r="AS65" s="200"/>
      <c r="AT65" s="200"/>
      <c r="AU65" s="200"/>
      <c r="AV65" s="200"/>
      <c r="AW65" s="200"/>
      <c r="AX65" s="200"/>
    </row>
    <row r="66" spans="1:50" ht="13.8" thickBot="1">
      <c r="A66" s="212" t="s">
        <v>1034</v>
      </c>
      <c r="B66" s="215">
        <v>-8062549.569999963</v>
      </c>
      <c r="C66" s="215">
        <f>SUM(C32,C47,C62,C64)</f>
        <v>19500467.0165</v>
      </c>
      <c r="D66" s="200">
        <f>-D6</f>
        <v>-3084611.5099999979</v>
      </c>
      <c r="E66" s="200"/>
      <c r="F66" s="200"/>
      <c r="G66" s="200"/>
      <c r="H66" s="200"/>
      <c r="I66" s="200"/>
      <c r="J66" s="200"/>
      <c r="K66" s="200"/>
      <c r="L66" s="200"/>
      <c r="M66" s="200"/>
      <c r="N66" s="200"/>
      <c r="O66" s="200"/>
      <c r="P66" s="200"/>
      <c r="Q66" s="200"/>
      <c r="R66" s="200"/>
      <c r="S66" s="200"/>
      <c r="T66" s="200"/>
      <c r="U66" s="200"/>
      <c r="V66" s="200"/>
      <c r="W66" s="200"/>
      <c r="X66" s="200"/>
      <c r="Y66" s="200"/>
      <c r="Z66" s="200"/>
      <c r="AA66" s="200"/>
      <c r="AB66" s="200"/>
      <c r="AC66" s="200"/>
      <c r="AD66" s="200"/>
      <c r="AE66" s="200"/>
      <c r="AF66" s="200"/>
      <c r="AG66" s="200"/>
      <c r="AH66" s="200"/>
      <c r="AI66" s="200"/>
      <c r="AJ66" s="200"/>
      <c r="AK66" s="200"/>
      <c r="AL66" s="200"/>
      <c r="AM66" s="200"/>
      <c r="AN66" s="200"/>
      <c r="AO66" s="200"/>
      <c r="AP66" s="200"/>
      <c r="AQ66" s="200"/>
      <c r="AR66" s="200"/>
      <c r="AS66" s="200"/>
      <c r="AT66" s="200"/>
      <c r="AU66" s="200"/>
      <c r="AV66" s="200"/>
      <c r="AW66" s="200"/>
      <c r="AX66" s="200"/>
    </row>
    <row r="67" spans="1:50" ht="13.8" thickTop="1">
      <c r="A67" s="213"/>
      <c r="D67" s="68"/>
      <c r="E67" s="200"/>
      <c r="F67" s="200"/>
      <c r="G67" s="200"/>
      <c r="H67" s="200"/>
      <c r="I67" s="200"/>
      <c r="J67" s="200"/>
      <c r="K67" s="200"/>
      <c r="L67" s="200"/>
      <c r="M67" s="200"/>
      <c r="N67" s="200"/>
      <c r="O67" s="200"/>
      <c r="P67" s="200"/>
      <c r="Q67" s="200"/>
      <c r="R67" s="200"/>
      <c r="S67" s="200"/>
      <c r="T67" s="200"/>
      <c r="U67" s="200"/>
      <c r="V67" s="200"/>
      <c r="W67" s="200"/>
      <c r="X67" s="200"/>
      <c r="Y67" s="200"/>
      <c r="Z67" s="200"/>
      <c r="AA67" s="200"/>
      <c r="AB67" s="200"/>
      <c r="AC67" s="200"/>
      <c r="AD67" s="200"/>
      <c r="AE67" s="200"/>
      <c r="AF67" s="200"/>
      <c r="AG67" s="200"/>
      <c r="AH67" s="200"/>
      <c r="AI67" s="200"/>
      <c r="AJ67" s="200"/>
      <c r="AK67" s="200"/>
      <c r="AL67" s="200"/>
      <c r="AM67" s="200"/>
      <c r="AN67" s="200"/>
      <c r="AO67" s="200"/>
      <c r="AP67" s="200"/>
      <c r="AQ67" s="200"/>
      <c r="AR67" s="200"/>
      <c r="AS67" s="200"/>
      <c r="AT67" s="200"/>
      <c r="AU67" s="200"/>
      <c r="AV67" s="200"/>
      <c r="AW67" s="200"/>
      <c r="AX67" s="200"/>
    </row>
    <row r="68" spans="1:50">
      <c r="A68" s="213" t="s">
        <v>207</v>
      </c>
      <c r="B68" s="197">
        <v>3.7252902984619141E-8</v>
      </c>
      <c r="C68" s="197">
        <f>C66-D6</f>
        <v>16415855.506500002</v>
      </c>
      <c r="D68" s="216">
        <f t="shared" ref="D68:AX68" si="2">SUM(D6:D66)</f>
        <v>0</v>
      </c>
      <c r="E68" s="216">
        <f t="shared" si="2"/>
        <v>0</v>
      </c>
      <c r="F68" s="216">
        <f t="shared" si="2"/>
        <v>0</v>
      </c>
      <c r="G68" s="216">
        <f t="shared" si="2"/>
        <v>0</v>
      </c>
      <c r="H68" s="216">
        <f t="shared" si="2"/>
        <v>0</v>
      </c>
      <c r="I68" s="216">
        <f t="shared" si="2"/>
        <v>0</v>
      </c>
      <c r="J68" s="216">
        <f t="shared" si="2"/>
        <v>0</v>
      </c>
      <c r="K68" s="216">
        <f t="shared" si="2"/>
        <v>0</v>
      </c>
      <c r="L68" s="216">
        <f t="shared" si="2"/>
        <v>0</v>
      </c>
      <c r="M68" s="216">
        <f t="shared" si="2"/>
        <v>0</v>
      </c>
      <c r="N68" s="216">
        <f t="shared" si="2"/>
        <v>0</v>
      </c>
      <c r="O68" s="216">
        <f t="shared" si="2"/>
        <v>0</v>
      </c>
      <c r="P68" s="216">
        <f t="shared" si="2"/>
        <v>0</v>
      </c>
      <c r="Q68" s="216">
        <f t="shared" si="2"/>
        <v>7.5669959187507629E-10</v>
      </c>
      <c r="R68" s="216">
        <f t="shared" si="2"/>
        <v>0</v>
      </c>
      <c r="S68" s="216">
        <f t="shared" si="2"/>
        <v>0</v>
      </c>
      <c r="T68" s="216">
        <f t="shared" si="2"/>
        <v>0</v>
      </c>
      <c r="U68" s="216">
        <f t="shared" si="2"/>
        <v>0</v>
      </c>
      <c r="V68" s="216">
        <f t="shared" si="2"/>
        <v>0</v>
      </c>
      <c r="W68" s="216">
        <f t="shared" si="2"/>
        <v>0</v>
      </c>
      <c r="X68" s="216">
        <f t="shared" si="2"/>
        <v>0</v>
      </c>
      <c r="Y68" s="216">
        <f t="shared" si="2"/>
        <v>0</v>
      </c>
      <c r="Z68" s="216">
        <f t="shared" si="2"/>
        <v>0</v>
      </c>
      <c r="AA68" s="216">
        <f t="shared" si="2"/>
        <v>0</v>
      </c>
      <c r="AB68" s="216">
        <f t="shared" si="2"/>
        <v>0</v>
      </c>
      <c r="AC68" s="216">
        <f t="shared" si="2"/>
        <v>1.1641532182693481E-9</v>
      </c>
      <c r="AD68" s="216">
        <f t="shared" si="2"/>
        <v>0</v>
      </c>
      <c r="AE68" s="216">
        <f t="shared" si="2"/>
        <v>0</v>
      </c>
      <c r="AF68" s="216">
        <f t="shared" si="2"/>
        <v>0</v>
      </c>
      <c r="AG68" s="216">
        <f t="shared" si="2"/>
        <v>0</v>
      </c>
      <c r="AH68" s="216">
        <f t="shared" si="2"/>
        <v>0</v>
      </c>
      <c r="AI68" s="216">
        <f t="shared" si="2"/>
        <v>0</v>
      </c>
      <c r="AJ68" s="216">
        <f t="shared" si="2"/>
        <v>0</v>
      </c>
      <c r="AK68" s="216">
        <f t="shared" si="2"/>
        <v>0</v>
      </c>
      <c r="AL68" s="216">
        <f t="shared" si="2"/>
        <v>0</v>
      </c>
      <c r="AM68" s="216">
        <f t="shared" si="2"/>
        <v>0</v>
      </c>
      <c r="AN68" s="216">
        <f t="shared" si="2"/>
        <v>0</v>
      </c>
      <c r="AO68" s="216">
        <f t="shared" si="2"/>
        <v>-1.6763806343078613E-8</v>
      </c>
      <c r="AP68" s="216">
        <f t="shared" si="2"/>
        <v>0</v>
      </c>
      <c r="AQ68" s="216">
        <f t="shared" si="2"/>
        <v>0</v>
      </c>
      <c r="AR68" s="216">
        <f t="shared" si="2"/>
        <v>0</v>
      </c>
      <c r="AS68" s="216">
        <f t="shared" si="2"/>
        <v>0</v>
      </c>
      <c r="AT68" s="216">
        <f t="shared" si="2"/>
        <v>-11738236.32</v>
      </c>
      <c r="AU68" s="216">
        <f t="shared" si="2"/>
        <v>0</v>
      </c>
      <c r="AV68" s="216">
        <f t="shared" si="2"/>
        <v>0</v>
      </c>
      <c r="AW68" s="216">
        <f t="shared" si="2"/>
        <v>0</v>
      </c>
      <c r="AX68" s="216">
        <f t="shared" si="2"/>
        <v>0</v>
      </c>
    </row>
    <row r="69" spans="1:50">
      <c r="A69" s="213"/>
      <c r="D69" s="200"/>
      <c r="E69" s="200"/>
      <c r="F69" s="200"/>
      <c r="G69" s="200"/>
      <c r="H69" s="200"/>
      <c r="I69" s="200"/>
      <c r="J69" s="200"/>
      <c r="K69" s="200"/>
      <c r="L69" s="200"/>
      <c r="M69" s="200"/>
      <c r="N69" s="200"/>
      <c r="O69" s="200"/>
      <c r="P69" s="200"/>
      <c r="Q69" s="200"/>
      <c r="R69" s="200"/>
      <c r="S69" s="200"/>
      <c r="T69" s="200"/>
      <c r="U69" s="200"/>
      <c r="V69" s="200"/>
      <c r="W69" s="200"/>
      <c r="X69" s="200"/>
      <c r="Y69" s="200"/>
      <c r="Z69" s="200"/>
      <c r="AA69" s="200"/>
      <c r="AB69" s="200"/>
      <c r="AC69" s="200"/>
      <c r="AD69" s="200"/>
      <c r="AE69" s="200"/>
      <c r="AF69" s="200"/>
      <c r="AG69" s="200"/>
      <c r="AH69" s="200"/>
      <c r="AI69" s="200"/>
      <c r="AJ69" s="200"/>
      <c r="AK69" s="200"/>
      <c r="AL69" s="200"/>
      <c r="AM69" s="200"/>
      <c r="AN69" s="200"/>
      <c r="AO69" s="200"/>
      <c r="AP69" s="200"/>
      <c r="AQ69" s="200"/>
      <c r="AR69" s="200"/>
      <c r="AS69" s="200"/>
      <c r="AT69" s="200"/>
      <c r="AU69" s="200"/>
      <c r="AV69" s="200"/>
      <c r="AW69" s="200"/>
      <c r="AX69" s="200"/>
    </row>
    <row r="70" spans="1:50">
      <c r="A70" s="211" t="s">
        <v>1035</v>
      </c>
      <c r="B70" s="195">
        <v>0</v>
      </c>
      <c r="C70" s="195">
        <f>SUM(C69:C69)</f>
        <v>0</v>
      </c>
      <c r="D70" s="200"/>
      <c r="E70" s="200"/>
      <c r="F70" s="200"/>
      <c r="G70" s="200"/>
      <c r="H70" s="200"/>
      <c r="I70" s="200"/>
      <c r="J70" s="200"/>
      <c r="K70" s="200"/>
      <c r="L70" s="200"/>
      <c r="M70" s="200"/>
      <c r="N70" s="200"/>
      <c r="O70" s="200"/>
      <c r="P70" s="200"/>
      <c r="Q70" s="200"/>
      <c r="R70" s="200"/>
      <c r="S70" s="200"/>
      <c r="T70" s="200"/>
      <c r="U70" s="200"/>
      <c r="V70" s="200"/>
      <c r="W70" s="200"/>
      <c r="X70" s="200"/>
      <c r="Y70" s="200"/>
      <c r="Z70" s="200"/>
      <c r="AA70" s="200"/>
      <c r="AB70" s="200"/>
      <c r="AC70" s="200"/>
      <c r="AD70" s="200"/>
      <c r="AE70" s="200"/>
      <c r="AF70" s="200"/>
      <c r="AG70" s="200"/>
      <c r="AH70" s="200"/>
      <c r="AI70" s="200"/>
      <c r="AJ70" s="200"/>
      <c r="AK70" s="200"/>
      <c r="AL70" s="200"/>
      <c r="AM70" s="200"/>
      <c r="AN70" s="200"/>
      <c r="AO70" s="200"/>
      <c r="AP70" s="200"/>
      <c r="AQ70" s="200"/>
      <c r="AR70" s="200"/>
      <c r="AS70" s="200"/>
      <c r="AT70" s="200"/>
      <c r="AU70" s="200"/>
      <c r="AV70" s="200"/>
      <c r="AW70" s="200"/>
      <c r="AX70" s="200"/>
    </row>
    <row r="71" spans="1:50">
      <c r="A71" s="213" t="s">
        <v>208</v>
      </c>
      <c r="B71" s="195">
        <v>-11043784.403999927</v>
      </c>
      <c r="C71" s="195">
        <f t="shared" ref="C71:C88" si="3">SUM(D71:AX71)</f>
        <v>28500190.793500029</v>
      </c>
      <c r="D71" s="200"/>
      <c r="E71" s="200"/>
      <c r="F71" s="200"/>
      <c r="G71" s="200"/>
      <c r="H71" s="200"/>
      <c r="I71" s="200"/>
      <c r="J71" s="200"/>
      <c r="K71" s="200"/>
      <c r="L71" s="200"/>
      <c r="M71" s="200"/>
      <c r="N71" s="200"/>
      <c r="O71" s="200"/>
      <c r="P71" s="200"/>
      <c r="Q71" s="200"/>
      <c r="R71" s="200"/>
      <c r="S71" s="200"/>
      <c r="T71" s="200"/>
      <c r="U71" s="200"/>
      <c r="V71" s="200"/>
      <c r="W71" s="200"/>
      <c r="X71" s="200"/>
      <c r="Y71" s="200"/>
      <c r="Z71" s="200"/>
      <c r="AA71" s="200"/>
      <c r="AB71" s="200"/>
      <c r="AC71" s="200"/>
      <c r="AD71" s="200"/>
      <c r="AE71" s="200"/>
      <c r="AF71" s="200"/>
      <c r="AG71" s="200"/>
      <c r="AH71" s="200"/>
      <c r="AI71" s="200"/>
      <c r="AJ71" s="200">
        <f>AJ28</f>
        <v>0</v>
      </c>
      <c r="AK71" s="200">
        <f>AK28</f>
        <v>346098.96350001171</v>
      </c>
      <c r="AL71" s="200"/>
      <c r="AM71" s="200">
        <f>-AM6</f>
        <v>475610380.38999999</v>
      </c>
      <c r="AN71" s="200">
        <f>-AN6</f>
        <v>-3196464.63</v>
      </c>
      <c r="AO71" s="200">
        <f>-AO6</f>
        <v>-375931417.95000005</v>
      </c>
      <c r="AP71" s="200">
        <f>-AP6</f>
        <v>-14871452.65</v>
      </c>
      <c r="AQ71" s="200">
        <f>-AQ6-AQ76</f>
        <v>-43596197.479999997</v>
      </c>
      <c r="AR71" s="200">
        <f t="shared" ref="AR71:AX71" si="4">-AR6</f>
        <v>0</v>
      </c>
      <c r="AS71" s="200">
        <f t="shared" si="4"/>
        <v>-8695612.4600000009</v>
      </c>
      <c r="AT71" s="200">
        <f t="shared" si="4"/>
        <v>0</v>
      </c>
      <c r="AU71" s="200">
        <f t="shared" si="4"/>
        <v>65636.78</v>
      </c>
      <c r="AV71" s="200">
        <f t="shared" si="4"/>
        <v>-311493.86999999918</v>
      </c>
      <c r="AW71" s="200">
        <f t="shared" si="4"/>
        <v>-573187.34000000008</v>
      </c>
      <c r="AX71" s="200">
        <f t="shared" si="4"/>
        <v>-346098.95999993896</v>
      </c>
    </row>
    <row r="72" spans="1:50">
      <c r="A72" s="213" t="s">
        <v>209</v>
      </c>
      <c r="B72" s="195">
        <v>0</v>
      </c>
      <c r="C72" s="195">
        <f t="shared" si="3"/>
        <v>0</v>
      </c>
      <c r="D72" s="200"/>
      <c r="E72" s="200"/>
      <c r="F72" s="200"/>
      <c r="G72" s="200"/>
      <c r="H72" s="200"/>
      <c r="I72" s="200"/>
      <c r="J72" s="200"/>
      <c r="K72" s="200"/>
      <c r="L72" s="200"/>
      <c r="M72" s="200"/>
      <c r="N72" s="200"/>
      <c r="O72" s="200"/>
      <c r="P72" s="200"/>
      <c r="Q72" s="200"/>
      <c r="R72" s="200"/>
      <c r="S72" s="200"/>
      <c r="T72" s="200"/>
      <c r="U72" s="200"/>
      <c r="V72" s="200"/>
      <c r="W72" s="200"/>
      <c r="X72" s="200"/>
      <c r="Y72" s="200"/>
      <c r="Z72" s="200"/>
      <c r="AA72" s="200"/>
      <c r="AB72" s="200"/>
      <c r="AC72" s="200"/>
      <c r="AD72" s="200"/>
      <c r="AE72" s="200"/>
      <c r="AF72" s="200"/>
      <c r="AG72" s="200"/>
      <c r="AH72" s="200"/>
      <c r="AI72" s="200"/>
      <c r="AJ72" s="200"/>
      <c r="AK72" s="200"/>
      <c r="AL72" s="200"/>
      <c r="AM72" s="200"/>
      <c r="AN72" s="200"/>
      <c r="AO72" s="200"/>
      <c r="AP72" s="200"/>
      <c r="AQ72" s="200"/>
      <c r="AR72" s="200"/>
      <c r="AS72" s="200"/>
      <c r="AT72" s="200"/>
      <c r="AU72" s="200"/>
      <c r="AV72" s="200"/>
      <c r="AW72" s="200"/>
      <c r="AX72" s="200"/>
    </row>
    <row r="73" spans="1:50">
      <c r="A73" s="213" t="s">
        <v>210</v>
      </c>
      <c r="B73" s="195">
        <v>0</v>
      </c>
      <c r="C73" s="195">
        <f t="shared" si="3"/>
        <v>0</v>
      </c>
      <c r="D73" s="200"/>
      <c r="E73" s="200"/>
      <c r="F73" s="200"/>
      <c r="G73" s="200"/>
      <c r="H73" s="200"/>
      <c r="I73" s="200"/>
      <c r="J73" s="200"/>
      <c r="K73" s="200"/>
      <c r="L73" s="200"/>
      <c r="M73" s="200"/>
      <c r="N73" s="200"/>
      <c r="O73" s="200"/>
      <c r="P73" s="200"/>
      <c r="Q73" s="200"/>
      <c r="R73" s="200"/>
      <c r="S73" s="200"/>
      <c r="T73" s="200"/>
      <c r="U73" s="200"/>
      <c r="V73" s="200"/>
      <c r="W73" s="200"/>
      <c r="X73" s="200"/>
      <c r="Y73" s="200"/>
      <c r="Z73" s="200"/>
      <c r="AA73" s="200"/>
      <c r="AB73" s="200"/>
      <c r="AC73" s="200"/>
      <c r="AD73" s="200"/>
      <c r="AE73" s="200"/>
      <c r="AF73" s="200"/>
      <c r="AG73" s="200"/>
      <c r="AH73" s="200"/>
      <c r="AI73" s="200"/>
      <c r="AJ73" s="200"/>
      <c r="AK73" s="200"/>
      <c r="AL73" s="200"/>
      <c r="AM73" s="200"/>
      <c r="AN73" s="200"/>
      <c r="AO73" s="200"/>
      <c r="AP73" s="200"/>
      <c r="AQ73" s="200"/>
      <c r="AR73" s="200"/>
      <c r="AS73" s="200"/>
      <c r="AT73" s="200"/>
      <c r="AU73" s="200"/>
      <c r="AV73" s="200"/>
      <c r="AW73" s="200"/>
      <c r="AX73" s="200"/>
    </row>
    <row r="74" spans="1:50">
      <c r="A74" s="213" t="s">
        <v>211</v>
      </c>
      <c r="B74" s="195">
        <v>3174138.6399999997</v>
      </c>
      <c r="C74" s="195">
        <f t="shared" si="3"/>
        <v>8695612.4600000009</v>
      </c>
      <c r="D74" s="200"/>
      <c r="E74" s="200"/>
      <c r="F74" s="200"/>
      <c r="G74" s="200"/>
      <c r="H74" s="200">
        <f>-H6</f>
        <v>0</v>
      </c>
      <c r="I74" s="200"/>
      <c r="J74" s="200"/>
      <c r="K74" s="200">
        <f>K19</f>
        <v>8695612.4600000009</v>
      </c>
      <c r="L74" s="200"/>
      <c r="M74" s="200"/>
      <c r="N74" s="200"/>
      <c r="O74" s="200">
        <f>O23</f>
        <v>0</v>
      </c>
      <c r="P74" s="200"/>
      <c r="Q74" s="200"/>
      <c r="R74" s="200"/>
      <c r="S74" s="200"/>
      <c r="T74" s="200"/>
      <c r="U74" s="200"/>
      <c r="V74" s="200"/>
      <c r="W74" s="200"/>
      <c r="X74" s="200"/>
      <c r="Y74" s="200"/>
      <c r="Z74" s="200"/>
      <c r="AA74" s="200"/>
      <c r="AB74" s="200"/>
      <c r="AC74" s="200"/>
      <c r="AD74" s="200"/>
      <c r="AE74" s="200"/>
      <c r="AF74" s="200"/>
      <c r="AG74" s="200"/>
      <c r="AH74" s="200"/>
      <c r="AI74" s="200"/>
      <c r="AJ74" s="200"/>
      <c r="AK74" s="200"/>
      <c r="AL74" s="200"/>
      <c r="AM74" s="200"/>
      <c r="AN74" s="200"/>
      <c r="AO74" s="200"/>
      <c r="AP74" s="200"/>
      <c r="AQ74" s="200"/>
      <c r="AR74" s="200"/>
      <c r="AS74" s="200"/>
      <c r="AT74" s="200"/>
      <c r="AU74" s="200"/>
      <c r="AV74" s="200"/>
      <c r="AW74" s="200"/>
      <c r="AX74" s="200"/>
    </row>
    <row r="75" spans="1:50">
      <c r="A75" s="213" t="s">
        <v>212</v>
      </c>
      <c r="B75" s="195">
        <v>24140556.080000013</v>
      </c>
      <c r="C75" s="195">
        <f t="shared" si="3"/>
        <v>26433833.559999984</v>
      </c>
      <c r="D75" s="200"/>
      <c r="E75" s="200"/>
      <c r="F75" s="200"/>
      <c r="G75" s="200"/>
      <c r="H75" s="200"/>
      <c r="I75" s="200"/>
      <c r="J75" s="200"/>
      <c r="K75" s="200"/>
      <c r="L75" s="200"/>
      <c r="M75" s="200"/>
      <c r="N75" s="200"/>
      <c r="O75" s="200"/>
      <c r="P75" s="200"/>
      <c r="Q75" s="200">
        <f>Q27</f>
        <v>26433833.559999984</v>
      </c>
      <c r="R75" s="200"/>
      <c r="S75" s="200"/>
      <c r="T75" s="200"/>
      <c r="U75" s="200"/>
      <c r="V75" s="200"/>
      <c r="W75" s="200"/>
      <c r="X75" s="200"/>
      <c r="Y75" s="200"/>
      <c r="Z75" s="200"/>
      <c r="AA75" s="200"/>
      <c r="AB75" s="200"/>
      <c r="AC75" s="200"/>
      <c r="AD75" s="200"/>
      <c r="AE75" s="200"/>
      <c r="AF75" s="200"/>
      <c r="AG75" s="200"/>
      <c r="AH75" s="200"/>
      <c r="AI75" s="200"/>
      <c r="AJ75" s="200"/>
      <c r="AK75" s="200"/>
      <c r="AL75" s="200"/>
      <c r="AM75" s="200"/>
      <c r="AN75" s="200"/>
      <c r="AO75" s="200">
        <f>-AO42</f>
        <v>0</v>
      </c>
      <c r="AP75" s="200"/>
      <c r="AQ75" s="200"/>
      <c r="AR75" s="200"/>
      <c r="AS75" s="200"/>
      <c r="AT75" s="200"/>
      <c r="AU75" s="200"/>
      <c r="AV75" s="200"/>
      <c r="AW75" s="200"/>
      <c r="AX75" s="200"/>
    </row>
    <row r="76" spans="1:50">
      <c r="A76" s="213" t="s">
        <v>213</v>
      </c>
      <c r="B76" s="195">
        <v>1135786.69</v>
      </c>
      <c r="C76" s="195">
        <f t="shared" si="3"/>
        <v>1173398.8800000027</v>
      </c>
      <c r="D76" s="200"/>
      <c r="E76" s="200"/>
      <c r="F76" s="200"/>
      <c r="G76" s="200"/>
      <c r="H76" s="200"/>
      <c r="I76" s="200"/>
      <c r="J76" s="200"/>
      <c r="K76" s="200"/>
      <c r="L76" s="200"/>
      <c r="M76" s="200"/>
      <c r="N76" s="200"/>
      <c r="O76" s="200"/>
      <c r="P76" s="200"/>
      <c r="Q76" s="200"/>
      <c r="R76" s="200"/>
      <c r="S76" s="200">
        <f>S22</f>
        <v>1173398.8800000027</v>
      </c>
      <c r="T76" s="200">
        <f>T22</f>
        <v>0</v>
      </c>
      <c r="U76" s="200"/>
      <c r="V76" s="200"/>
      <c r="W76" s="200"/>
      <c r="X76" s="200"/>
      <c r="Y76" s="200"/>
      <c r="Z76" s="200"/>
      <c r="AA76" s="200"/>
      <c r="AB76" s="200"/>
      <c r="AC76" s="200"/>
      <c r="AD76" s="200"/>
      <c r="AE76" s="200"/>
      <c r="AF76" s="200"/>
      <c r="AG76" s="200"/>
      <c r="AH76" s="200"/>
      <c r="AI76" s="200"/>
      <c r="AJ76" s="200"/>
      <c r="AK76" s="200"/>
      <c r="AL76" s="200"/>
      <c r="AM76" s="200"/>
      <c r="AN76" s="200"/>
      <c r="AO76" s="200"/>
      <c r="AP76" s="200"/>
      <c r="AQ76" s="200"/>
      <c r="AR76" s="200"/>
      <c r="AS76" s="200"/>
      <c r="AT76" s="200"/>
      <c r="AU76" s="200"/>
      <c r="AV76" s="200"/>
      <c r="AW76" s="200"/>
      <c r="AX76" s="200"/>
    </row>
    <row r="77" spans="1:50">
      <c r="A77" s="213" t="s">
        <v>214</v>
      </c>
      <c r="B77" s="195">
        <v>0</v>
      </c>
      <c r="C77" s="195">
        <f t="shared" si="3"/>
        <v>0</v>
      </c>
      <c r="D77" s="200"/>
      <c r="E77" s="200"/>
      <c r="F77" s="200"/>
      <c r="G77" s="200"/>
      <c r="H77" s="200"/>
      <c r="I77" s="200"/>
      <c r="J77" s="200"/>
      <c r="K77" s="200"/>
      <c r="L77" s="200"/>
      <c r="M77" s="200"/>
      <c r="N77" s="200"/>
      <c r="O77" s="200"/>
      <c r="P77" s="200"/>
      <c r="Q77" s="200"/>
      <c r="R77" s="68">
        <f>R21</f>
        <v>0</v>
      </c>
      <c r="S77" s="200"/>
      <c r="T77" s="200"/>
      <c r="U77" s="200"/>
      <c r="V77" s="200"/>
      <c r="W77" s="200"/>
      <c r="X77" s="200"/>
      <c r="Y77" s="200"/>
      <c r="Z77" s="200"/>
      <c r="AA77" s="200"/>
      <c r="AB77" s="68"/>
      <c r="AC77" s="200"/>
      <c r="AD77" s="200"/>
      <c r="AE77" s="200"/>
      <c r="AF77" s="200"/>
      <c r="AG77" s="200"/>
      <c r="AH77" s="200"/>
      <c r="AI77" s="200"/>
      <c r="AJ77" s="200"/>
      <c r="AK77" s="200"/>
      <c r="AL77" s="200"/>
      <c r="AM77" s="200"/>
      <c r="AN77" s="200"/>
      <c r="AO77" s="200"/>
      <c r="AP77" s="200"/>
      <c r="AQ77" s="200"/>
      <c r="AR77" s="200"/>
      <c r="AS77" s="200"/>
      <c r="AT77" s="200"/>
      <c r="AU77" s="200"/>
      <c r="AV77" s="200"/>
      <c r="AW77" s="200"/>
      <c r="AX77" s="200"/>
    </row>
    <row r="78" spans="1:50">
      <c r="A78" s="213" t="s">
        <v>215</v>
      </c>
      <c r="B78" s="195">
        <v>0</v>
      </c>
      <c r="C78" s="195">
        <f t="shared" si="3"/>
        <v>0</v>
      </c>
      <c r="D78" s="200"/>
      <c r="E78" s="200"/>
      <c r="F78" s="200"/>
      <c r="G78" s="200"/>
      <c r="H78" s="200"/>
      <c r="I78" s="200"/>
      <c r="J78" s="200"/>
      <c r="K78" s="200"/>
      <c r="L78" s="200"/>
      <c r="M78" s="200">
        <f>-M6</f>
        <v>0</v>
      </c>
      <c r="N78" s="200"/>
      <c r="O78" s="200"/>
      <c r="P78" s="200"/>
      <c r="Q78" s="200"/>
      <c r="R78" s="200"/>
      <c r="S78" s="200"/>
      <c r="T78" s="200"/>
      <c r="U78" s="200"/>
      <c r="V78" s="200"/>
      <c r="W78" s="200"/>
      <c r="X78" s="200"/>
      <c r="Y78" s="200"/>
      <c r="Z78" s="200"/>
      <c r="AA78" s="200"/>
      <c r="AB78" s="200"/>
      <c r="AC78" s="200"/>
      <c r="AD78" s="200"/>
      <c r="AE78" s="200"/>
      <c r="AF78" s="200"/>
      <c r="AG78" s="200"/>
      <c r="AH78" s="200"/>
      <c r="AI78" s="200"/>
      <c r="AJ78" s="200"/>
      <c r="AK78" s="200"/>
      <c r="AL78" s="200"/>
      <c r="AM78" s="200"/>
      <c r="AN78" s="200"/>
      <c r="AO78" s="200"/>
      <c r="AP78" s="200"/>
      <c r="AQ78" s="200"/>
      <c r="AR78" s="200"/>
      <c r="AS78" s="200"/>
      <c r="AT78" s="200"/>
      <c r="AU78" s="200"/>
      <c r="AV78" s="200"/>
      <c r="AW78" s="200"/>
      <c r="AX78" s="200"/>
    </row>
    <row r="79" spans="1:50">
      <c r="A79" s="213" t="s">
        <v>216</v>
      </c>
      <c r="B79" s="195">
        <v>0</v>
      </c>
      <c r="C79" s="195">
        <f t="shared" si="3"/>
        <v>0</v>
      </c>
      <c r="D79" s="200"/>
      <c r="E79" s="200"/>
      <c r="F79" s="200"/>
      <c r="G79" s="200"/>
      <c r="H79" s="200"/>
      <c r="I79" s="200"/>
      <c r="J79" s="200"/>
      <c r="K79" s="200"/>
      <c r="L79" s="200"/>
      <c r="M79" s="200"/>
      <c r="N79" s="200"/>
      <c r="O79" s="200"/>
      <c r="P79" s="200"/>
      <c r="Q79" s="200"/>
      <c r="R79" s="200"/>
      <c r="S79" s="200"/>
      <c r="T79" s="200"/>
      <c r="U79" s="200"/>
      <c r="V79" s="200"/>
      <c r="W79" s="200"/>
      <c r="X79" s="200"/>
      <c r="Y79" s="200"/>
      <c r="Z79" s="200"/>
      <c r="AA79" s="200"/>
      <c r="AB79" s="200"/>
      <c r="AC79" s="200"/>
      <c r="AD79" s="200">
        <f>-AD6-AD57</f>
        <v>0</v>
      </c>
      <c r="AE79" s="200"/>
      <c r="AF79" s="200"/>
      <c r="AG79" s="200"/>
      <c r="AH79" s="200"/>
      <c r="AI79" s="200"/>
      <c r="AJ79" s="200"/>
      <c r="AK79" s="200"/>
      <c r="AL79" s="200"/>
      <c r="AM79" s="200"/>
      <c r="AN79" s="200"/>
      <c r="AO79" s="200"/>
      <c r="AP79" s="200"/>
      <c r="AQ79" s="200"/>
      <c r="AR79" s="200"/>
      <c r="AS79" s="200"/>
      <c r="AT79" s="200"/>
      <c r="AU79" s="200"/>
      <c r="AV79" s="200"/>
      <c r="AW79" s="200"/>
      <c r="AX79" s="200"/>
    </row>
    <row r="80" spans="1:50">
      <c r="A80" s="213" t="s">
        <v>217</v>
      </c>
      <c r="B80" s="195">
        <v>750000</v>
      </c>
      <c r="C80" s="195">
        <f t="shared" si="3"/>
        <v>233953.75</v>
      </c>
      <c r="D80" s="200"/>
      <c r="E80" s="200"/>
      <c r="F80" s="200"/>
      <c r="G80" s="200"/>
      <c r="H80" s="200"/>
      <c r="I80" s="200"/>
      <c r="J80" s="200"/>
      <c r="K80" s="200"/>
      <c r="L80" s="200"/>
      <c r="M80" s="200"/>
      <c r="N80" s="200"/>
      <c r="O80" s="200"/>
      <c r="P80" s="200"/>
      <c r="Q80" s="200"/>
      <c r="R80" s="200"/>
      <c r="S80" s="200"/>
      <c r="T80" s="200"/>
      <c r="U80" s="200"/>
      <c r="V80" s="200"/>
      <c r="W80" s="200"/>
      <c r="X80" s="200"/>
      <c r="Y80" s="200"/>
      <c r="Z80" s="200"/>
      <c r="AA80" s="200"/>
      <c r="AB80" s="200"/>
      <c r="AC80" s="200"/>
      <c r="AD80" s="200"/>
      <c r="AE80" s="200"/>
      <c r="AF80" s="200"/>
      <c r="AG80" s="200"/>
      <c r="AH80" s="200"/>
      <c r="AI80" s="200"/>
      <c r="AJ80" s="200"/>
      <c r="AK80" s="200"/>
      <c r="AL80" s="200"/>
      <c r="AM80" s="200"/>
      <c r="AN80" s="200"/>
      <c r="AO80" s="200"/>
      <c r="AP80" s="200"/>
      <c r="AQ80" s="200"/>
      <c r="AR80" s="200"/>
      <c r="AS80" s="200"/>
      <c r="AT80" s="200">
        <f>-(AT38)</f>
        <v>0</v>
      </c>
      <c r="AU80" s="200">
        <f>-(AU38)</f>
        <v>-4310.34</v>
      </c>
      <c r="AV80" s="200">
        <f>-(AV38)</f>
        <v>238264.09</v>
      </c>
      <c r="AW80" s="200"/>
      <c r="AX80" s="200"/>
    </row>
    <row r="81" spans="1:50">
      <c r="A81" s="213" t="s">
        <v>1040</v>
      </c>
      <c r="B81" s="195">
        <v>0</v>
      </c>
      <c r="C81" s="195">
        <f t="shared" si="3"/>
        <v>0</v>
      </c>
      <c r="D81" s="200"/>
      <c r="E81" s="200"/>
      <c r="F81" s="200"/>
      <c r="G81" s="200"/>
      <c r="H81" s="200"/>
      <c r="I81" s="200"/>
      <c r="J81" s="200">
        <f>J20</f>
        <v>881852.68</v>
      </c>
      <c r="K81" s="200">
        <f>K20</f>
        <v>-881852.68</v>
      </c>
      <c r="L81" s="200"/>
      <c r="M81" s="200"/>
      <c r="N81" s="200"/>
      <c r="O81" s="200"/>
      <c r="P81" s="200"/>
      <c r="Q81" s="200"/>
      <c r="R81" s="200"/>
      <c r="S81" s="200"/>
      <c r="T81" s="200"/>
      <c r="U81" s="200"/>
      <c r="V81" s="200"/>
      <c r="W81" s="200"/>
      <c r="X81" s="200"/>
      <c r="Y81" s="200"/>
      <c r="Z81" s="200"/>
      <c r="AA81" s="200"/>
      <c r="AB81" s="200"/>
      <c r="AC81" s="200"/>
      <c r="AD81" s="200"/>
      <c r="AE81" s="200"/>
      <c r="AF81" s="200"/>
      <c r="AG81" s="200"/>
      <c r="AH81" s="200"/>
      <c r="AI81" s="200"/>
      <c r="AJ81" s="200"/>
      <c r="AK81" s="200"/>
      <c r="AL81" s="200"/>
      <c r="AM81" s="200"/>
      <c r="AN81" s="200"/>
      <c r="AO81" s="200"/>
      <c r="AP81" s="200"/>
      <c r="AQ81" s="200"/>
      <c r="AR81" s="200"/>
      <c r="AS81" s="200"/>
      <c r="AT81" s="200"/>
      <c r="AU81" s="200"/>
      <c r="AV81" s="200"/>
      <c r="AW81" s="200"/>
      <c r="AX81" s="200"/>
    </row>
    <row r="82" spans="1:50" s="225" customFormat="1">
      <c r="A82" s="303" t="s">
        <v>218</v>
      </c>
      <c r="B82" s="304">
        <v>8400875.7400000002</v>
      </c>
      <c r="C82" s="304">
        <f t="shared" si="3"/>
        <v>9326210.5600000005</v>
      </c>
      <c r="D82" s="224"/>
      <c r="E82" s="224"/>
      <c r="F82" s="224"/>
      <c r="G82" s="224"/>
      <c r="H82" s="224"/>
      <c r="I82" s="224"/>
      <c r="J82" s="224"/>
      <c r="K82" s="224"/>
      <c r="L82" s="224"/>
      <c r="M82" s="224"/>
      <c r="N82" s="224"/>
      <c r="O82" s="224"/>
      <c r="P82" s="224"/>
      <c r="Q82" s="224"/>
      <c r="R82" s="224"/>
      <c r="S82" s="224"/>
      <c r="T82" s="224"/>
      <c r="U82" s="224"/>
      <c r="V82" s="224"/>
      <c r="W82" s="224"/>
      <c r="X82" s="224"/>
      <c r="Y82" s="224"/>
      <c r="Z82" s="224"/>
      <c r="AA82" s="224"/>
      <c r="AB82" s="224"/>
      <c r="AC82" s="224"/>
      <c r="AD82" s="224"/>
      <c r="AE82" s="224"/>
      <c r="AF82" s="300"/>
      <c r="AG82" s="300"/>
      <c r="AH82" s="224"/>
      <c r="AI82" s="224"/>
      <c r="AJ82" s="224"/>
      <c r="AK82" s="224"/>
      <c r="AL82" s="224"/>
      <c r="AM82" s="224"/>
      <c r="AN82" s="224"/>
      <c r="AO82" s="224"/>
      <c r="AP82" s="224"/>
      <c r="AQ82" s="224"/>
      <c r="AR82" s="224">
        <f>-AR57</f>
        <v>9326210.5600000005</v>
      </c>
      <c r="AS82" s="224"/>
      <c r="AT82" s="224"/>
      <c r="AU82" s="224"/>
      <c r="AV82" s="224"/>
      <c r="AW82" s="224"/>
      <c r="AX82" s="224"/>
    </row>
    <row r="83" spans="1:50" s="225" customFormat="1">
      <c r="A83" s="303" t="s">
        <v>219</v>
      </c>
      <c r="B83" s="304">
        <v>-1297517.49</v>
      </c>
      <c r="C83" s="304">
        <f t="shared" si="3"/>
        <v>0</v>
      </c>
      <c r="D83" s="224"/>
      <c r="E83" s="224"/>
      <c r="F83" s="224"/>
      <c r="G83" s="224"/>
      <c r="H83" s="224"/>
      <c r="I83" s="224"/>
      <c r="J83" s="224"/>
      <c r="K83" s="224"/>
      <c r="L83" s="224"/>
      <c r="M83" s="224"/>
      <c r="N83" s="224"/>
      <c r="O83" s="224"/>
      <c r="P83" s="224"/>
      <c r="Q83" s="224"/>
      <c r="R83" s="224"/>
      <c r="S83" s="224"/>
      <c r="T83" s="224"/>
      <c r="U83" s="224"/>
      <c r="V83" s="224"/>
      <c r="W83" s="224"/>
      <c r="X83" s="224"/>
      <c r="Y83" s="224"/>
      <c r="Z83" s="224"/>
      <c r="AA83" s="224"/>
      <c r="AB83" s="224"/>
      <c r="AC83" s="224"/>
      <c r="AD83" s="224"/>
      <c r="AE83" s="224"/>
      <c r="AF83" s="224"/>
      <c r="AG83" s="224"/>
      <c r="AH83" s="224"/>
      <c r="AI83" s="224"/>
      <c r="AJ83" s="224"/>
      <c r="AK83" s="224"/>
      <c r="AL83" s="224"/>
      <c r="AM83" s="224"/>
      <c r="AN83" s="224"/>
      <c r="AO83" s="224"/>
      <c r="AP83" s="224"/>
      <c r="AQ83" s="224"/>
      <c r="AR83" s="224"/>
      <c r="AS83" s="224"/>
      <c r="AT83" s="224">
        <f>--AT6</f>
        <v>0</v>
      </c>
      <c r="AU83" s="224"/>
      <c r="AV83" s="224"/>
      <c r="AW83" s="224"/>
      <c r="AX83" s="224"/>
    </row>
    <row r="84" spans="1:50">
      <c r="A84" s="213" t="s">
        <v>220</v>
      </c>
      <c r="B84" s="195">
        <v>-4286517.4459999986</v>
      </c>
      <c r="C84" s="195">
        <f t="shared" si="3"/>
        <v>573187.33649999462</v>
      </c>
      <c r="D84" s="200"/>
      <c r="E84" s="200"/>
      <c r="F84" s="200"/>
      <c r="G84" s="200"/>
      <c r="H84" s="200"/>
      <c r="I84" s="200"/>
      <c r="J84" s="200"/>
      <c r="K84" s="200"/>
      <c r="L84" s="200"/>
      <c r="M84" s="200"/>
      <c r="N84" s="200"/>
      <c r="O84" s="200"/>
      <c r="P84" s="200"/>
      <c r="Q84" s="200"/>
      <c r="R84" s="200"/>
      <c r="S84" s="200"/>
      <c r="T84" s="200">
        <f>-T6</f>
        <v>573187.33649999462</v>
      </c>
      <c r="U84" s="200"/>
      <c r="V84" s="200"/>
      <c r="W84" s="200"/>
      <c r="X84" s="200"/>
      <c r="Y84" s="200"/>
      <c r="Z84" s="200"/>
      <c r="AA84" s="200"/>
      <c r="AB84" s="200">
        <f>-AB6</f>
        <v>0</v>
      </c>
      <c r="AC84" s="200"/>
      <c r="AD84" s="200"/>
      <c r="AE84" s="200"/>
      <c r="AF84" s="200"/>
      <c r="AG84" s="200"/>
      <c r="AH84" s="200"/>
      <c r="AI84" s="200"/>
      <c r="AJ84" s="200"/>
      <c r="AK84" s="200"/>
      <c r="AL84" s="200"/>
      <c r="AM84" s="200"/>
      <c r="AN84" s="200"/>
      <c r="AO84" s="200"/>
      <c r="AP84" s="200"/>
      <c r="AQ84" s="200"/>
      <c r="AR84" s="200"/>
      <c r="AS84" s="200"/>
      <c r="AT84" s="200"/>
      <c r="AU84" s="200"/>
      <c r="AV84" s="200"/>
      <c r="AW84" s="200"/>
      <c r="AX84" s="200"/>
    </row>
    <row r="85" spans="1:50">
      <c r="A85" s="213" t="s">
        <v>221</v>
      </c>
      <c r="B85" s="195">
        <v>-12683259.709999993</v>
      </c>
      <c r="C85" s="195">
        <f t="shared" si="3"/>
        <v>-39177584.960000016</v>
      </c>
      <c r="D85" s="200"/>
      <c r="E85" s="200"/>
      <c r="F85" s="200"/>
      <c r="G85" s="200"/>
      <c r="H85" s="200"/>
      <c r="I85" s="200"/>
      <c r="J85" s="200">
        <f>J13</f>
        <v>-39177584.960000016</v>
      </c>
      <c r="K85" s="200"/>
      <c r="L85" s="200"/>
      <c r="M85" s="200"/>
      <c r="N85" s="200"/>
      <c r="O85" s="200"/>
      <c r="P85" s="200"/>
      <c r="Q85" s="200"/>
      <c r="R85" s="200"/>
      <c r="S85" s="200"/>
      <c r="T85" s="200"/>
      <c r="U85" s="200"/>
      <c r="V85" s="200"/>
      <c r="W85" s="200"/>
      <c r="X85" s="200"/>
      <c r="Y85" s="200"/>
      <c r="Z85" s="200"/>
      <c r="AA85" s="200"/>
      <c r="AB85" s="200"/>
      <c r="AC85" s="200"/>
      <c r="AD85" s="200"/>
      <c r="AE85" s="200"/>
      <c r="AF85" s="200"/>
      <c r="AG85" s="200"/>
      <c r="AH85" s="200"/>
      <c r="AI85" s="200"/>
      <c r="AJ85" s="200"/>
      <c r="AK85" s="200"/>
      <c r="AL85" s="200"/>
      <c r="AM85" s="200"/>
      <c r="AN85" s="200"/>
      <c r="AO85" s="200"/>
      <c r="AP85" s="200"/>
      <c r="AQ85" s="200"/>
      <c r="AR85" s="200"/>
      <c r="AS85" s="200"/>
      <c r="AT85" s="200"/>
      <c r="AU85" s="200"/>
      <c r="AV85" s="200"/>
      <c r="AW85" s="200"/>
      <c r="AX85" s="200"/>
    </row>
    <row r="86" spans="1:50">
      <c r="A86" s="213" t="s">
        <v>222</v>
      </c>
      <c r="B86" s="195">
        <v>-50058232.32</v>
      </c>
      <c r="C86" s="195">
        <f t="shared" si="3"/>
        <v>-76436374.310000002</v>
      </c>
      <c r="D86" s="200">
        <f>D16</f>
        <v>0</v>
      </c>
      <c r="E86" s="200">
        <f>E15</f>
        <v>-1976370.4299999997</v>
      </c>
      <c r="F86" s="200">
        <f>-F6</f>
        <v>6395397.0599999987</v>
      </c>
      <c r="G86" s="200">
        <f>-G6</f>
        <v>-64493278.859999999</v>
      </c>
      <c r="H86" s="200"/>
      <c r="I86" s="200">
        <f>-I6</f>
        <v>-17487093.09</v>
      </c>
      <c r="J86" s="68"/>
      <c r="K86" s="200"/>
      <c r="L86" s="200">
        <f>-(L6)</f>
        <v>1124971.0099999998</v>
      </c>
      <c r="M86" s="200"/>
      <c r="N86" s="200"/>
      <c r="O86" s="200"/>
      <c r="P86" s="200"/>
      <c r="Q86" s="200"/>
      <c r="R86" s="200"/>
      <c r="S86" s="200"/>
      <c r="T86" s="200"/>
      <c r="U86" s="200"/>
      <c r="V86" s="200"/>
      <c r="W86" s="200"/>
      <c r="X86" s="200"/>
      <c r="Y86" s="200"/>
      <c r="Z86" s="200"/>
      <c r="AA86" s="200"/>
      <c r="AB86" s="200"/>
      <c r="AC86" s="200"/>
      <c r="AD86" s="200"/>
      <c r="AE86" s="200">
        <f>AE11</f>
        <v>0</v>
      </c>
      <c r="AF86" s="200"/>
      <c r="AG86" s="200"/>
      <c r="AH86" s="200"/>
      <c r="AI86" s="200"/>
      <c r="AJ86" s="200"/>
      <c r="AK86" s="200"/>
      <c r="AL86" s="200"/>
      <c r="AM86" s="200"/>
      <c r="AN86" s="200"/>
      <c r="AO86" s="200"/>
      <c r="AP86" s="200"/>
      <c r="AQ86" s="200"/>
      <c r="AR86" s="200"/>
      <c r="AS86" s="200"/>
      <c r="AT86" s="200"/>
      <c r="AU86" s="200"/>
      <c r="AV86" s="200"/>
      <c r="AW86" s="200"/>
      <c r="AX86" s="200"/>
    </row>
    <row r="87" spans="1:50">
      <c r="A87" s="213" t="s">
        <v>223</v>
      </c>
      <c r="B87" s="195">
        <v>-31031626.940000009</v>
      </c>
      <c r="C87" s="195">
        <f t="shared" si="3"/>
        <v>54550753.800000004</v>
      </c>
      <c r="D87" s="200"/>
      <c r="E87" s="200"/>
      <c r="F87" s="200"/>
      <c r="G87" s="200"/>
      <c r="H87" s="200"/>
      <c r="I87" s="200"/>
      <c r="J87" s="200"/>
      <c r="K87" s="68"/>
      <c r="L87" s="200"/>
      <c r="M87" s="200"/>
      <c r="N87" s="200"/>
      <c r="O87" s="200"/>
      <c r="P87" s="200"/>
      <c r="Q87" s="200"/>
      <c r="R87" s="200"/>
      <c r="S87" s="200"/>
      <c r="T87" s="200"/>
      <c r="U87" s="200"/>
      <c r="V87" s="200"/>
      <c r="W87" s="200">
        <v>0</v>
      </c>
      <c r="X87" s="200">
        <f>X13</f>
        <v>35817070.770000003</v>
      </c>
      <c r="Y87" s="200">
        <f>-(Y6)</f>
        <v>7075837</v>
      </c>
      <c r="Z87" s="200">
        <f>Z11+Z13+Z16</f>
        <v>-12247651.019999996</v>
      </c>
      <c r="AA87" s="200">
        <f>-AA6</f>
        <v>255285.40000000037</v>
      </c>
      <c r="AB87" s="200">
        <f>AB16</f>
        <v>0</v>
      </c>
      <c r="AC87" s="200">
        <f>-AC6-AC42</f>
        <v>18649694.779999997</v>
      </c>
      <c r="AD87" s="200"/>
      <c r="AE87" s="200">
        <f>AE16</f>
        <v>3586516.8699999992</v>
      </c>
      <c r="AF87" s="68"/>
      <c r="AG87" s="68">
        <f>-AG6</f>
        <v>1414000</v>
      </c>
      <c r="AH87" s="200"/>
      <c r="AI87" s="200">
        <f>-AI6</f>
        <v>0</v>
      </c>
      <c r="AJ87" s="200"/>
      <c r="AK87" s="200"/>
      <c r="AL87" s="200"/>
      <c r="AM87" s="200"/>
      <c r="AN87" s="200"/>
      <c r="AO87" s="200"/>
      <c r="AP87" s="200"/>
      <c r="AQ87" s="200"/>
      <c r="AR87" s="200"/>
      <c r="AS87" s="200"/>
      <c r="AT87" s="200"/>
      <c r="AU87" s="200"/>
      <c r="AV87" s="200"/>
      <c r="AW87" s="200"/>
      <c r="AX87" s="200"/>
    </row>
    <row r="88" spans="1:50">
      <c r="A88" s="213" t="s">
        <v>224</v>
      </c>
      <c r="B88" s="217">
        <v>0</v>
      </c>
      <c r="C88" s="217">
        <f t="shared" si="3"/>
        <v>0</v>
      </c>
      <c r="D88" s="200"/>
      <c r="E88" s="200"/>
      <c r="F88" s="200"/>
      <c r="G88" s="200"/>
      <c r="H88" s="200"/>
      <c r="I88" s="200"/>
      <c r="J88" s="200"/>
      <c r="K88" s="200"/>
      <c r="L88" s="200"/>
      <c r="M88" s="200"/>
      <c r="N88" s="200"/>
      <c r="O88" s="200"/>
      <c r="P88" s="200"/>
      <c r="Q88" s="200"/>
      <c r="R88" s="200"/>
      <c r="S88" s="200"/>
      <c r="T88" s="200"/>
      <c r="U88" s="200"/>
      <c r="V88" s="200"/>
      <c r="W88" s="200"/>
      <c r="X88" s="200"/>
      <c r="Y88" s="200"/>
      <c r="Z88" s="200"/>
      <c r="AA88" s="200"/>
      <c r="AB88" s="200"/>
      <c r="AC88" s="200"/>
      <c r="AD88" s="200"/>
      <c r="AE88" s="200"/>
      <c r="AF88" s="200"/>
      <c r="AG88" s="200"/>
      <c r="AH88" s="200"/>
      <c r="AI88" s="200"/>
      <c r="AJ88" s="200">
        <f>AJ29</f>
        <v>0</v>
      </c>
      <c r="AK88" s="200">
        <f>AK29</f>
        <v>0</v>
      </c>
      <c r="AL88" s="200"/>
      <c r="AM88" s="200"/>
      <c r="AN88" s="200"/>
      <c r="AO88" s="200"/>
      <c r="AP88" s="200"/>
      <c r="AQ88" s="200"/>
      <c r="AR88" s="200"/>
      <c r="AS88" s="200"/>
      <c r="AT88" s="200"/>
      <c r="AU88" s="200"/>
      <c r="AV88" s="200"/>
      <c r="AW88" s="200"/>
      <c r="AX88" s="200"/>
    </row>
    <row r="89" spans="1:50">
      <c r="A89" s="213"/>
      <c r="B89" s="217"/>
      <c r="C89" s="217"/>
      <c r="D89" s="200"/>
      <c r="E89" s="200"/>
      <c r="F89" s="200"/>
      <c r="G89" s="200"/>
      <c r="H89" s="200"/>
      <c r="I89" s="200"/>
      <c r="J89" s="200"/>
      <c r="K89" s="200"/>
      <c r="L89" s="200"/>
      <c r="M89" s="200"/>
      <c r="N89" s="200"/>
      <c r="O89" s="200"/>
      <c r="P89" s="200"/>
      <c r="Q89" s="200"/>
      <c r="R89" s="200"/>
      <c r="S89" s="200"/>
      <c r="T89" s="200"/>
      <c r="U89" s="200"/>
      <c r="V89" s="200"/>
      <c r="W89" s="200"/>
      <c r="X89" s="200"/>
      <c r="Y89" s="200"/>
      <c r="Z89" s="200"/>
      <c r="AA89" s="200"/>
      <c r="AB89" s="200"/>
      <c r="AC89" s="200"/>
      <c r="AD89" s="200"/>
      <c r="AE89" s="200"/>
      <c r="AF89" s="200"/>
      <c r="AG89" s="200"/>
      <c r="AH89" s="200"/>
      <c r="AI89" s="200"/>
      <c r="AJ89" s="200"/>
      <c r="AK89" s="200">
        <f>AK30</f>
        <v>0</v>
      </c>
      <c r="AL89" s="200"/>
      <c r="AM89" s="200"/>
      <c r="AN89" s="200"/>
      <c r="AO89" s="200"/>
      <c r="AP89" s="200"/>
      <c r="AQ89" s="200"/>
      <c r="AR89" s="200"/>
      <c r="AS89" s="200"/>
      <c r="AT89" s="200"/>
      <c r="AU89" s="200"/>
      <c r="AV89" s="200"/>
      <c r="AW89" s="200"/>
      <c r="AX89" s="200"/>
    </row>
    <row r="90" spans="1:50" ht="13.8" thickBot="1">
      <c r="A90" s="205" t="s">
        <v>1014</v>
      </c>
      <c r="B90" s="210">
        <v>-72799581.159999907</v>
      </c>
      <c r="C90" s="210">
        <f>SUM(C71:C89)</f>
        <v>13873181.86999999</v>
      </c>
      <c r="D90" s="216">
        <f t="shared" ref="D90:AB90" si="5">SUM(D8:D32)-SUM(D71:D89)</f>
        <v>0</v>
      </c>
      <c r="E90" s="216">
        <f t="shared" si="5"/>
        <v>0</v>
      </c>
      <c r="F90" s="216">
        <f t="shared" si="5"/>
        <v>0</v>
      </c>
      <c r="G90" s="216">
        <f t="shared" si="5"/>
        <v>0</v>
      </c>
      <c r="H90" s="216">
        <f t="shared" si="5"/>
        <v>0</v>
      </c>
      <c r="I90" s="216">
        <f t="shared" si="5"/>
        <v>0</v>
      </c>
      <c r="J90" s="216">
        <f t="shared" si="5"/>
        <v>0</v>
      </c>
      <c r="K90" s="216">
        <f t="shared" si="5"/>
        <v>0</v>
      </c>
      <c r="L90" s="216">
        <f t="shared" si="5"/>
        <v>0</v>
      </c>
      <c r="M90" s="216">
        <f t="shared" si="5"/>
        <v>0</v>
      </c>
      <c r="N90" s="216">
        <f t="shared" si="5"/>
        <v>0</v>
      </c>
      <c r="O90" s="216">
        <f t="shared" si="5"/>
        <v>0</v>
      </c>
      <c r="P90" s="216">
        <f t="shared" si="5"/>
        <v>0</v>
      </c>
      <c r="Q90" s="216">
        <f t="shared" si="5"/>
        <v>0</v>
      </c>
      <c r="R90" s="216">
        <f t="shared" si="5"/>
        <v>0</v>
      </c>
      <c r="S90" s="216">
        <f t="shared" si="5"/>
        <v>0</v>
      </c>
      <c r="T90" s="216">
        <f t="shared" si="5"/>
        <v>0</v>
      </c>
      <c r="U90" s="216">
        <f t="shared" si="5"/>
        <v>0</v>
      </c>
      <c r="V90" s="216">
        <f t="shared" si="5"/>
        <v>0</v>
      </c>
      <c r="W90" s="216">
        <f t="shared" si="5"/>
        <v>0</v>
      </c>
      <c r="X90" s="216">
        <f t="shared" si="5"/>
        <v>0</v>
      </c>
      <c r="Y90" s="216">
        <f t="shared" si="5"/>
        <v>0</v>
      </c>
      <c r="Z90" s="216">
        <f t="shared" si="5"/>
        <v>0</v>
      </c>
      <c r="AA90" s="216">
        <f t="shared" si="5"/>
        <v>0</v>
      </c>
      <c r="AB90" s="216">
        <f t="shared" si="5"/>
        <v>0</v>
      </c>
      <c r="AC90" s="216">
        <f>SUM(AC8:AC26)-SUM(AC71:AC89)</f>
        <v>0</v>
      </c>
      <c r="AD90" s="216">
        <f t="shared" ref="AD90:AX90" si="6">SUM(AD8:AD32)-SUM(AD71:AD89)</f>
        <v>0</v>
      </c>
      <c r="AE90" s="216">
        <f t="shared" si="6"/>
        <v>0</v>
      </c>
      <c r="AF90" s="216">
        <f t="shared" si="6"/>
        <v>0</v>
      </c>
      <c r="AG90" s="216">
        <f t="shared" si="6"/>
        <v>0</v>
      </c>
      <c r="AH90" s="216">
        <f t="shared" si="6"/>
        <v>0</v>
      </c>
      <c r="AI90" s="216">
        <f t="shared" si="6"/>
        <v>0</v>
      </c>
      <c r="AJ90" s="216">
        <f t="shared" si="6"/>
        <v>0</v>
      </c>
      <c r="AK90" s="216">
        <f t="shared" si="6"/>
        <v>0</v>
      </c>
      <c r="AL90" s="216">
        <f t="shared" si="6"/>
        <v>0</v>
      </c>
      <c r="AM90" s="216">
        <f t="shared" si="6"/>
        <v>0</v>
      </c>
      <c r="AN90" s="216">
        <f t="shared" si="6"/>
        <v>0</v>
      </c>
      <c r="AO90" s="216">
        <f t="shared" si="6"/>
        <v>0</v>
      </c>
      <c r="AP90" s="216">
        <f t="shared" si="6"/>
        <v>0</v>
      </c>
      <c r="AQ90" s="216">
        <f t="shared" si="6"/>
        <v>0</v>
      </c>
      <c r="AR90" s="216">
        <f t="shared" si="6"/>
        <v>0</v>
      </c>
      <c r="AS90" s="216">
        <f t="shared" si="6"/>
        <v>0</v>
      </c>
      <c r="AT90" s="216">
        <f t="shared" si="6"/>
        <v>0</v>
      </c>
      <c r="AU90" s="216">
        <f t="shared" si="6"/>
        <v>0</v>
      </c>
      <c r="AV90" s="216">
        <f t="shared" si="6"/>
        <v>0</v>
      </c>
      <c r="AW90" s="216">
        <f t="shared" si="6"/>
        <v>0</v>
      </c>
      <c r="AX90" s="216">
        <f t="shared" si="6"/>
        <v>0</v>
      </c>
    </row>
    <row r="91" spans="1:50" s="195" customFormat="1" ht="13.8" thickTop="1">
      <c r="A91" s="218" t="s">
        <v>225</v>
      </c>
      <c r="B91" s="197"/>
      <c r="C91" s="197"/>
      <c r="D91" s="219"/>
      <c r="E91" s="219"/>
      <c r="F91" s="219"/>
      <c r="G91" s="219"/>
      <c r="H91" s="219"/>
      <c r="I91" s="219"/>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c r="AW91" s="219"/>
      <c r="AX91" s="219"/>
    </row>
    <row r="92" spans="1:50" s="195" customFormat="1">
      <c r="A92" s="218" t="s">
        <v>1355</v>
      </c>
      <c r="B92" s="197">
        <v>0</v>
      </c>
      <c r="C92" s="197">
        <f>C90-C32</f>
        <v>3.5000890493392944E-3</v>
      </c>
      <c r="D92" s="219"/>
      <c r="E92" s="219"/>
      <c r="F92" s="219"/>
      <c r="G92" s="219"/>
      <c r="H92" s="219"/>
      <c r="I92" s="219"/>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c r="AW92" s="219"/>
      <c r="AX92" s="219"/>
    </row>
    <row r="93" spans="1:50" s="195" customFormat="1">
      <c r="D93" s="290"/>
      <c r="E93" s="290"/>
      <c r="F93" s="290"/>
      <c r="G93" s="290"/>
      <c r="H93" s="290"/>
      <c r="I93" s="290"/>
      <c r="J93" s="290"/>
      <c r="K93" s="196"/>
      <c r="L93" s="290"/>
      <c r="M93" s="290"/>
      <c r="N93" s="290"/>
      <c r="O93" s="290"/>
      <c r="P93" s="290"/>
      <c r="Q93" s="290"/>
      <c r="R93" s="290"/>
      <c r="S93" s="290"/>
      <c r="T93" s="290"/>
      <c r="U93" s="290"/>
      <c r="V93" s="290"/>
      <c r="W93" s="290"/>
      <c r="X93" s="290"/>
      <c r="Y93" s="290"/>
      <c r="Z93" s="290"/>
      <c r="AA93" s="290"/>
      <c r="AB93" s="290"/>
      <c r="AC93" s="290"/>
      <c r="AD93" s="290"/>
      <c r="AE93" s="290"/>
      <c r="AF93" s="290"/>
      <c r="AG93" s="290"/>
      <c r="AH93" s="290"/>
      <c r="AI93" s="290"/>
      <c r="AJ93" s="290"/>
      <c r="AK93" s="290"/>
      <c r="AL93" s="290"/>
      <c r="AM93" s="290"/>
      <c r="AN93" s="290"/>
      <c r="AO93" s="290"/>
      <c r="AP93" s="290"/>
      <c r="AQ93" s="290"/>
      <c r="AR93" s="290"/>
      <c r="AS93" s="290"/>
      <c r="AT93" s="290"/>
      <c r="AU93" s="290"/>
      <c r="AV93" s="290"/>
      <c r="AW93" s="290"/>
      <c r="AX93" s="290"/>
    </row>
    <row r="94" spans="1:50" s="195" customFormat="1">
      <c r="D94" s="290"/>
      <c r="E94" s="290"/>
      <c r="F94" s="290"/>
      <c r="G94" s="290"/>
      <c r="H94" s="290"/>
      <c r="I94" s="290"/>
      <c r="J94" s="290"/>
      <c r="K94" s="196"/>
      <c r="L94" s="290"/>
      <c r="M94" s="290"/>
      <c r="N94" s="290"/>
      <c r="O94" s="290"/>
      <c r="P94" s="290"/>
      <c r="Q94" s="290"/>
      <c r="R94" s="290"/>
      <c r="S94" s="290"/>
      <c r="T94" s="290"/>
      <c r="U94" s="290"/>
      <c r="V94" s="290"/>
      <c r="W94" s="290"/>
      <c r="X94" s="290"/>
      <c r="Y94" s="290"/>
      <c r="Z94" s="290"/>
      <c r="AA94" s="290"/>
      <c r="AB94" s="290"/>
      <c r="AC94" s="290"/>
      <c r="AD94" s="290"/>
      <c r="AE94" s="290"/>
      <c r="AF94" s="290"/>
      <c r="AG94" s="290"/>
      <c r="AH94" s="290"/>
      <c r="AI94" s="290"/>
      <c r="AJ94" s="290"/>
      <c r="AK94" s="290"/>
      <c r="AL94" s="290"/>
      <c r="AM94" s="290"/>
      <c r="AN94" s="290"/>
      <c r="AO94" s="290"/>
      <c r="AP94" s="290"/>
      <c r="AQ94" s="290"/>
      <c r="AR94" s="290"/>
      <c r="AS94" s="290"/>
      <c r="AT94" s="290"/>
      <c r="AU94" s="290"/>
      <c r="AV94" s="290"/>
      <c r="AW94" s="290"/>
      <c r="AX94" s="290"/>
    </row>
  </sheetData>
  <mergeCells count="1">
    <mergeCell ref="G2:H2"/>
  </mergeCells>
  <phoneticPr fontId="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AQ15" sqref="AQ15"/>
    </sheetView>
  </sheetViews>
  <sheetFormatPr defaultColWidth="9.109375" defaultRowHeight="13.15"/>
  <cols>
    <col min="1" max="1" width="31.6640625" style="297" customWidth="1"/>
    <col min="2" max="2" width="13.33203125" style="87" customWidth="1"/>
    <col min="3" max="16384" width="9.109375" style="87"/>
  </cols>
  <sheetData>
    <row r="1" spans="1:2">
      <c r="A1" s="295" t="s">
        <v>1338</v>
      </c>
      <c r="B1" s="293">
        <f>'PRC Spreadsheet-2020.06.30'!S93</f>
        <v>-27643085.98999998</v>
      </c>
    </row>
    <row r="2" spans="1:2">
      <c r="A2" s="295" t="s">
        <v>1339</v>
      </c>
      <c r="B2" s="293">
        <f>'PRC Spreadsheet-2020.06.30'!S95</f>
        <v>-1105072.0599999577</v>
      </c>
    </row>
    <row r="3" spans="1:2">
      <c r="A3" s="296"/>
      <c r="B3" s="298">
        <f>SUM(B1:B2)</f>
        <v>-28748158.049999937</v>
      </c>
    </row>
    <row r="4" spans="1:2">
      <c r="A4" s="296" t="s">
        <v>1340</v>
      </c>
      <c r="B4" s="293">
        <f>B3*0.1</f>
        <v>-2874815.8049999941</v>
      </c>
    </row>
    <row r="5" spans="1:2">
      <c r="A5" s="296"/>
      <c r="B5" s="293"/>
    </row>
    <row r="6" spans="1:2">
      <c r="A6" s="294"/>
      <c r="B6" s="299"/>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tint="0.249977111117893"/>
  </sheetPr>
  <dimension ref="A1:L101"/>
  <sheetViews>
    <sheetView zoomScaleNormal="100" workbookViewId="0">
      <pane ySplit="6" topLeftCell="A52" activePane="bottomLeft" state="frozen"/>
      <selection activeCell="J55" sqref="J55"/>
      <selection pane="bottomLeft" activeCell="J55" sqref="J55"/>
    </sheetView>
  </sheetViews>
  <sheetFormatPr defaultColWidth="9" defaultRowHeight="12.05" customHeight="1" outlineLevelRow="1"/>
  <cols>
    <col min="1" max="1" width="8.33203125" style="166" customWidth="1"/>
    <col min="2" max="2" width="9.6640625" style="141" customWidth="1"/>
    <col min="3" max="3" width="33" style="13" customWidth="1"/>
    <col min="4" max="4" width="14.109375" style="13" customWidth="1"/>
    <col min="5" max="5" width="15.33203125" style="13" customWidth="1"/>
    <col min="6" max="6" width="13.88671875" style="13" customWidth="1"/>
    <col min="7" max="7" width="1.33203125" style="13" customWidth="1"/>
    <col min="8" max="8" width="14.109375" style="13" customWidth="1"/>
    <col min="9" max="9" width="15.33203125" style="13" customWidth="1"/>
    <col min="10" max="10" width="13.88671875" style="13" customWidth="1"/>
    <col min="11" max="11" width="1.33203125" style="13" customWidth="1"/>
    <col min="12" max="12" width="12" style="13" customWidth="1"/>
    <col min="13" max="13" width="13.88671875" style="13" bestFit="1" customWidth="1"/>
    <col min="14" max="14" width="14.6640625" style="13" bestFit="1" customWidth="1"/>
    <col min="15" max="16384" width="9" style="13"/>
  </cols>
  <sheetData>
    <row r="1" spans="1:12" ht="12.05" customHeight="1">
      <c r="A1" s="153" t="s">
        <v>117</v>
      </c>
    </row>
    <row r="2" spans="1:12" ht="12.05" customHeight="1">
      <c r="A2" s="139" t="s">
        <v>271</v>
      </c>
    </row>
    <row r="3" spans="1:12" ht="12.05" customHeight="1">
      <c r="A3" s="140" t="str">
        <f>'PRC Spreadsheet-2020.06.30'!B2</f>
        <v>For the Period ended 30 June 2020 ("the Period")</v>
      </c>
    </row>
    <row r="4" spans="1:12" ht="12.05" customHeight="1">
      <c r="A4" s="140"/>
    </row>
    <row r="5" spans="1:12" ht="12.05" customHeight="1" thickBot="1">
      <c r="A5" s="154"/>
      <c r="B5" s="155"/>
      <c r="C5" s="156"/>
      <c r="D5" s="325">
        <v>44012</v>
      </c>
      <c r="E5" s="325"/>
      <c r="F5" s="325"/>
      <c r="G5" s="156"/>
      <c r="H5" s="325">
        <v>43830</v>
      </c>
      <c r="I5" s="325"/>
      <c r="J5" s="325"/>
      <c r="K5" s="156"/>
    </row>
    <row r="6" spans="1:12" ht="12.05" customHeight="1">
      <c r="A6" s="157"/>
      <c r="B6" s="158"/>
      <c r="C6" s="159"/>
      <c r="D6" s="160" t="s">
        <v>57</v>
      </c>
      <c r="E6" s="160" t="s">
        <v>58</v>
      </c>
      <c r="F6" s="160" t="s">
        <v>59</v>
      </c>
      <c r="G6" s="159"/>
      <c r="H6" s="160" t="s">
        <v>57</v>
      </c>
      <c r="I6" s="160" t="s">
        <v>58</v>
      </c>
      <c r="J6" s="160" t="s">
        <v>59</v>
      </c>
      <c r="K6" s="159"/>
    </row>
    <row r="7" spans="1:12" ht="12.05" customHeight="1">
      <c r="A7" s="259" t="s">
        <v>183</v>
      </c>
      <c r="B7" s="108" t="s">
        <v>954</v>
      </c>
      <c r="C7" s="13" t="s">
        <v>119</v>
      </c>
      <c r="D7" s="12"/>
      <c r="E7" s="12"/>
      <c r="F7" s="12"/>
      <c r="H7" s="167">
        <v>-2672189.2200000007</v>
      </c>
      <c r="I7" s="12"/>
      <c r="J7" s="12"/>
    </row>
    <row r="8" spans="1:12" ht="12.05" customHeight="1">
      <c r="A8" s="259"/>
      <c r="B8" s="108"/>
      <c r="C8" s="13" t="s">
        <v>1263</v>
      </c>
      <c r="D8" s="12"/>
      <c r="E8" s="12"/>
      <c r="F8" s="12"/>
      <c r="H8" s="167">
        <v>2986980.08</v>
      </c>
      <c r="I8" s="12"/>
      <c r="J8" s="12"/>
    </row>
    <row r="9" spans="1:12" ht="12.05" customHeight="1">
      <c r="A9" s="259"/>
      <c r="B9" s="108"/>
      <c r="C9" s="13" t="s">
        <v>963</v>
      </c>
      <c r="D9" s="12"/>
      <c r="F9" s="12"/>
      <c r="H9" s="12"/>
      <c r="J9" s="12">
        <v>131000</v>
      </c>
    </row>
    <row r="10" spans="1:12" ht="12.05" customHeight="1">
      <c r="A10" s="260"/>
      <c r="B10" s="108"/>
      <c r="C10" s="13" t="s">
        <v>120</v>
      </c>
      <c r="E10" s="12"/>
      <c r="F10" s="12"/>
      <c r="I10" s="12"/>
      <c r="J10" s="167">
        <v>-2238871.6899999995</v>
      </c>
    </row>
    <row r="11" spans="1:12" ht="12.05" customHeight="1">
      <c r="A11" s="260"/>
      <c r="B11" s="108"/>
      <c r="C11" s="13" t="s">
        <v>121</v>
      </c>
      <c r="E11" s="12"/>
      <c r="F11" s="12"/>
      <c r="I11" s="12">
        <v>1793080.83</v>
      </c>
      <c r="J11" s="12"/>
    </row>
    <row r="12" spans="1:12" s="187" customFormat="1" ht="12.05" customHeight="1">
      <c r="A12" s="185"/>
      <c r="B12" s="108"/>
      <c r="C12" s="186" t="s">
        <v>1264</v>
      </c>
      <c r="E12" s="188"/>
      <c r="F12" s="188"/>
      <c r="I12" s="188"/>
      <c r="J12" s="188"/>
    </row>
    <row r="13" spans="1:12" ht="12.05" customHeight="1">
      <c r="A13" s="145"/>
      <c r="B13" s="108"/>
      <c r="C13" s="142"/>
      <c r="D13" s="142"/>
      <c r="E13" s="143"/>
      <c r="F13" s="143"/>
      <c r="G13" s="142"/>
      <c r="H13" s="142"/>
      <c r="I13" s="143"/>
      <c r="J13" s="143"/>
      <c r="K13" s="142"/>
      <c r="L13" s="162"/>
    </row>
    <row r="14" spans="1:12" ht="12.05" customHeight="1">
      <c r="A14" s="259" t="s">
        <v>184</v>
      </c>
      <c r="B14" s="108" t="s">
        <v>241</v>
      </c>
      <c r="C14" s="13" t="s">
        <v>966</v>
      </c>
      <c r="E14" s="12"/>
      <c r="F14" s="12"/>
      <c r="I14" s="12"/>
      <c r="J14" s="12">
        <v>25490463.609999999</v>
      </c>
    </row>
    <row r="15" spans="1:12" ht="12.05" customHeight="1">
      <c r="A15" s="260"/>
      <c r="B15" s="108"/>
      <c r="C15" s="13" t="s">
        <v>963</v>
      </c>
      <c r="E15" s="12"/>
      <c r="F15" s="12"/>
      <c r="I15" s="12"/>
      <c r="J15" s="12">
        <v>-25490463.609999999</v>
      </c>
    </row>
    <row r="16" spans="1:12" s="187" customFormat="1" ht="12.05" customHeight="1">
      <c r="A16" s="185"/>
      <c r="B16" s="108"/>
      <c r="C16" s="186" t="s">
        <v>967</v>
      </c>
      <c r="D16" s="12"/>
      <c r="E16" s="12"/>
      <c r="F16" s="12"/>
      <c r="H16" s="12"/>
      <c r="I16" s="12"/>
      <c r="J16" s="12"/>
    </row>
    <row r="17" spans="1:12" ht="12.05" customHeight="1">
      <c r="A17" s="145"/>
      <c r="B17" s="108"/>
      <c r="C17" s="142"/>
      <c r="D17" s="12"/>
      <c r="E17" s="12"/>
      <c r="F17" s="12"/>
      <c r="G17" s="142"/>
      <c r="H17" s="12"/>
      <c r="I17" s="12"/>
      <c r="J17" s="12"/>
      <c r="K17" s="142"/>
      <c r="L17" s="162"/>
    </row>
    <row r="18" spans="1:12" ht="12.05" customHeight="1">
      <c r="A18" s="261" t="s">
        <v>970</v>
      </c>
      <c r="B18" s="108" t="s">
        <v>294</v>
      </c>
      <c r="C18" s="147" t="s">
        <v>170</v>
      </c>
      <c r="D18" s="148"/>
      <c r="E18" s="148"/>
      <c r="G18" s="147"/>
      <c r="H18" s="148"/>
      <c r="I18" s="148"/>
      <c r="K18" s="147"/>
    </row>
    <row r="19" spans="1:12" ht="12.05" customHeight="1">
      <c r="A19" s="146"/>
      <c r="B19" s="108"/>
      <c r="C19" s="147" t="s">
        <v>181</v>
      </c>
      <c r="D19" s="147"/>
      <c r="E19" s="147"/>
      <c r="F19" s="12"/>
      <c r="G19" s="147"/>
      <c r="H19" s="147"/>
      <c r="I19" s="147"/>
      <c r="J19" s="12">
        <v>-2130.2500000000005</v>
      </c>
      <c r="K19" s="147"/>
    </row>
    <row r="20" spans="1:12" ht="12.05" customHeight="1">
      <c r="A20" s="146"/>
      <c r="B20" s="108"/>
      <c r="C20" s="147" t="s">
        <v>947</v>
      </c>
      <c r="D20" s="147"/>
      <c r="E20" s="148"/>
      <c r="F20" s="148"/>
      <c r="G20" s="147"/>
      <c r="H20" s="147"/>
      <c r="I20" s="148">
        <v>2130.2500000000005</v>
      </c>
      <c r="J20" s="148"/>
      <c r="K20" s="147"/>
    </row>
    <row r="21" spans="1:12" s="180" customFormat="1" ht="12.05" customHeight="1">
      <c r="A21" s="262"/>
      <c r="B21" s="189"/>
      <c r="C21" s="263" t="s">
        <v>182</v>
      </c>
      <c r="D21" s="263"/>
      <c r="E21" s="263"/>
      <c r="F21" s="263"/>
      <c r="G21" s="263"/>
      <c r="H21" s="263"/>
      <c r="I21" s="263"/>
      <c r="J21" s="263"/>
      <c r="K21" s="263"/>
    </row>
    <row r="22" spans="1:12" s="180" customFormat="1" ht="12.05" customHeight="1">
      <c r="A22" s="262"/>
      <c r="B22" s="189"/>
      <c r="C22" s="263"/>
      <c r="D22" s="263"/>
      <c r="E22" s="263"/>
      <c r="F22" s="263"/>
      <c r="G22" s="263"/>
      <c r="H22" s="263"/>
      <c r="I22" s="263"/>
      <c r="J22" s="263"/>
      <c r="K22" s="263"/>
    </row>
    <row r="23" spans="1:12" ht="13.5" customHeight="1">
      <c r="A23" s="276" t="s">
        <v>185</v>
      </c>
      <c r="B23" s="108" t="s">
        <v>297</v>
      </c>
      <c r="C23" s="147" t="s">
        <v>227</v>
      </c>
      <c r="D23" s="264"/>
      <c r="E23" s="147"/>
      <c r="F23" s="148"/>
      <c r="G23" s="147"/>
      <c r="H23" s="264"/>
      <c r="I23" s="147"/>
      <c r="J23" s="148">
        <v>-9109764.9800000004</v>
      </c>
      <c r="K23" s="147"/>
    </row>
    <row r="24" spans="1:12" ht="12.05" customHeight="1">
      <c r="A24" s="278"/>
      <c r="B24" s="277"/>
      <c r="C24" s="147" t="s">
        <v>228</v>
      </c>
      <c r="D24" s="264"/>
      <c r="E24" s="147"/>
      <c r="F24" s="148"/>
      <c r="G24" s="147"/>
      <c r="H24" s="264"/>
      <c r="I24" s="147"/>
      <c r="J24" s="148">
        <v>4984734.9700000007</v>
      </c>
      <c r="K24" s="147"/>
    </row>
    <row r="25" spans="1:12" ht="12.05" customHeight="1">
      <c r="A25" s="278"/>
      <c r="B25" s="277"/>
      <c r="C25" s="147" t="s">
        <v>150</v>
      </c>
      <c r="D25" s="147"/>
      <c r="E25" s="147"/>
      <c r="F25" s="148"/>
      <c r="G25" s="147"/>
      <c r="H25" s="147"/>
      <c r="I25" s="147"/>
      <c r="J25" s="148">
        <v>4125030.01</v>
      </c>
      <c r="K25" s="147"/>
    </row>
    <row r="26" spans="1:12" ht="12.05" customHeight="1">
      <c r="A26" s="278"/>
      <c r="B26" s="277"/>
      <c r="C26" s="263" t="s">
        <v>945</v>
      </c>
      <c r="D26" s="264"/>
      <c r="E26" s="147"/>
      <c r="F26" s="147"/>
      <c r="G26" s="147"/>
      <c r="H26" s="264"/>
      <c r="I26" s="147"/>
      <c r="J26" s="147"/>
      <c r="K26" s="147"/>
    </row>
    <row r="27" spans="1:12" s="52" customFormat="1" ht="11.3" customHeight="1">
      <c r="A27" s="149"/>
      <c r="B27" s="108"/>
      <c r="C27" s="169"/>
      <c r="D27" s="150"/>
      <c r="E27" s="169"/>
      <c r="F27" s="169"/>
      <c r="G27" s="169"/>
      <c r="H27" s="150"/>
      <c r="I27" s="169"/>
      <c r="J27" s="169"/>
      <c r="K27" s="169"/>
    </row>
    <row r="28" spans="1:12" ht="12.05" customHeight="1">
      <c r="A28" s="145" t="s">
        <v>955</v>
      </c>
      <c r="B28" s="108" t="s">
        <v>235</v>
      </c>
      <c r="C28" s="151" t="s">
        <v>232</v>
      </c>
      <c r="D28" s="264"/>
      <c r="E28" s="147"/>
      <c r="F28" s="264"/>
      <c r="G28" s="147"/>
      <c r="H28" s="264"/>
      <c r="I28" s="147"/>
      <c r="J28" s="264">
        <v>-383616.17</v>
      </c>
      <c r="K28" s="147"/>
    </row>
    <row r="29" spans="1:12" ht="12.05" customHeight="1">
      <c r="A29" s="146"/>
      <c r="B29" s="108"/>
      <c r="C29" s="151" t="s">
        <v>966</v>
      </c>
      <c r="D29" s="265"/>
      <c r="E29" s="147"/>
      <c r="F29" s="265"/>
      <c r="G29" s="147"/>
      <c r="H29" s="265"/>
      <c r="I29" s="147"/>
      <c r="J29" s="265"/>
      <c r="K29" s="147"/>
    </row>
    <row r="30" spans="1:12" ht="12.05" customHeight="1">
      <c r="A30" s="146"/>
      <c r="B30" s="108"/>
      <c r="C30" s="151" t="s">
        <v>969</v>
      </c>
      <c r="D30" s="265"/>
      <c r="E30" s="147"/>
      <c r="F30" s="265"/>
      <c r="G30" s="147"/>
      <c r="H30" s="265"/>
      <c r="I30" s="147"/>
      <c r="J30" s="265"/>
      <c r="K30" s="147"/>
    </row>
    <row r="31" spans="1:12" ht="12.05" customHeight="1">
      <c r="A31" s="146"/>
      <c r="B31" s="108"/>
      <c r="C31" s="151" t="s">
        <v>233</v>
      </c>
      <c r="D31" s="264"/>
      <c r="E31" s="147"/>
      <c r="F31" s="265"/>
      <c r="G31" s="147"/>
      <c r="H31" s="264"/>
      <c r="I31" s="147"/>
      <c r="J31" s="265">
        <v>383616.17</v>
      </c>
      <c r="K31" s="147"/>
    </row>
    <row r="32" spans="1:12" ht="12.05" customHeight="1">
      <c r="A32" s="146"/>
      <c r="B32" s="108"/>
      <c r="C32" s="266" t="s">
        <v>234</v>
      </c>
      <c r="D32" s="168"/>
      <c r="E32" s="168"/>
      <c r="F32" s="168"/>
      <c r="G32" s="168"/>
      <c r="H32" s="168"/>
      <c r="I32" s="168"/>
      <c r="J32" s="168"/>
      <c r="K32" s="168"/>
    </row>
    <row r="33" spans="1:11" ht="12.05" customHeight="1">
      <c r="A33" s="146"/>
      <c r="B33" s="108"/>
      <c r="C33" s="147"/>
      <c r="D33" s="147"/>
      <c r="E33" s="147"/>
      <c r="F33" s="147"/>
      <c r="G33" s="147"/>
      <c r="H33" s="147"/>
      <c r="I33" s="147"/>
      <c r="J33" s="147"/>
      <c r="K33" s="147"/>
    </row>
    <row r="34" spans="1:11" ht="12.05" customHeight="1">
      <c r="A34" s="145" t="s">
        <v>959</v>
      </c>
      <c r="B34" s="108" t="s">
        <v>1265</v>
      </c>
      <c r="C34" s="151" t="s">
        <v>3</v>
      </c>
      <c r="D34" s="148"/>
      <c r="E34" s="148"/>
      <c r="F34" s="148"/>
      <c r="G34" s="168"/>
      <c r="H34" s="148">
        <v>6184428.4199999999</v>
      </c>
      <c r="I34" s="148"/>
      <c r="J34" s="148"/>
      <c r="K34" s="168"/>
    </row>
    <row r="35" spans="1:11" ht="12.05" customHeight="1">
      <c r="A35" s="146"/>
      <c r="B35" s="108"/>
      <c r="C35" s="151" t="s">
        <v>1266</v>
      </c>
      <c r="D35" s="148"/>
      <c r="E35" s="148"/>
      <c r="F35" s="148"/>
      <c r="G35" s="168"/>
      <c r="H35" s="148">
        <v>-6184428.4199999999</v>
      </c>
      <c r="I35" s="148"/>
      <c r="J35" s="148"/>
      <c r="K35" s="168"/>
    </row>
    <row r="36" spans="1:11" ht="12.05" customHeight="1">
      <c r="A36" s="146"/>
      <c r="B36" s="108"/>
      <c r="C36" s="266" t="s">
        <v>1267</v>
      </c>
      <c r="D36" s="148"/>
      <c r="E36" s="148"/>
      <c r="F36" s="148"/>
      <c r="G36" s="168"/>
      <c r="H36" s="148"/>
      <c r="I36" s="148"/>
      <c r="J36" s="148"/>
      <c r="K36" s="168"/>
    </row>
    <row r="37" spans="1:11" ht="12.05" customHeight="1">
      <c r="A37" s="146"/>
      <c r="B37" s="108"/>
      <c r="C37" s="170"/>
      <c r="D37" s="168"/>
      <c r="E37" s="168"/>
      <c r="F37" s="168"/>
      <c r="G37" s="168"/>
      <c r="H37" s="168"/>
      <c r="I37" s="168"/>
      <c r="J37" s="168"/>
      <c r="K37" s="168"/>
    </row>
    <row r="38" spans="1:11" ht="12.05" customHeight="1">
      <c r="A38" s="279">
        <v>7</v>
      </c>
      <c r="B38" s="108" t="s">
        <v>1265</v>
      </c>
      <c r="C38" s="274" t="s">
        <v>1321</v>
      </c>
      <c r="D38" s="148"/>
      <c r="E38" s="148"/>
      <c r="F38" s="148"/>
      <c r="G38" s="168"/>
      <c r="H38" s="148">
        <v>-156410000</v>
      </c>
      <c r="I38" s="148"/>
      <c r="J38" s="148"/>
      <c r="K38" s="168"/>
    </row>
    <row r="39" spans="1:11" ht="12.05" customHeight="1">
      <c r="A39" s="279"/>
      <c r="B39" s="108"/>
      <c r="C39" s="272" t="s">
        <v>173</v>
      </c>
      <c r="D39" s="148"/>
      <c r="E39" s="148"/>
      <c r="F39" s="148"/>
      <c r="G39" s="168"/>
      <c r="H39" s="148">
        <v>156410000</v>
      </c>
      <c r="I39" s="148"/>
      <c r="J39" s="148"/>
      <c r="K39" s="168"/>
    </row>
    <row r="40" spans="1:11" ht="12.05" customHeight="1">
      <c r="A40" s="279"/>
      <c r="B40" s="108"/>
      <c r="C40" s="275" t="s">
        <v>1322</v>
      </c>
      <c r="D40" s="148"/>
      <c r="E40" s="148"/>
      <c r="F40" s="148"/>
      <c r="G40" s="168"/>
      <c r="H40" s="148"/>
      <c r="I40" s="148"/>
      <c r="J40" s="148"/>
      <c r="K40" s="168"/>
    </row>
    <row r="41" spans="1:11" ht="12.05" customHeight="1">
      <c r="A41" s="279"/>
      <c r="B41" s="108"/>
      <c r="C41" s="269"/>
      <c r="D41" s="168"/>
      <c r="E41" s="168"/>
      <c r="F41" s="168"/>
      <c r="G41" s="168"/>
      <c r="H41" s="168"/>
      <c r="I41" s="168"/>
      <c r="J41" s="168"/>
      <c r="K41" s="168"/>
    </row>
    <row r="42" spans="1:11" ht="12.05" customHeight="1">
      <c r="A42" s="279">
        <v>8</v>
      </c>
      <c r="B42" s="108"/>
      <c r="C42" s="151" t="s">
        <v>1312</v>
      </c>
      <c r="D42" s="168"/>
      <c r="E42" s="168"/>
      <c r="F42" s="148"/>
      <c r="G42" s="168"/>
      <c r="H42" s="168"/>
      <c r="I42" s="168"/>
      <c r="J42" s="148">
        <v>6428952.5899999999</v>
      </c>
      <c r="K42" s="168"/>
    </row>
    <row r="43" spans="1:11" ht="12.05" customHeight="1">
      <c r="A43" s="279"/>
      <c r="B43" s="108"/>
      <c r="C43" s="151" t="s">
        <v>963</v>
      </c>
      <c r="D43" s="168"/>
      <c r="E43" s="168"/>
      <c r="F43" s="148"/>
      <c r="G43" s="168"/>
      <c r="H43" s="168"/>
      <c r="I43" s="168"/>
      <c r="J43" s="148">
        <v>-6428952.5899999999</v>
      </c>
      <c r="K43" s="168"/>
    </row>
    <row r="44" spans="1:11" ht="12.05" customHeight="1">
      <c r="A44" s="279"/>
      <c r="B44" s="108"/>
      <c r="C44" s="266" t="s">
        <v>1313</v>
      </c>
      <c r="D44" s="168"/>
      <c r="E44" s="168"/>
      <c r="F44" s="148"/>
      <c r="G44" s="168"/>
      <c r="H44" s="168"/>
      <c r="I44" s="168"/>
      <c r="J44" s="148"/>
      <c r="K44" s="168"/>
    </row>
    <row r="45" spans="1:11" s="187" customFormat="1" ht="12.05" customHeight="1">
      <c r="A45" s="280"/>
      <c r="B45" s="268"/>
      <c r="C45" s="269"/>
      <c r="D45" s="270"/>
      <c r="E45" s="270"/>
      <c r="F45" s="270"/>
      <c r="G45" s="270"/>
      <c r="H45" s="270"/>
      <c r="I45" s="270"/>
      <c r="J45" s="270"/>
      <c r="K45" s="270"/>
    </row>
    <row r="46" spans="1:11" s="187" customFormat="1" ht="12.05" customHeight="1">
      <c r="A46" s="280">
        <v>9</v>
      </c>
      <c r="B46" s="268"/>
      <c r="C46" s="272" t="s">
        <v>1356</v>
      </c>
      <c r="D46" s="148"/>
      <c r="E46" s="148"/>
      <c r="F46" s="147"/>
      <c r="G46" s="147"/>
      <c r="H46" s="148">
        <v>1000000</v>
      </c>
      <c r="I46" s="148"/>
      <c r="J46" s="147"/>
      <c r="K46" s="147"/>
    </row>
    <row r="47" spans="1:11" s="187" customFormat="1" ht="12.05" customHeight="1">
      <c r="A47" s="280"/>
      <c r="B47" s="268"/>
      <c r="C47" s="272" t="s">
        <v>1315</v>
      </c>
      <c r="D47" s="148"/>
      <c r="E47" s="147"/>
      <c r="F47" s="148"/>
      <c r="G47" s="147"/>
      <c r="H47" s="148">
        <v>-1000000</v>
      </c>
      <c r="I47" s="147"/>
      <c r="J47" s="148"/>
      <c r="K47" s="147"/>
    </row>
    <row r="48" spans="1:11" s="187" customFormat="1" ht="12.05" customHeight="1">
      <c r="A48" s="280"/>
      <c r="B48" s="268"/>
      <c r="C48" s="266" t="s">
        <v>1316</v>
      </c>
      <c r="D48" s="147"/>
      <c r="E48" s="147"/>
      <c r="F48" s="147"/>
      <c r="G48" s="147"/>
      <c r="H48" s="147"/>
      <c r="I48" s="147"/>
      <c r="J48" s="147"/>
      <c r="K48" s="147"/>
    </row>
    <row r="49" spans="1:11" s="187" customFormat="1" ht="12.05" customHeight="1">
      <c r="A49" s="280"/>
      <c r="B49" s="268"/>
      <c r="C49" s="272"/>
      <c r="D49" s="147"/>
      <c r="E49" s="147"/>
      <c r="F49" s="147"/>
      <c r="G49" s="147"/>
      <c r="H49" s="147"/>
      <c r="I49" s="147"/>
      <c r="J49" s="147"/>
      <c r="K49" s="147"/>
    </row>
    <row r="50" spans="1:11" s="187" customFormat="1" ht="12.05" customHeight="1">
      <c r="A50" s="280">
        <v>10</v>
      </c>
      <c r="B50" s="268" t="s">
        <v>1320</v>
      </c>
      <c r="C50" s="272" t="s">
        <v>10</v>
      </c>
      <c r="D50" s="148"/>
      <c r="E50" s="147"/>
      <c r="F50" s="147"/>
      <c r="G50" s="147"/>
      <c r="H50" s="148">
        <v>1487743.8</v>
      </c>
      <c r="I50" s="147"/>
      <c r="J50" s="147"/>
      <c r="K50" s="147"/>
    </row>
    <row r="51" spans="1:11" s="187" customFormat="1" ht="12.05" customHeight="1">
      <c r="A51" s="280"/>
      <c r="B51" s="268"/>
      <c r="C51" s="272" t="s">
        <v>1318</v>
      </c>
      <c r="D51" s="148"/>
      <c r="E51" s="147"/>
      <c r="F51" s="147"/>
      <c r="G51" s="147"/>
      <c r="H51" s="148">
        <v>-1487743.8</v>
      </c>
      <c r="I51" s="147"/>
      <c r="J51" s="147"/>
      <c r="K51" s="147"/>
    </row>
    <row r="52" spans="1:11" s="187" customFormat="1" ht="12.05" customHeight="1">
      <c r="A52" s="280"/>
      <c r="B52" s="268"/>
      <c r="C52" s="273" t="s">
        <v>1319</v>
      </c>
      <c r="D52" s="147"/>
      <c r="E52" s="147"/>
      <c r="F52" s="147"/>
      <c r="G52" s="147"/>
      <c r="H52" s="147"/>
      <c r="I52" s="147"/>
      <c r="J52" s="147"/>
      <c r="K52" s="147"/>
    </row>
    <row r="53" spans="1:11" ht="12.05" customHeight="1">
      <c r="A53" s="279"/>
      <c r="B53" s="108"/>
      <c r="C53" s="147"/>
      <c r="D53" s="147"/>
      <c r="E53" s="147"/>
      <c r="F53" s="147"/>
      <c r="G53" s="147"/>
      <c r="H53" s="147"/>
      <c r="I53" s="147"/>
      <c r="J53" s="147"/>
      <c r="K53" s="147"/>
    </row>
    <row r="54" spans="1:11" ht="12.05" customHeight="1">
      <c r="A54" s="279">
        <v>11</v>
      </c>
      <c r="B54" s="108" t="s">
        <v>1326</v>
      </c>
      <c r="C54" s="272" t="s">
        <v>229</v>
      </c>
      <c r="D54" s="148"/>
      <c r="E54" s="147"/>
      <c r="F54" s="147"/>
      <c r="G54" s="147"/>
      <c r="H54" s="148">
        <v>3382797.7</v>
      </c>
      <c r="I54" s="147"/>
      <c r="J54" s="147"/>
      <c r="K54" s="147"/>
    </row>
    <row r="55" spans="1:11" ht="12.05" customHeight="1">
      <c r="A55" s="279"/>
      <c r="B55" s="108"/>
      <c r="C55" s="272" t="s">
        <v>1324</v>
      </c>
      <c r="E55" s="147"/>
      <c r="F55" s="148"/>
      <c r="G55" s="147"/>
      <c r="I55" s="147"/>
      <c r="J55" s="148">
        <v>-1014839.31</v>
      </c>
      <c r="K55" s="147"/>
    </row>
    <row r="56" spans="1:11" ht="12.05" customHeight="1">
      <c r="A56" s="279"/>
      <c r="B56" s="108"/>
      <c r="C56" s="272" t="s">
        <v>948</v>
      </c>
      <c r="D56" s="148"/>
      <c r="E56" s="147"/>
      <c r="F56" s="148"/>
      <c r="G56" s="147"/>
      <c r="H56" s="148"/>
      <c r="I56" s="147"/>
      <c r="J56" s="148">
        <v>1014839.31</v>
      </c>
      <c r="K56" s="147"/>
    </row>
    <row r="57" spans="1:11" ht="12.05" customHeight="1">
      <c r="A57" s="279"/>
      <c r="B57" s="108"/>
      <c r="C57" s="272" t="s">
        <v>1325</v>
      </c>
      <c r="D57" s="148"/>
      <c r="E57" s="147"/>
      <c r="F57" s="147"/>
      <c r="G57" s="147"/>
      <c r="H57" s="148">
        <v>-1014839.31</v>
      </c>
      <c r="I57" s="147"/>
      <c r="J57" s="147"/>
      <c r="K57" s="147"/>
    </row>
    <row r="58" spans="1:11" ht="12.05" customHeight="1">
      <c r="A58" s="279"/>
      <c r="B58" s="108"/>
      <c r="C58" s="147" t="s">
        <v>1328</v>
      </c>
      <c r="D58" s="148"/>
      <c r="E58" s="147"/>
      <c r="F58" s="147"/>
      <c r="G58" s="147"/>
      <c r="H58" s="148">
        <v>-2367958.39</v>
      </c>
      <c r="I58" s="147"/>
      <c r="J58" s="147"/>
      <c r="K58" s="147"/>
    </row>
    <row r="59" spans="1:11" ht="12.05" customHeight="1">
      <c r="A59" s="279"/>
      <c r="B59" s="108"/>
      <c r="C59" s="273" t="s">
        <v>1327</v>
      </c>
      <c r="D59" s="147"/>
      <c r="E59" s="147"/>
      <c r="F59" s="147"/>
      <c r="G59" s="147"/>
      <c r="H59" s="147"/>
      <c r="I59" s="147"/>
      <c r="J59" s="147"/>
      <c r="K59" s="147"/>
    </row>
    <row r="60" spans="1:11" ht="12.05" customHeight="1">
      <c r="A60" s="279"/>
      <c r="B60" s="108"/>
      <c r="C60" s="147"/>
      <c r="D60" s="147"/>
      <c r="E60" s="147"/>
      <c r="F60" s="147"/>
      <c r="G60" s="147"/>
      <c r="H60" s="147"/>
      <c r="I60" s="147"/>
      <c r="J60" s="147"/>
      <c r="K60" s="147"/>
    </row>
    <row r="61" spans="1:11" ht="12.05" customHeight="1">
      <c r="A61" s="145" t="s">
        <v>1332</v>
      </c>
      <c r="B61" s="108" t="s">
        <v>1265</v>
      </c>
      <c r="C61" s="151" t="s">
        <v>1229</v>
      </c>
      <c r="D61" s="148"/>
      <c r="E61" s="148"/>
      <c r="F61" s="148"/>
      <c r="G61" s="168"/>
      <c r="H61" s="148">
        <v>-4355299.21</v>
      </c>
      <c r="I61" s="148"/>
      <c r="J61" s="148"/>
      <c r="K61" s="168"/>
    </row>
    <row r="62" spans="1:11" ht="12.05" customHeight="1">
      <c r="A62" s="146"/>
      <c r="B62" s="108"/>
      <c r="C62" s="151" t="s">
        <v>5</v>
      </c>
      <c r="D62" s="148"/>
      <c r="E62" s="148"/>
      <c r="F62" s="148"/>
      <c r="G62" s="168"/>
      <c r="H62" s="148">
        <v>4355299.21</v>
      </c>
      <c r="I62" s="148"/>
      <c r="J62" s="148"/>
      <c r="K62" s="168"/>
    </row>
    <row r="63" spans="1:11" ht="12.05" customHeight="1">
      <c r="A63" s="146"/>
      <c r="B63" s="108"/>
      <c r="C63" s="266" t="s">
        <v>1333</v>
      </c>
      <c r="D63" s="148"/>
      <c r="E63" s="148"/>
      <c r="F63" s="148"/>
      <c r="G63" s="168"/>
      <c r="H63" s="148"/>
      <c r="I63" s="148"/>
      <c r="J63" s="148"/>
      <c r="K63" s="168"/>
    </row>
    <row r="64" spans="1:11" ht="12.05" customHeight="1">
      <c r="A64" s="279"/>
      <c r="B64" s="108"/>
      <c r="C64" s="147"/>
      <c r="D64" s="147"/>
      <c r="E64" s="147"/>
      <c r="F64" s="147"/>
      <c r="G64" s="147"/>
      <c r="H64" s="147"/>
      <c r="I64" s="147"/>
      <c r="J64" s="147"/>
      <c r="K64" s="147"/>
    </row>
    <row r="65" spans="1:11" ht="12.05" customHeight="1">
      <c r="A65" s="279">
        <v>13</v>
      </c>
      <c r="B65" s="108"/>
      <c r="C65" s="147" t="s">
        <v>1334</v>
      </c>
      <c r="D65" s="147"/>
      <c r="E65" s="147"/>
      <c r="F65" s="148"/>
      <c r="G65" s="147"/>
      <c r="H65" s="147"/>
      <c r="I65" s="147"/>
      <c r="J65" s="148">
        <v>2045118.72</v>
      </c>
      <c r="K65" s="147"/>
    </row>
    <row r="66" spans="1:11" ht="12.05" customHeight="1">
      <c r="A66" s="279"/>
      <c r="B66" s="108"/>
      <c r="C66" s="147" t="s">
        <v>181</v>
      </c>
      <c r="D66" s="147"/>
      <c r="E66" s="147"/>
      <c r="F66" s="148"/>
      <c r="G66" s="147"/>
      <c r="H66" s="147"/>
      <c r="I66" s="147"/>
      <c r="J66" s="148">
        <v>-2045118.72</v>
      </c>
      <c r="K66" s="147"/>
    </row>
    <row r="67" spans="1:11" ht="12.05" customHeight="1">
      <c r="A67" s="279"/>
      <c r="B67" s="108"/>
      <c r="C67" s="263" t="s">
        <v>1335</v>
      </c>
      <c r="D67" s="147"/>
      <c r="E67" s="147"/>
      <c r="F67" s="148"/>
      <c r="G67" s="147"/>
      <c r="H67" s="147"/>
      <c r="I67" s="147"/>
      <c r="J67" s="148"/>
      <c r="K67" s="147"/>
    </row>
    <row r="68" spans="1:11" ht="12.05" customHeight="1">
      <c r="A68" s="279"/>
      <c r="B68" s="108"/>
      <c r="C68" s="147"/>
      <c r="D68" s="147"/>
      <c r="E68" s="147"/>
      <c r="F68" s="147"/>
      <c r="G68" s="147"/>
      <c r="H68" s="147"/>
      <c r="I68" s="147"/>
      <c r="J68" s="147"/>
      <c r="K68" s="147"/>
    </row>
    <row r="69" spans="1:11" ht="12.05" customHeight="1">
      <c r="A69" s="279">
        <v>14</v>
      </c>
      <c r="B69" s="108"/>
      <c r="C69" s="147" t="s">
        <v>1362</v>
      </c>
      <c r="D69" s="148"/>
      <c r="F69" s="147"/>
      <c r="G69" s="147"/>
      <c r="H69" s="314">
        <v>-141986.29200000167</v>
      </c>
      <c r="J69" s="147"/>
      <c r="K69" s="147"/>
    </row>
    <row r="70" spans="1:11" ht="12.05" customHeight="1">
      <c r="B70" s="108"/>
      <c r="C70" s="147" t="s">
        <v>947</v>
      </c>
      <c r="D70" s="147"/>
      <c r="E70" s="148"/>
      <c r="F70" s="147"/>
      <c r="G70" s="147"/>
      <c r="H70" s="147"/>
      <c r="I70" s="314">
        <v>141986.29200000167</v>
      </c>
      <c r="J70" s="147"/>
      <c r="K70" s="147"/>
    </row>
    <row r="71" spans="1:11" ht="12.05" customHeight="1">
      <c r="A71" s="279"/>
      <c r="B71" s="108"/>
      <c r="C71" s="263" t="s">
        <v>1341</v>
      </c>
      <c r="D71" s="147"/>
      <c r="E71" s="147"/>
      <c r="F71" s="147"/>
      <c r="G71" s="147"/>
      <c r="H71" s="147"/>
      <c r="I71" s="147"/>
      <c r="J71" s="147"/>
      <c r="K71" s="147"/>
    </row>
    <row r="72" spans="1:11" ht="12.05" customHeight="1">
      <c r="A72" s="279"/>
      <c r="B72" s="108"/>
      <c r="C72" s="147"/>
      <c r="D72" s="147"/>
      <c r="E72" s="147"/>
      <c r="F72" s="147"/>
      <c r="G72" s="147"/>
      <c r="H72" s="147"/>
      <c r="I72" s="147"/>
      <c r="J72" s="147"/>
      <c r="K72" s="147"/>
    </row>
    <row r="73" spans="1:11" ht="12.05" hidden="1" customHeight="1" outlineLevel="1">
      <c r="A73" s="281"/>
      <c r="B73" s="108" t="s">
        <v>956</v>
      </c>
      <c r="C73" s="147" t="s">
        <v>957</v>
      </c>
      <c r="D73" s="148"/>
      <c r="E73" s="148"/>
      <c r="F73" s="147"/>
      <c r="G73" s="147"/>
      <c r="H73" s="148"/>
      <c r="I73" s="148"/>
      <c r="J73" s="147"/>
      <c r="K73" s="147"/>
    </row>
    <row r="74" spans="1:11" ht="12.05" hidden="1" customHeight="1" outlineLevel="1">
      <c r="A74" s="279"/>
      <c r="B74" s="108"/>
      <c r="C74" s="147" t="s">
        <v>958</v>
      </c>
      <c r="D74" s="148"/>
      <c r="E74" s="148"/>
      <c r="F74" s="148"/>
      <c r="G74" s="147"/>
      <c r="H74" s="148"/>
      <c r="I74" s="148"/>
      <c r="J74" s="148"/>
      <c r="K74" s="147"/>
    </row>
    <row r="75" spans="1:11" s="180" customFormat="1" ht="12.05" hidden="1" customHeight="1" outlineLevel="1">
      <c r="A75" s="282"/>
      <c r="B75" s="108"/>
      <c r="C75" s="263" t="s">
        <v>968</v>
      </c>
      <c r="D75" s="148"/>
      <c r="E75" s="148"/>
      <c r="F75" s="148"/>
      <c r="G75" s="263"/>
      <c r="H75" s="148"/>
      <c r="I75" s="148"/>
      <c r="J75" s="148"/>
      <c r="K75" s="263"/>
    </row>
    <row r="76" spans="1:11" ht="12.05" hidden="1" customHeight="1" outlineLevel="1">
      <c r="A76" s="146"/>
      <c r="B76" s="108"/>
      <c r="C76" s="147"/>
      <c r="D76" s="148"/>
      <c r="E76" s="148"/>
      <c r="F76" s="148"/>
      <c r="G76" s="147"/>
      <c r="H76" s="148"/>
      <c r="I76" s="148"/>
      <c r="J76" s="148"/>
      <c r="K76" s="147"/>
    </row>
    <row r="77" spans="1:11" ht="12.05" hidden="1" customHeight="1" outlineLevel="1">
      <c r="A77" s="261"/>
      <c r="B77" s="108" t="s">
        <v>960</v>
      </c>
      <c r="C77" s="147" t="s">
        <v>5</v>
      </c>
      <c r="D77" s="148"/>
      <c r="E77" s="148"/>
      <c r="F77" s="147"/>
      <c r="G77" s="147"/>
      <c r="H77" s="148"/>
      <c r="I77" s="148"/>
      <c r="J77" s="147"/>
      <c r="K77" s="147"/>
    </row>
    <row r="78" spans="1:11" ht="12.05" hidden="1" customHeight="1" outlineLevel="1">
      <c r="A78" s="146"/>
      <c r="B78" s="108"/>
      <c r="C78" s="147" t="s">
        <v>949</v>
      </c>
      <c r="D78" s="148"/>
      <c r="E78" s="148"/>
      <c r="F78" s="148"/>
      <c r="G78" s="147"/>
      <c r="H78" s="148"/>
      <c r="I78" s="148"/>
      <c r="J78" s="148"/>
      <c r="K78" s="147"/>
    </row>
    <row r="79" spans="1:11" s="180" customFormat="1" ht="12.05" hidden="1" customHeight="1" outlineLevel="1">
      <c r="A79" s="262"/>
      <c r="B79" s="108"/>
      <c r="C79" s="263" t="s">
        <v>961</v>
      </c>
      <c r="D79" s="148"/>
      <c r="E79" s="148"/>
      <c r="F79" s="148"/>
      <c r="G79" s="263"/>
      <c r="H79" s="148"/>
      <c r="I79" s="148"/>
      <c r="J79" s="148"/>
      <c r="K79" s="263"/>
    </row>
    <row r="80" spans="1:11" ht="12.05" hidden="1" customHeight="1" outlineLevel="1">
      <c r="A80" s="146"/>
      <c r="B80" s="108"/>
      <c r="C80" s="147"/>
      <c r="D80" s="148"/>
      <c r="E80" s="148"/>
      <c r="F80" s="148"/>
      <c r="G80" s="147"/>
      <c r="H80" s="148"/>
      <c r="I80" s="148"/>
      <c r="J80" s="148"/>
      <c r="K80" s="147"/>
    </row>
    <row r="81" spans="1:11" ht="12.05" hidden="1" customHeight="1" outlineLevel="1">
      <c r="A81" s="146"/>
      <c r="B81" s="108"/>
      <c r="C81" s="170"/>
      <c r="D81" s="148"/>
      <c r="E81" s="168"/>
      <c r="F81" s="168"/>
      <c r="G81" s="168"/>
      <c r="H81" s="148"/>
      <c r="I81" s="168"/>
      <c r="J81" s="168"/>
      <c r="K81" s="168"/>
    </row>
    <row r="82" spans="1:11" ht="12.05" hidden="1" customHeight="1" outlineLevel="1">
      <c r="A82" s="145"/>
      <c r="B82" s="108" t="s">
        <v>960</v>
      </c>
      <c r="C82" s="151" t="s">
        <v>6</v>
      </c>
      <c r="D82" s="148"/>
      <c r="E82" s="168"/>
      <c r="F82" s="168"/>
      <c r="G82" s="168"/>
      <c r="H82" s="148"/>
      <c r="I82" s="168"/>
      <c r="J82" s="168"/>
      <c r="K82" s="168"/>
    </row>
    <row r="83" spans="1:11" ht="12.05" hidden="1" customHeight="1" outlineLevel="1">
      <c r="A83" s="146"/>
      <c r="B83" s="108"/>
      <c r="C83" s="151" t="s">
        <v>949</v>
      </c>
      <c r="D83" s="148"/>
      <c r="E83" s="168"/>
      <c r="F83" s="168"/>
      <c r="G83" s="168"/>
      <c r="H83" s="148"/>
      <c r="I83" s="168"/>
      <c r="J83" s="168"/>
      <c r="K83" s="168"/>
    </row>
    <row r="84" spans="1:11" ht="12.05" hidden="1" customHeight="1" outlineLevel="1">
      <c r="A84" s="146"/>
      <c r="B84" s="108"/>
      <c r="C84" s="266" t="s">
        <v>1036</v>
      </c>
      <c r="D84" s="168"/>
      <c r="E84" s="168"/>
      <c r="F84" s="168"/>
      <c r="G84" s="168"/>
      <c r="H84" s="168"/>
      <c r="I84" s="168"/>
      <c r="J84" s="168"/>
      <c r="K84" s="168"/>
    </row>
    <row r="85" spans="1:11" ht="12.05" hidden="1" customHeight="1" outlineLevel="1">
      <c r="A85" s="146"/>
      <c r="B85" s="108"/>
      <c r="C85" s="170"/>
      <c r="D85" s="168"/>
      <c r="E85" s="168"/>
      <c r="F85" s="168"/>
      <c r="G85" s="168"/>
      <c r="H85" s="168"/>
      <c r="I85" s="168"/>
      <c r="J85" s="168"/>
      <c r="K85" s="168"/>
    </row>
    <row r="86" spans="1:11" ht="12.05" hidden="1" customHeight="1" outlineLevel="1">
      <c r="A86" s="145"/>
      <c r="B86" s="108" t="s">
        <v>1042</v>
      </c>
      <c r="C86" s="151" t="s">
        <v>1043</v>
      </c>
      <c r="D86" s="148"/>
      <c r="E86" s="168"/>
      <c r="F86" s="168"/>
      <c r="G86" s="168"/>
      <c r="H86" s="148"/>
      <c r="I86" s="168"/>
      <c r="J86" s="168"/>
      <c r="K86" s="168"/>
    </row>
    <row r="87" spans="1:11" ht="12.05" hidden="1" customHeight="1" outlineLevel="1">
      <c r="A87" s="146"/>
      <c r="B87" s="108"/>
      <c r="C87" s="151" t="s">
        <v>10</v>
      </c>
      <c r="D87" s="148"/>
      <c r="E87" s="168"/>
      <c r="F87" s="168"/>
      <c r="G87" s="168"/>
      <c r="H87" s="148"/>
      <c r="I87" s="168"/>
      <c r="J87" s="168"/>
      <c r="K87" s="168"/>
    </row>
    <row r="88" spans="1:11" ht="12.05" hidden="1" customHeight="1" outlineLevel="1">
      <c r="A88" s="146"/>
      <c r="B88" s="108"/>
      <c r="C88" s="266" t="s">
        <v>1044</v>
      </c>
      <c r="D88" s="168"/>
      <c r="E88" s="168"/>
      <c r="F88" s="168"/>
      <c r="G88" s="168"/>
      <c r="H88" s="168"/>
      <c r="I88" s="168"/>
      <c r="J88" s="168"/>
      <c r="K88" s="168"/>
    </row>
    <row r="89" spans="1:11" ht="12.05" hidden="1" customHeight="1" outlineLevel="1">
      <c r="A89" s="146"/>
      <c r="B89" s="108"/>
      <c r="C89" s="170"/>
      <c r="D89" s="168"/>
      <c r="E89" s="168"/>
      <c r="F89" s="168"/>
      <c r="G89" s="168"/>
      <c r="H89" s="168"/>
      <c r="I89" s="168"/>
      <c r="J89" s="168"/>
      <c r="K89" s="168"/>
    </row>
    <row r="90" spans="1:11" ht="12.05" hidden="1" customHeight="1" outlineLevel="1">
      <c r="A90" s="145"/>
      <c r="B90" s="108" t="s">
        <v>1045</v>
      </c>
      <c r="C90" s="151" t="s">
        <v>239</v>
      </c>
      <c r="D90" s="148"/>
      <c r="E90" s="168"/>
      <c r="F90" s="168"/>
      <c r="G90" s="168"/>
      <c r="H90" s="148"/>
      <c r="I90" s="168"/>
      <c r="J90" s="168"/>
      <c r="K90" s="168"/>
    </row>
    <row r="91" spans="1:11" ht="12.05" hidden="1" customHeight="1" outlineLevel="1">
      <c r="A91" s="146"/>
      <c r="B91" s="108"/>
      <c r="C91" s="151" t="s">
        <v>972</v>
      </c>
      <c r="D91" s="148"/>
      <c r="E91" s="168"/>
      <c r="F91" s="168"/>
      <c r="G91" s="168"/>
      <c r="H91" s="148"/>
      <c r="I91" s="168"/>
      <c r="J91" s="168"/>
      <c r="K91" s="168"/>
    </row>
    <row r="92" spans="1:11" ht="12.05" hidden="1" customHeight="1" outlineLevel="1">
      <c r="A92" s="146"/>
      <c r="B92" s="108"/>
      <c r="C92" s="266" t="s">
        <v>1046</v>
      </c>
      <c r="D92" s="168"/>
      <c r="E92" s="168"/>
      <c r="F92" s="168"/>
      <c r="G92" s="168"/>
      <c r="H92" s="168"/>
      <c r="I92" s="168"/>
      <c r="J92" s="168"/>
      <c r="K92" s="168"/>
    </row>
    <row r="93" spans="1:11" s="187" customFormat="1" ht="12.05" customHeight="1" collapsed="1">
      <c r="A93" s="267"/>
      <c r="B93" s="268"/>
      <c r="C93" s="272"/>
      <c r="D93" s="147"/>
      <c r="E93" s="147"/>
      <c r="F93" s="147"/>
      <c r="G93" s="147"/>
      <c r="H93" s="147"/>
      <c r="I93" s="147"/>
      <c r="J93" s="147"/>
      <c r="K93" s="147"/>
    </row>
    <row r="94" spans="1:11" s="187" customFormat="1" ht="12.05" customHeight="1">
      <c r="A94" s="267"/>
      <c r="B94" s="268"/>
      <c r="C94" s="272"/>
      <c r="D94" s="147"/>
      <c r="E94" s="147"/>
      <c r="F94" s="147"/>
      <c r="G94" s="147"/>
      <c r="H94" s="147"/>
      <c r="I94" s="147"/>
      <c r="J94" s="147"/>
      <c r="K94" s="147"/>
    </row>
    <row r="95" spans="1:11" s="187" customFormat="1" ht="12.05" customHeight="1">
      <c r="A95" s="163"/>
      <c r="B95" s="152"/>
      <c r="C95" s="164" t="s">
        <v>61</v>
      </c>
      <c r="D95" s="165">
        <f>SUM(D7:D92)</f>
        <v>0</v>
      </c>
      <c r="E95" s="165">
        <f>SUM(E7:E92)</f>
        <v>0</v>
      </c>
      <c r="F95" s="165">
        <f>SUM(F7:F92)</f>
        <v>0</v>
      </c>
      <c r="G95" s="164"/>
      <c r="H95" s="165">
        <f>SUM(H7:H92)</f>
        <v>172804.56800001263</v>
      </c>
      <c r="I95" s="165">
        <f>SUM(I7:I92)</f>
        <v>1937197.3720000018</v>
      </c>
      <c r="J95" s="165">
        <f>SUM(J7:J92)</f>
        <v>-2110001.9399999976</v>
      </c>
      <c r="K95" s="164"/>
    </row>
    <row r="96" spans="1:11" s="188" customFormat="1" ht="12.05" customHeight="1">
      <c r="A96" s="271"/>
      <c r="B96" s="271"/>
      <c r="C96" s="188" t="s">
        <v>946</v>
      </c>
      <c r="F96" s="188">
        <f>SUM(D95:F95)</f>
        <v>0</v>
      </c>
      <c r="J96" s="188">
        <f>SUM(H95:J95)</f>
        <v>1.6763806343078613E-8</v>
      </c>
    </row>
    <row r="97" spans="1:8" s="187" customFormat="1" ht="12.05" customHeight="1">
      <c r="A97" s="163"/>
      <c r="B97" s="152"/>
      <c r="D97" s="188"/>
      <c r="H97" s="188"/>
    </row>
    <row r="98" spans="1:8" s="187" customFormat="1" ht="12.05" customHeight="1">
      <c r="A98" s="163"/>
      <c r="B98" s="152"/>
      <c r="D98" s="188"/>
      <c r="H98" s="188"/>
    </row>
    <row r="99" spans="1:8" ht="12.05" customHeight="1">
      <c r="D99" s="12"/>
      <c r="H99" s="12"/>
    </row>
    <row r="100" spans="1:8" ht="12.05" customHeight="1">
      <c r="D100" s="12"/>
      <c r="H100" s="12"/>
    </row>
    <row r="101" spans="1:8" ht="12.05" customHeight="1">
      <c r="D101" s="12"/>
      <c r="H101" s="12"/>
    </row>
  </sheetData>
  <mergeCells count="2">
    <mergeCell ref="H5:J5"/>
    <mergeCell ref="D5:F5"/>
  </mergeCells>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38"/>
  <sheetViews>
    <sheetView workbookViewId="0">
      <pane xSplit="4" ySplit="3" topLeftCell="E8" activePane="bottomRight" state="frozen"/>
      <selection activeCell="H6" sqref="H6"/>
      <selection pane="topRight" activeCell="H6" sqref="H6"/>
      <selection pane="bottomLeft" activeCell="H6" sqref="H6"/>
      <selection pane="bottomRight" activeCell="F13" sqref="F13"/>
    </sheetView>
  </sheetViews>
  <sheetFormatPr defaultColWidth="9" defaultRowHeight="13.15" outlineLevelCol="1"/>
  <cols>
    <col min="1" max="1" width="9" style="117"/>
    <col min="2" max="2" width="19.88671875" style="117" bestFit="1" customWidth="1"/>
    <col min="3" max="3" width="40.6640625" style="117" bestFit="1" customWidth="1"/>
    <col min="4" max="4" width="10.6640625" style="117" bestFit="1" customWidth="1"/>
    <col min="5" max="6" width="17.6640625" style="117" customWidth="1" outlineLevel="1"/>
    <col min="7" max="7" width="12.77734375" style="119" bestFit="1" customWidth="1"/>
    <col min="8" max="8" width="31.33203125" style="120" bestFit="1" customWidth="1"/>
    <col min="9" max="9" width="10.109375" style="117" bestFit="1" customWidth="1"/>
    <col min="10" max="10" width="13.6640625" style="119" bestFit="1" customWidth="1"/>
    <col min="11" max="11" width="11.21875" style="121" bestFit="1" customWidth="1"/>
    <col min="12" max="12" width="9" style="117"/>
    <col min="13" max="13" width="12.21875" style="117" bestFit="1" customWidth="1"/>
    <col min="14" max="16384" width="9" style="117"/>
  </cols>
  <sheetData>
    <row r="1" spans="2:13">
      <c r="C1" s="118"/>
    </row>
    <row r="2" spans="2:13" ht="16.45" customHeight="1" thickBot="1">
      <c r="B2" s="326" t="s">
        <v>135</v>
      </c>
      <c r="C2" s="326" t="s">
        <v>136</v>
      </c>
      <c r="D2" s="122">
        <v>44012</v>
      </c>
      <c r="E2" s="123" t="s">
        <v>137</v>
      </c>
      <c r="F2" s="123" t="s">
        <v>137</v>
      </c>
      <c r="G2" s="122">
        <v>44012</v>
      </c>
      <c r="H2" s="328" t="s">
        <v>138</v>
      </c>
      <c r="I2" s="328" t="s">
        <v>1197</v>
      </c>
    </row>
    <row r="3" spans="2:13" s="127" customFormat="1" ht="26.3">
      <c r="B3" s="327"/>
      <c r="C3" s="327"/>
      <c r="D3" s="124" t="s">
        <v>139</v>
      </c>
      <c r="E3" s="125" t="s">
        <v>140</v>
      </c>
      <c r="F3" s="125" t="s">
        <v>247</v>
      </c>
      <c r="G3" s="126" t="s">
        <v>141</v>
      </c>
      <c r="H3" s="329"/>
      <c r="I3" s="329"/>
      <c r="J3" s="128" t="s">
        <v>245</v>
      </c>
      <c r="K3" s="129" t="s">
        <v>246</v>
      </c>
    </row>
    <row r="4" spans="2:13" s="135" customFormat="1">
      <c r="B4" s="130" t="s">
        <v>248</v>
      </c>
      <c r="C4" s="131" t="s">
        <v>32</v>
      </c>
      <c r="D4" s="132">
        <f>IFERROR(ROUND(VLOOKUP(C4,'PRC Spreadsheet-2020.06.30'!$B$8:$C$111,2,0)/1000,0),0)</f>
        <v>18234</v>
      </c>
      <c r="E4" s="238"/>
      <c r="F4" s="133"/>
      <c r="G4" s="132">
        <f>SUM(D4:F4)</f>
        <v>18234</v>
      </c>
      <c r="H4" s="134" t="s">
        <v>151</v>
      </c>
      <c r="I4" s="135" t="s">
        <v>1192</v>
      </c>
      <c r="J4" s="132">
        <v>18233.68</v>
      </c>
      <c r="K4" s="132">
        <f>G4-J4</f>
        <v>0.31999999999970896</v>
      </c>
    </row>
    <row r="5" spans="2:13" s="135" customFormat="1">
      <c r="B5" s="130" t="s">
        <v>249</v>
      </c>
      <c r="C5" s="135" t="s">
        <v>142</v>
      </c>
      <c r="D5" s="132">
        <f>IFERROR(ROUND(VLOOKUP(C5,'PRC Spreadsheet-2020.06.30'!$B$8:$C$111,2,0)/1000,0),0)</f>
        <v>9759</v>
      </c>
      <c r="E5" s="238"/>
      <c r="F5" s="133"/>
      <c r="G5" s="132">
        <f t="shared" ref="G5:G33" si="0">SUM(D5:F5)</f>
        <v>9759</v>
      </c>
      <c r="H5" s="136" t="s">
        <v>152</v>
      </c>
      <c r="I5" s="135" t="s">
        <v>1193</v>
      </c>
      <c r="J5" s="132">
        <v>152485.68400000001</v>
      </c>
      <c r="K5" s="132">
        <f>G5+G6+G7-J5</f>
        <v>0.73076999999466352</v>
      </c>
    </row>
    <row r="6" spans="2:13" s="135" customFormat="1">
      <c r="B6" s="130" t="s">
        <v>250</v>
      </c>
      <c r="C6" s="135" t="s">
        <v>3</v>
      </c>
      <c r="D6" s="132">
        <f>IFERROR(ROUND(VLOOKUP(C6,'PRC Spreadsheet-2020.06.30'!$B$8:$C$111,2,0)/1000,0)+'PRC Spreadsheet-2020.06.30'!C12/1000,0)+33761.304</f>
        <v>134056.16477</v>
      </c>
      <c r="E6" s="238"/>
      <c r="F6" s="133"/>
      <c r="G6" s="132">
        <f t="shared" si="0"/>
        <v>134056.16477</v>
      </c>
      <c r="H6" s="134"/>
      <c r="K6" s="243"/>
    </row>
    <row r="7" spans="2:13" s="135" customFormat="1">
      <c r="B7" s="130" t="s">
        <v>251</v>
      </c>
      <c r="C7" s="131" t="s">
        <v>1318</v>
      </c>
      <c r="D7" s="132">
        <v>8671.25</v>
      </c>
      <c r="E7" s="238"/>
      <c r="F7" s="133"/>
      <c r="G7" s="132">
        <f t="shared" si="0"/>
        <v>8671.25</v>
      </c>
      <c r="H7" s="136" t="s">
        <v>1196</v>
      </c>
      <c r="I7" s="135" t="s">
        <v>1195</v>
      </c>
      <c r="J7" s="132">
        <v>28308.09</v>
      </c>
      <c r="K7" s="132">
        <f>G10+G9-J7-J8-J9</f>
        <v>-8.219999996072147E-3</v>
      </c>
    </row>
    <row r="8" spans="2:13" s="135" customFormat="1">
      <c r="B8" s="130" t="s">
        <v>252</v>
      </c>
      <c r="C8" s="135" t="s">
        <v>6</v>
      </c>
      <c r="D8" s="132">
        <f>IFERROR(ROUND(VLOOKUP(C8,'PRC Spreadsheet-2020.06.30'!$B$8:$C$111,2,0)/1000,0),0)-D10</f>
        <v>-23278</v>
      </c>
      <c r="E8" s="238"/>
      <c r="F8" s="133"/>
      <c r="G8" s="132">
        <f t="shared" si="0"/>
        <v>-23278</v>
      </c>
      <c r="H8" s="134" t="s">
        <v>144</v>
      </c>
      <c r="I8" s="135" t="s">
        <v>1194</v>
      </c>
      <c r="J8" s="132">
        <v>34717.18</v>
      </c>
      <c r="K8" s="132"/>
    </row>
    <row r="9" spans="2:13" s="135" customFormat="1">
      <c r="B9" s="130" t="s">
        <v>168</v>
      </c>
      <c r="C9" s="135" t="s">
        <v>5</v>
      </c>
      <c r="D9" s="132">
        <f>'PRC Spreadsheet-2020.06.30'!C13/1000+3850</f>
        <v>32220.261780000001</v>
      </c>
      <c r="E9" s="238"/>
      <c r="F9" s="133"/>
      <c r="G9" s="132">
        <f t="shared" si="0"/>
        <v>32220.261780000001</v>
      </c>
      <c r="H9" s="134" t="s">
        <v>6</v>
      </c>
      <c r="I9" s="135" t="s">
        <v>1200</v>
      </c>
      <c r="J9" s="132">
        <v>85</v>
      </c>
      <c r="K9" s="132"/>
    </row>
    <row r="10" spans="2:13" s="135" customFormat="1">
      <c r="B10" s="130" t="s">
        <v>252</v>
      </c>
      <c r="C10" s="135" t="s">
        <v>1230</v>
      </c>
      <c r="D10" s="132">
        <v>30890</v>
      </c>
      <c r="E10" s="238"/>
      <c r="F10" s="133"/>
      <c r="G10" s="132">
        <f t="shared" si="0"/>
        <v>30890</v>
      </c>
      <c r="H10" s="134" t="s">
        <v>310</v>
      </c>
      <c r="I10" s="135" t="s">
        <v>1201</v>
      </c>
      <c r="J10" s="132">
        <v>-23277.88</v>
      </c>
      <c r="K10" s="132">
        <f>D8-J10</f>
        <v>-0.11999999999898137</v>
      </c>
      <c r="M10" s="12"/>
    </row>
    <row r="11" spans="2:13" s="135" customFormat="1">
      <c r="B11" s="130" t="s">
        <v>253</v>
      </c>
      <c r="C11" s="135" t="s">
        <v>69</v>
      </c>
      <c r="D11" s="132">
        <f>IFERROR(ROUND(VLOOKUP(C11,'PRC Spreadsheet-2020.06.30'!$B$8:$C$111,2,0)/1000,0),0)+'PRC Spreadsheet-2020.06.30'!C18/1000</f>
        <v>143702.24035000001</v>
      </c>
      <c r="E11" s="238"/>
      <c r="F11" s="133"/>
      <c r="G11" s="132">
        <f t="shared" si="0"/>
        <v>143702.24035000001</v>
      </c>
      <c r="H11" s="134" t="s">
        <v>145</v>
      </c>
      <c r="I11" s="135" t="s">
        <v>1202</v>
      </c>
      <c r="J11" s="132">
        <v>143702.09</v>
      </c>
      <c r="K11" s="132">
        <f>G11-J11</f>
        <v>0.15035000001080334</v>
      </c>
    </row>
    <row r="12" spans="2:13" s="135" customFormat="1">
      <c r="B12" s="130" t="s">
        <v>1406</v>
      </c>
      <c r="C12" s="131" t="s">
        <v>1405</v>
      </c>
      <c r="D12" s="132">
        <f>IFERROR(ROUND(VLOOKUP(C12,'PRC Spreadsheet-2020.06.30'!$B$8:$C$111,2,0)/1000,0),0)</f>
        <v>15</v>
      </c>
      <c r="E12" s="238"/>
      <c r="F12" s="133"/>
      <c r="G12" s="12">
        <f>SUM(D12:F12)</f>
        <v>15</v>
      </c>
      <c r="H12" s="136"/>
      <c r="J12" s="132"/>
      <c r="K12" s="132"/>
    </row>
    <row r="13" spans="2:13" s="135" customFormat="1">
      <c r="B13" s="130" t="s">
        <v>251</v>
      </c>
      <c r="C13" s="131" t="s">
        <v>153</v>
      </c>
      <c r="D13" s="132">
        <f>ROUND('PRC Spreadsheet-2020.06.30'!C14/1000,0)-D7</f>
        <v>2304.75</v>
      </c>
      <c r="E13" s="238"/>
      <c r="F13" s="133"/>
      <c r="G13" s="12">
        <f>SUM(D13:F13)</f>
        <v>2304.75</v>
      </c>
      <c r="H13" s="136" t="s">
        <v>143</v>
      </c>
      <c r="I13" s="135" t="s">
        <v>1203</v>
      </c>
      <c r="J13" s="132">
        <v>306239.48</v>
      </c>
      <c r="K13" s="132">
        <f>SUM(G13:G17)-J13</f>
        <v>-0.72999999998137355</v>
      </c>
    </row>
    <row r="14" spans="2:13" s="135" customFormat="1">
      <c r="B14" s="130" t="s">
        <v>254</v>
      </c>
      <c r="C14" s="131" t="s">
        <v>8</v>
      </c>
      <c r="D14" s="132">
        <f>IFERROR(ROUND(VLOOKUP(C14,'PRC Spreadsheet-2020.06.30'!$B$8:$C$111,2,0)/1000,0),0)</f>
        <v>401541</v>
      </c>
      <c r="E14" s="238"/>
      <c r="F14" s="133"/>
      <c r="G14" s="132">
        <f t="shared" si="0"/>
        <v>401541</v>
      </c>
      <c r="H14" s="136" t="s">
        <v>1217</v>
      </c>
      <c r="I14" s="135" t="s">
        <v>1218</v>
      </c>
      <c r="J14" s="132">
        <v>1465.7</v>
      </c>
      <c r="K14" s="132"/>
    </row>
    <row r="15" spans="2:13" s="135" customFormat="1">
      <c r="B15" s="130" t="s">
        <v>255</v>
      </c>
      <c r="C15" s="131" t="s">
        <v>39</v>
      </c>
      <c r="D15" s="132">
        <f>IFERROR(ROUND(VLOOKUP(C15,'PRC Spreadsheet-2020.06.30'!$B$8:$C$111,2,0)/1000,0),0)</f>
        <v>-98341</v>
      </c>
      <c r="E15" s="133"/>
      <c r="F15" s="133"/>
      <c r="G15" s="132">
        <f t="shared" si="0"/>
        <v>-98341</v>
      </c>
      <c r="H15" s="136" t="s">
        <v>1219</v>
      </c>
      <c r="I15" s="135" t="s">
        <v>1221</v>
      </c>
      <c r="J15" s="132">
        <v>-814</v>
      </c>
      <c r="K15" s="132"/>
    </row>
    <row r="16" spans="2:13" s="135" customFormat="1">
      <c r="B16" s="130" t="s">
        <v>256</v>
      </c>
      <c r="C16" s="135" t="s">
        <v>146</v>
      </c>
      <c r="D16" s="132">
        <f>IFERROR(ROUND(VLOOKUP(C16,'PRC Spreadsheet-2020.06.30'!$B$8:$C$111,2,0)/1000,0),0)</f>
        <v>0</v>
      </c>
      <c r="E16" s="133"/>
      <c r="F16" s="133"/>
      <c r="G16" s="132">
        <f t="shared" si="0"/>
        <v>0</v>
      </c>
      <c r="H16" s="136" t="s">
        <v>1220</v>
      </c>
      <c r="I16" s="135" t="s">
        <v>1222</v>
      </c>
      <c r="J16" s="132">
        <v>-652</v>
      </c>
      <c r="K16" s="132"/>
    </row>
    <row r="17" spans="2:11" s="135" customFormat="1">
      <c r="B17" s="130" t="s">
        <v>257</v>
      </c>
      <c r="C17" s="131" t="s">
        <v>10</v>
      </c>
      <c r="D17" s="132">
        <f>IFERROR(ROUND(VLOOKUP(C17,'PRC Spreadsheet-2020.06.30'!$B$8:$C$111,2,0)/1000,0),0)</f>
        <v>734</v>
      </c>
      <c r="E17" s="133"/>
      <c r="F17" s="133"/>
      <c r="G17" s="132">
        <f t="shared" si="0"/>
        <v>734</v>
      </c>
      <c r="H17" s="136"/>
      <c r="J17" s="132"/>
      <c r="K17" s="132"/>
    </row>
    <row r="18" spans="2:11" s="135" customFormat="1">
      <c r="B18" s="130" t="s">
        <v>258</v>
      </c>
      <c r="C18" s="135" t="s">
        <v>78</v>
      </c>
      <c r="D18" s="132">
        <f>IFERROR(ROUND(VLOOKUP(C18,'PRC Spreadsheet-2020.06.30'!$B$8:$C$111,2,0)/1000,0),0)</f>
        <v>47818</v>
      </c>
      <c r="E18" s="133"/>
      <c r="F18" s="133"/>
      <c r="G18" s="132">
        <f t="shared" si="0"/>
        <v>47818</v>
      </c>
      <c r="H18" s="136" t="s">
        <v>147</v>
      </c>
      <c r="I18" s="135" t="s">
        <v>1204</v>
      </c>
      <c r="J18" s="132">
        <v>47817.93</v>
      </c>
      <c r="K18" s="132">
        <f>G18-J18</f>
        <v>6.9999999999708962E-2</v>
      </c>
    </row>
    <row r="19" spans="2:11" s="135" customFormat="1">
      <c r="B19" s="130" t="s">
        <v>259</v>
      </c>
      <c r="C19" s="236" t="s">
        <v>45</v>
      </c>
      <c r="D19" s="132">
        <f>IFERROR(ROUND(VLOOKUP(C19,'PRC Spreadsheet-2020.06.30'!$B$8:$C$111,2,0)/1000,0),0)</f>
        <v>17470</v>
      </c>
      <c r="E19" s="137"/>
      <c r="F19" s="137"/>
      <c r="G19" s="132">
        <f>SUM(D19:F19)</f>
        <v>17470</v>
      </c>
      <c r="H19" s="136" t="s">
        <v>149</v>
      </c>
      <c r="I19" s="135" t="s">
        <v>1205</v>
      </c>
      <c r="J19" s="132">
        <v>17470</v>
      </c>
      <c r="K19" s="132">
        <f>G19-J19</f>
        <v>0</v>
      </c>
    </row>
    <row r="20" spans="2:11" s="135" customFormat="1">
      <c r="B20" s="130" t="s">
        <v>1231</v>
      </c>
      <c r="C20" s="135" t="s">
        <v>1229</v>
      </c>
      <c r="D20" s="132">
        <f>IFERROR(ROUND(VLOOKUP(C20,'PRC Spreadsheet-2020.06.30'!$B$8:$C$111,2,0)/1000,0),0)</f>
        <v>24059</v>
      </c>
      <c r="E20" s="133"/>
      <c r="F20" s="133"/>
      <c r="G20" s="132">
        <f t="shared" si="0"/>
        <v>24059</v>
      </c>
      <c r="H20" s="134" t="s">
        <v>148</v>
      </c>
      <c r="I20" s="135" t="s">
        <v>1206</v>
      </c>
      <c r="J20" s="132">
        <v>-135964.29</v>
      </c>
      <c r="K20" s="132">
        <f>SUM(D20:D23,D12)-J20</f>
        <v>0.29000000000814907</v>
      </c>
    </row>
    <row r="21" spans="2:11" s="135" customFormat="1">
      <c r="B21" s="130" t="s">
        <v>261</v>
      </c>
      <c r="C21" s="135" t="s">
        <v>155</v>
      </c>
      <c r="D21" s="132">
        <f>ROUND('PRC Spreadsheet-2020.06.30'!C51/1000,0)-325</f>
        <v>-1600</v>
      </c>
      <c r="E21" s="133"/>
      <c r="F21" s="133"/>
      <c r="G21" s="132">
        <f>SUM(D21:F21)</f>
        <v>-1600</v>
      </c>
      <c r="H21" s="134"/>
      <c r="J21" s="132"/>
      <c r="K21" s="132"/>
    </row>
    <row r="22" spans="2:11" s="135" customFormat="1">
      <c r="B22" s="130" t="s">
        <v>172</v>
      </c>
      <c r="C22" s="131" t="s">
        <v>173</v>
      </c>
      <c r="D22" s="132">
        <f>IFERROR(ROUND(VLOOKUP(C22,'PRC Spreadsheet-2020.06.30'!$B$8:$C$111,2,0)/1000,0),0)</f>
        <v>-158438</v>
      </c>
      <c r="E22" s="133"/>
      <c r="F22" s="133"/>
      <c r="G22" s="132">
        <f t="shared" si="0"/>
        <v>-158438</v>
      </c>
      <c r="H22" s="134"/>
      <c r="J22" s="132"/>
      <c r="K22" s="132"/>
    </row>
    <row r="23" spans="2:11" s="135" customFormat="1">
      <c r="B23" s="130" t="s">
        <v>260</v>
      </c>
      <c r="C23" s="135" t="s">
        <v>1404</v>
      </c>
      <c r="D23" s="132">
        <f>ROUND('PRC Spreadsheet-2020.06.30'!C44/1000,0)</f>
        <v>0</v>
      </c>
      <c r="E23" s="133"/>
      <c r="F23" s="133"/>
      <c r="G23" s="132">
        <f t="shared" si="0"/>
        <v>0</v>
      </c>
      <c r="H23" s="134" t="s">
        <v>154</v>
      </c>
      <c r="I23" s="135" t="s">
        <v>1207</v>
      </c>
      <c r="J23" s="132">
        <v>0</v>
      </c>
      <c r="K23" s="132"/>
    </row>
    <row r="24" spans="2:11" s="135" customFormat="1">
      <c r="B24" s="130" t="s">
        <v>261</v>
      </c>
      <c r="C24" s="135" t="s">
        <v>1223</v>
      </c>
      <c r="D24" s="132">
        <v>0</v>
      </c>
      <c r="E24" s="133"/>
      <c r="F24" s="133"/>
      <c r="G24" s="132">
        <f t="shared" si="0"/>
        <v>0</v>
      </c>
      <c r="H24" s="134"/>
      <c r="J24" s="132"/>
      <c r="K24" s="132"/>
    </row>
    <row r="25" spans="2:11" s="135" customFormat="1">
      <c r="B25" s="130" t="s">
        <v>262</v>
      </c>
      <c r="C25" s="131" t="s">
        <v>972</v>
      </c>
      <c r="D25" s="132">
        <f>IFERROR(ROUND(VLOOKUP(C25,'PRC Spreadsheet-2020.06.30'!$B$8:$C$111,2,0)/1000,0),0)-32069.088+3925+2000+28144</f>
        <v>-130780.08799999999</v>
      </c>
      <c r="E25" s="238"/>
      <c r="F25" s="133"/>
      <c r="G25" s="132">
        <f t="shared" si="0"/>
        <v>-130780.08799999999</v>
      </c>
      <c r="H25" s="134" t="s">
        <v>157</v>
      </c>
      <c r="I25" s="135" t="s">
        <v>1208</v>
      </c>
      <c r="J25" s="132">
        <v>-170830.30300000001</v>
      </c>
      <c r="K25" s="132">
        <f>G25+G26+G27-J25</f>
        <v>-2.9999999969732016E-2</v>
      </c>
    </row>
    <row r="26" spans="2:11" s="135" customFormat="1">
      <c r="B26" s="130" t="s">
        <v>263</v>
      </c>
      <c r="C26" s="131" t="s">
        <v>158</v>
      </c>
      <c r="D26" s="132">
        <f>IFERROR(ROUND(VLOOKUP(C26,'PRC Spreadsheet-2020.06.30'!$B$8:$C$111,2,0)/1000,0),0)-33761.304</f>
        <v>-39526.303999999996</v>
      </c>
      <c r="E26" s="133"/>
      <c r="F26" s="133"/>
      <c r="G26" s="132">
        <f t="shared" si="0"/>
        <v>-39526.303999999996</v>
      </c>
      <c r="H26" s="134"/>
      <c r="J26" s="132"/>
      <c r="K26" s="132"/>
    </row>
    <row r="27" spans="2:11" s="135" customFormat="1">
      <c r="B27" s="130" t="s">
        <v>264</v>
      </c>
      <c r="C27" s="131" t="s">
        <v>177</v>
      </c>
      <c r="D27" s="132">
        <v>-523.94100000000003</v>
      </c>
      <c r="E27" s="133"/>
      <c r="F27" s="133"/>
      <c r="G27" s="132">
        <f t="shared" si="0"/>
        <v>-523.94100000000003</v>
      </c>
      <c r="H27" s="134"/>
      <c r="J27" s="132"/>
      <c r="K27" s="132"/>
    </row>
    <row r="28" spans="2:11" s="135" customFormat="1">
      <c r="B28" s="130" t="s">
        <v>264</v>
      </c>
      <c r="C28" s="131" t="s">
        <v>56</v>
      </c>
      <c r="D28" s="132">
        <f>IFERROR(ROUND(VLOOKUP(C28,'PRC Spreadsheet-2020.06.30'!$B$8:$C$111,2,0)/1000,0),0)-D27+32069.88-3925-3850+325-2000-28144</f>
        <v>-58531.179000000004</v>
      </c>
      <c r="E28" s="238"/>
      <c r="F28" s="133"/>
      <c r="G28" s="132">
        <f t="shared" si="0"/>
        <v>-58531.179000000004</v>
      </c>
      <c r="H28" s="134" t="s">
        <v>156</v>
      </c>
      <c r="I28" s="135" t="s">
        <v>1209</v>
      </c>
      <c r="J28" s="132">
        <v>-58531.589</v>
      </c>
      <c r="K28" s="132">
        <f>G28-J28</f>
        <v>0.4099999999962165</v>
      </c>
    </row>
    <row r="29" spans="2:11" s="135" customFormat="1">
      <c r="B29" s="130" t="s">
        <v>265</v>
      </c>
      <c r="C29" s="131" t="s">
        <v>15</v>
      </c>
      <c r="D29" s="132">
        <f>IFERROR(ROUND(VLOOKUP(C29,'PRC Spreadsheet-2020.06.30'!$B$8:$C$111,2,0)/1000,0),0)</f>
        <v>-4829</v>
      </c>
      <c r="E29" s="133"/>
      <c r="F29" s="133"/>
      <c r="G29" s="132">
        <f t="shared" si="0"/>
        <v>-4829</v>
      </c>
      <c r="H29" s="134" t="s">
        <v>1198</v>
      </c>
      <c r="I29" s="135" t="s">
        <v>1199</v>
      </c>
      <c r="J29" s="132">
        <v>-23800.54</v>
      </c>
      <c r="K29" s="132">
        <f>G29+G30-J29</f>
        <v>-0.45999999999912689</v>
      </c>
    </row>
    <row r="30" spans="2:11" s="135" customFormat="1">
      <c r="B30" s="130" t="s">
        <v>266</v>
      </c>
      <c r="C30" s="131" t="s">
        <v>54</v>
      </c>
      <c r="D30" s="132">
        <f>IFERROR(ROUND(VLOOKUP(C30,'PRC Spreadsheet-2020.06.30'!$B$8:$C$111,2,0)/1000,0),0)</f>
        <v>-18972</v>
      </c>
      <c r="E30" s="133"/>
      <c r="F30" s="133"/>
      <c r="G30" s="132">
        <f t="shared" si="0"/>
        <v>-18972</v>
      </c>
      <c r="H30" s="134"/>
      <c r="J30" s="132"/>
      <c r="K30" s="132"/>
    </row>
    <row r="31" spans="2:11" s="135" customFormat="1">
      <c r="B31" s="130" t="s">
        <v>175</v>
      </c>
      <c r="C31" s="131" t="s">
        <v>174</v>
      </c>
      <c r="D31" s="132">
        <f>IFERROR(ROUND(VLOOKUP(C31,'PRC Spreadsheet-2020.06.30'!$B$8:$C$111,2,0)/1000,0),0)</f>
        <v>-1055</v>
      </c>
      <c r="E31" s="133"/>
      <c r="F31" s="133"/>
      <c r="G31" s="132">
        <f t="shared" si="0"/>
        <v>-1055</v>
      </c>
      <c r="H31" s="134" t="s">
        <v>176</v>
      </c>
      <c r="I31" s="135" t="s">
        <v>1210</v>
      </c>
      <c r="J31" s="132">
        <v>-1055.1099999999999</v>
      </c>
      <c r="K31" s="132">
        <f>G31-J31</f>
        <v>0.10999999999989996</v>
      </c>
    </row>
    <row r="32" spans="2:11" s="135" customFormat="1">
      <c r="B32" s="130" t="s">
        <v>267</v>
      </c>
      <c r="C32" s="131" t="s">
        <v>19</v>
      </c>
      <c r="D32" s="132">
        <f>IFERROR(ROUND(VLOOKUP(C32,'PRC Spreadsheet-2020.06.30'!$B$8:$C$111,2,0)/1000,0),0)</f>
        <v>-306850</v>
      </c>
      <c r="E32" s="133"/>
      <c r="F32" s="133"/>
      <c r="G32" s="132">
        <f t="shared" si="0"/>
        <v>-306850</v>
      </c>
      <c r="H32" s="134" t="s">
        <v>1426</v>
      </c>
      <c r="I32" s="135" t="s">
        <v>1211</v>
      </c>
      <c r="J32" s="132">
        <v>-306849.86</v>
      </c>
      <c r="K32" s="132">
        <f>G32-J32</f>
        <v>-0.14000000001396984</v>
      </c>
    </row>
    <row r="33" spans="2:11" s="135" customFormat="1">
      <c r="B33" s="130" t="s">
        <v>169</v>
      </c>
      <c r="C33" s="131" t="s">
        <v>170</v>
      </c>
      <c r="D33" s="132">
        <f>IFERROR(ROUND(VLOOKUP(C33,'PRC Spreadsheet-2020.06.30'!$B$8:$C$111,2,0)/1000,0),0)</f>
        <v>0</v>
      </c>
      <c r="E33" s="133"/>
      <c r="F33" s="133"/>
      <c r="G33" s="132">
        <f t="shared" si="0"/>
        <v>0</v>
      </c>
      <c r="H33" s="134" t="s">
        <v>171</v>
      </c>
      <c r="I33" s="135" t="s">
        <v>1212</v>
      </c>
      <c r="J33" s="132">
        <v>0</v>
      </c>
      <c r="K33" s="132">
        <f>G33-J33</f>
        <v>0</v>
      </c>
    </row>
    <row r="34" spans="2:11" s="135" customFormat="1">
      <c r="B34" s="130" t="s">
        <v>268</v>
      </c>
      <c r="C34" s="131" t="s">
        <v>21</v>
      </c>
      <c r="D34" s="132">
        <f>IFERROR(ROUND(VLOOKUP(C34,'PRC Spreadsheet-2020.06.30'!$B$8:$C$111,2,0)/1000,0),0)-D35</f>
        <v>-1105</v>
      </c>
      <c r="E34" s="137"/>
      <c r="F34" s="137"/>
      <c r="G34" s="132">
        <f>SUBTOTAL(9,D34:F34)</f>
        <v>-1105</v>
      </c>
      <c r="H34" s="134" t="s">
        <v>159</v>
      </c>
      <c r="I34" s="135" t="s">
        <v>1213</v>
      </c>
      <c r="J34" s="132">
        <v>-1104</v>
      </c>
      <c r="K34" s="132">
        <f>G34-J34</f>
        <v>-1</v>
      </c>
    </row>
    <row r="35" spans="2:11" s="135" customFormat="1">
      <c r="B35" s="130" t="s">
        <v>269</v>
      </c>
      <c r="C35" s="131" t="s">
        <v>20</v>
      </c>
      <c r="D35" s="132">
        <f>ROUND('PRC Spreadsheet-2020.06.30'!C93/1000,0)</f>
        <v>-27643</v>
      </c>
      <c r="E35" s="137"/>
      <c r="F35" s="137"/>
      <c r="G35" s="132">
        <f>SUBTOTAL(9,D35:F35)</f>
        <v>-27643</v>
      </c>
      <c r="H35" s="134" t="s">
        <v>160</v>
      </c>
      <c r="I35" s="135" t="s">
        <v>1214</v>
      </c>
      <c r="J35" s="132">
        <v>-27645.0905329794</v>
      </c>
      <c r="K35" s="132">
        <f>G35-J35</f>
        <v>2.0905329794004501</v>
      </c>
    </row>
    <row r="36" spans="2:11">
      <c r="B36" s="138"/>
      <c r="H36" s="134"/>
    </row>
    <row r="37" spans="2:11">
      <c r="D37" s="119">
        <f>SUM(D4:D35)</f>
        <v>2.1549000000813976</v>
      </c>
      <c r="H37" s="134"/>
      <c r="J37" s="119">
        <f>SUM(J4:J35)</f>
        <v>0.17146702064565034</v>
      </c>
      <c r="K37" s="119">
        <f>SUM(K4:K35)</f>
        <v>1.6834329794503446</v>
      </c>
    </row>
    <row r="38" spans="2:11">
      <c r="K38" s="119">
        <f>K35-K37</f>
        <v>0.40709999995010548</v>
      </c>
    </row>
  </sheetData>
  <mergeCells count="4">
    <mergeCell ref="B2:B3"/>
    <mergeCell ref="C2:C3"/>
    <mergeCell ref="H2:H3"/>
    <mergeCell ref="I2:I3"/>
  </mergeCells>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32"/>
  <sheetViews>
    <sheetView workbookViewId="0">
      <pane ySplit="2" topLeftCell="A291" activePane="bottomLeft" state="frozen"/>
      <selection activeCell="C21" sqref="C21"/>
      <selection pane="bottomLeft" activeCell="E330" sqref="E330"/>
    </sheetView>
  </sheetViews>
  <sheetFormatPr defaultColWidth="9.109375" defaultRowHeight="13.15"/>
  <cols>
    <col min="1" max="1" width="10.21875" style="3" customWidth="1"/>
    <col min="2" max="2" width="42.77734375" style="3" customWidth="1"/>
    <col min="3" max="3" width="9.109375" style="3"/>
    <col min="4" max="4" width="32.109375" style="3" customWidth="1"/>
    <col min="5" max="5" width="15.6640625" style="5" bestFit="1" customWidth="1"/>
    <col min="6" max="6" width="16.109375" style="3" bestFit="1" customWidth="1"/>
    <col min="7" max="7" width="16.88671875" style="3" bestFit="1" customWidth="1"/>
    <col min="8" max="16384" width="9.109375" style="3"/>
  </cols>
  <sheetData>
    <row r="1" spans="1:10">
      <c r="A1" s="330" t="s">
        <v>941</v>
      </c>
      <c r="B1" s="330"/>
      <c r="C1" s="330" t="s">
        <v>942</v>
      </c>
      <c r="D1" s="330"/>
      <c r="E1" s="7"/>
    </row>
    <row r="2" spans="1:10">
      <c r="A2" s="1" t="s">
        <v>322</v>
      </c>
      <c r="B2" s="1" t="s">
        <v>323</v>
      </c>
      <c r="C2" s="1" t="s">
        <v>324</v>
      </c>
      <c r="D2" s="1" t="s">
        <v>325</v>
      </c>
      <c r="E2" s="2" t="s">
        <v>943</v>
      </c>
    </row>
    <row r="3" spans="1:10" s="249" customFormat="1">
      <c r="A3" s="247" t="s">
        <v>326</v>
      </c>
      <c r="B3" s="248" t="s">
        <v>1171</v>
      </c>
      <c r="C3" s="247" t="s">
        <v>331</v>
      </c>
      <c r="D3" s="249" t="s">
        <v>332</v>
      </c>
      <c r="E3" s="245" t="s">
        <v>1168</v>
      </c>
      <c r="H3" s="249">
        <f>VLOOKUP(C3,'PL MAPPING'!C:E,3,0)</f>
        <v>0</v>
      </c>
      <c r="J3" s="249" t="str">
        <f>VLOOKUP(C3,'[11]Chart of Accounts1'!$A$2:$M$800,13,0)</f>
        <v>601100</v>
      </c>
    </row>
    <row r="4" spans="1:10" s="249" customFormat="1">
      <c r="A4" s="247" t="s">
        <v>326</v>
      </c>
      <c r="B4" s="248" t="s">
        <v>1171</v>
      </c>
      <c r="C4" s="247" t="s">
        <v>327</v>
      </c>
      <c r="D4" s="249" t="s">
        <v>328</v>
      </c>
      <c r="E4" s="245">
        <v>166411594.15000001</v>
      </c>
      <c r="F4" s="245">
        <f>-341613.05376*1000</f>
        <v>-341613053.75999999</v>
      </c>
      <c r="G4" s="250">
        <f>F4+E4</f>
        <v>-175201459.60999998</v>
      </c>
      <c r="H4" s="249">
        <f>VLOOKUP(C4,'PL MAPPING'!C:E,3,0)</f>
        <v>215147669.41999999</v>
      </c>
      <c r="J4" s="249" t="str">
        <f>VLOOKUP(C4,'[11]Chart of Accounts1'!$A$2:$M$800,13,0)</f>
        <v>601100</v>
      </c>
    </row>
    <row r="5" spans="1:10" s="249" customFormat="1" ht="15.05">
      <c r="A5" s="247" t="s">
        <v>326</v>
      </c>
      <c r="B5" s="248" t="s">
        <v>1171</v>
      </c>
      <c r="C5" s="247" t="s">
        <v>329</v>
      </c>
      <c r="D5" s="249" t="s">
        <v>330</v>
      </c>
      <c r="E5" s="245" t="s">
        <v>1168</v>
      </c>
      <c r="F5" s="251"/>
      <c r="H5" s="249">
        <f>VLOOKUP(C5,'PL MAPPING'!C:E,3,0)</f>
        <v>0</v>
      </c>
      <c r="J5" s="249" t="str">
        <f>VLOOKUP(C5,'[11]Chart of Accounts1'!$A$2:$M$800,13,0)</f>
        <v>601100</v>
      </c>
    </row>
    <row r="6" spans="1:10" s="249" customFormat="1" ht="15.05">
      <c r="A6" s="247" t="s">
        <v>326</v>
      </c>
      <c r="B6" s="248" t="s">
        <v>1171</v>
      </c>
      <c r="C6" s="247" t="s">
        <v>333</v>
      </c>
      <c r="D6" s="249" t="s">
        <v>334</v>
      </c>
      <c r="E6" s="245" t="s">
        <v>1168</v>
      </c>
      <c r="F6" s="251"/>
      <c r="H6" s="249" t="e">
        <f>VLOOKUP(C6,'PL MAPPING'!C:E,3,0)</f>
        <v>#N/A</v>
      </c>
      <c r="J6" s="249" t="str">
        <f>VLOOKUP(C6,'[11]Chart of Accounts1'!$A$2:$M$800,13,0)</f>
        <v>601100</v>
      </c>
    </row>
    <row r="7" spans="1:10" s="249" customFormat="1" ht="15.05">
      <c r="A7" s="247" t="s">
        <v>335</v>
      </c>
      <c r="B7" s="248" t="s">
        <v>1173</v>
      </c>
      <c r="C7" s="247" t="s">
        <v>336</v>
      </c>
      <c r="D7" s="249" t="s">
        <v>337</v>
      </c>
      <c r="E7" s="245" t="s">
        <v>1168</v>
      </c>
      <c r="F7" s="251"/>
      <c r="H7" s="249" t="e">
        <f>VLOOKUP(C7,'PL MAPPING'!C:E,3,0)</f>
        <v>#N/A</v>
      </c>
      <c r="J7" s="249" t="str">
        <f>VLOOKUP(C7,'[11]Chart of Accounts1'!$A$2:$M$800,13,0)</f>
        <v>601140</v>
      </c>
    </row>
    <row r="8" spans="1:10" ht="15.05">
      <c r="A8" s="4" t="s">
        <v>338</v>
      </c>
      <c r="B8" s="6" t="s">
        <v>1174</v>
      </c>
      <c r="C8" s="4" t="s">
        <v>339</v>
      </c>
      <c r="D8" s="3" t="s">
        <v>340</v>
      </c>
      <c r="E8" s="245" t="s">
        <v>1168</v>
      </c>
      <c r="F8" s="246"/>
      <c r="H8" s="249" t="e">
        <f>VLOOKUP(C8,'PL MAPPING'!C:E,3,0)</f>
        <v>#N/A</v>
      </c>
      <c r="J8" s="249" t="str">
        <f>VLOOKUP(C8,'[11]Chart of Accounts1'!$A$2:$M$800,13,0)</f>
        <v>601150</v>
      </c>
    </row>
    <row r="9" spans="1:10" ht="15.05">
      <c r="A9" s="4" t="s">
        <v>341</v>
      </c>
      <c r="B9" s="6" t="s">
        <v>342</v>
      </c>
      <c r="C9" s="4" t="s">
        <v>343</v>
      </c>
      <c r="D9" s="3" t="s">
        <v>344</v>
      </c>
      <c r="E9" s="245" t="s">
        <v>1168</v>
      </c>
      <c r="F9" s="246"/>
      <c r="H9" s="249" t="e">
        <f>VLOOKUP(C9,'PL MAPPING'!C:E,3,0)</f>
        <v>#N/A</v>
      </c>
      <c r="J9" s="249" t="str">
        <f>VLOOKUP(C9,'[11]Chart of Accounts1'!$A$2:$M$800,13,0)</f>
        <v>601160</v>
      </c>
    </row>
    <row r="10" spans="1:10" s="249" customFormat="1" ht="15.05">
      <c r="A10" s="247" t="s">
        <v>345</v>
      </c>
      <c r="B10" s="248" t="s">
        <v>346</v>
      </c>
      <c r="C10" s="247" t="s">
        <v>347</v>
      </c>
      <c r="D10" s="249" t="s">
        <v>348</v>
      </c>
      <c r="E10" s="245">
        <v>-675965.99</v>
      </c>
      <c r="F10" s="251"/>
      <c r="H10" s="249">
        <f>VLOOKUP(C10,'PL MAPPING'!C:E,3,0)</f>
        <v>-834332.98</v>
      </c>
      <c r="J10" s="249" t="str">
        <f>VLOOKUP(C10,'[11]Chart of Accounts1'!$A$2:$M$800,13,0)</f>
        <v>601200</v>
      </c>
    </row>
    <row r="11" spans="1:10" s="249" customFormat="1" ht="15.05">
      <c r="A11" s="247" t="s">
        <v>345</v>
      </c>
      <c r="B11" s="248" t="s">
        <v>346</v>
      </c>
      <c r="C11" s="247" t="s">
        <v>349</v>
      </c>
      <c r="D11" s="249" t="s">
        <v>350</v>
      </c>
      <c r="E11" s="245" t="s">
        <v>1168</v>
      </c>
      <c r="F11" s="251"/>
      <c r="H11" s="249">
        <f>VLOOKUP(C11,'PL MAPPING'!C:E,3,0)</f>
        <v>0</v>
      </c>
      <c r="J11" s="249" t="str">
        <f>VLOOKUP(C11,'[11]Chart of Accounts1'!$A$2:$M$800,13,0)</f>
        <v>601200</v>
      </c>
    </row>
    <row r="12" spans="1:10" ht="15.05">
      <c r="A12" s="4" t="s">
        <v>351</v>
      </c>
      <c r="B12" s="6" t="s">
        <v>1169</v>
      </c>
      <c r="C12" s="4" t="s">
        <v>352</v>
      </c>
      <c r="D12" s="3" t="s">
        <v>353</v>
      </c>
      <c r="E12" s="245" t="s">
        <v>1168</v>
      </c>
      <c r="F12"/>
      <c r="H12" s="249">
        <f>VLOOKUP(C12,'PL MAPPING'!C:E,3,0)</f>
        <v>0</v>
      </c>
      <c r="J12" s="249" t="str">
        <f>VLOOKUP(C12,'[11]Chart of Accounts1'!$A$2:$M$800,13,0)</f>
        <v>601260</v>
      </c>
    </row>
    <row r="13" spans="1:10" ht="15.05">
      <c r="A13" s="3" t="s">
        <v>354</v>
      </c>
      <c r="B13" s="6" t="s">
        <v>355</v>
      </c>
      <c r="C13" s="3" t="s">
        <v>356</v>
      </c>
      <c r="D13" s="3" t="s">
        <v>357</v>
      </c>
      <c r="E13" s="245">
        <v>1734088.27</v>
      </c>
      <c r="F13"/>
      <c r="H13" s="249">
        <f>VLOOKUP(C13,'PL MAPPING'!C:E,3,0)</f>
        <v>1716450.51</v>
      </c>
      <c r="J13" s="249" t="str">
        <f>VLOOKUP(C13,'[11]Chart of Accounts1'!$A$2:$M$800,13,0)</f>
        <v>603100</v>
      </c>
    </row>
    <row r="14" spans="1:10" ht="15.05">
      <c r="A14" s="4" t="s">
        <v>354</v>
      </c>
      <c r="B14" s="6" t="s">
        <v>355</v>
      </c>
      <c r="C14" s="4" t="s">
        <v>358</v>
      </c>
      <c r="D14" s="3" t="s">
        <v>359</v>
      </c>
      <c r="E14" s="245">
        <v>-844416.76</v>
      </c>
      <c r="F14"/>
      <c r="H14" s="249">
        <f>VLOOKUP(C14,'PL MAPPING'!C:E,3,0)</f>
        <v>-916643.22</v>
      </c>
      <c r="J14" s="249" t="str">
        <f>VLOOKUP(C14,'[11]Chart of Accounts1'!$A$2:$M$800,13,0)</f>
        <v>603100</v>
      </c>
    </row>
    <row r="15" spans="1:10" ht="15.05">
      <c r="A15" s="4" t="s">
        <v>360</v>
      </c>
      <c r="B15" s="6" t="s">
        <v>361</v>
      </c>
      <c r="C15" s="4" t="s">
        <v>362</v>
      </c>
      <c r="D15" s="3" t="s">
        <v>363</v>
      </c>
      <c r="E15" s="245">
        <v>-1359437.37</v>
      </c>
      <c r="F15"/>
      <c r="H15" s="249">
        <f>VLOOKUP(C15,'PL MAPPING'!C:E,3,0)</f>
        <v>-1376524.85</v>
      </c>
      <c r="J15" s="249" t="str">
        <f>VLOOKUP(C15,'[11]Chart of Accounts1'!$A$2:$M$800,13,0)</f>
        <v>603150</v>
      </c>
    </row>
    <row r="16" spans="1:10" ht="15.05">
      <c r="A16" s="4" t="s">
        <v>360</v>
      </c>
      <c r="B16" s="6" t="s">
        <v>361</v>
      </c>
      <c r="C16" s="4" t="s">
        <v>364</v>
      </c>
      <c r="D16" s="3" t="s">
        <v>365</v>
      </c>
      <c r="E16" s="245" t="s">
        <v>1168</v>
      </c>
      <c r="F16"/>
      <c r="H16" s="249">
        <f>VLOOKUP(C16,'PL MAPPING'!C:E,3,0)</f>
        <v>0</v>
      </c>
      <c r="J16" s="249" t="str">
        <f>VLOOKUP(C16,'[11]Chart of Accounts1'!$A$2:$M$800,13,0)</f>
        <v>603150</v>
      </c>
    </row>
    <row r="17" spans="1:10" ht="15.05">
      <c r="A17" s="4" t="s">
        <v>366</v>
      </c>
      <c r="B17" s="6" t="s">
        <v>367</v>
      </c>
      <c r="C17" s="4" t="s">
        <v>368</v>
      </c>
      <c r="D17" s="3" t="s">
        <v>369</v>
      </c>
      <c r="E17" s="245">
        <v>1749492.96</v>
      </c>
      <c r="F17"/>
      <c r="H17" s="249">
        <f>VLOOKUP(C17,'PL MAPPING'!C:E,3,0)</f>
        <v>1689981.34</v>
      </c>
      <c r="J17" s="249" t="str">
        <f>VLOOKUP(C17,'[11]Chart of Accounts1'!$A$2:$M$800,13,0)</f>
        <v>603160</v>
      </c>
    </row>
    <row r="18" spans="1:10" ht="15.05">
      <c r="A18" s="4" t="s">
        <v>370</v>
      </c>
      <c r="B18" s="6" t="s">
        <v>1172</v>
      </c>
      <c r="C18" s="4" t="s">
        <v>371</v>
      </c>
      <c r="D18" s="3" t="s">
        <v>372</v>
      </c>
      <c r="E18" s="245" t="s">
        <v>1168</v>
      </c>
      <c r="F18"/>
      <c r="H18" s="249">
        <f>VLOOKUP(C18,'PL MAPPING'!C:E,3,0)</f>
        <v>-196638.8</v>
      </c>
      <c r="J18" s="249" t="str">
        <f>VLOOKUP(C18,'[11]Chart of Accounts1'!$A$2:$M$800,13,0)</f>
        <v>603218</v>
      </c>
    </row>
    <row r="19" spans="1:10" ht="15.05">
      <c r="A19" s="3" t="s">
        <v>373</v>
      </c>
      <c r="B19" s="6" t="s">
        <v>1187</v>
      </c>
      <c r="C19" s="3" t="s">
        <v>374</v>
      </c>
      <c r="D19" s="3" t="s">
        <v>375</v>
      </c>
      <c r="E19" s="245">
        <v>7624398.7300000004</v>
      </c>
      <c r="F19"/>
      <c r="H19" s="249">
        <f>VLOOKUP(C19,'PL MAPPING'!C:E,3,0)</f>
        <v>9555909.9800000004</v>
      </c>
      <c r="J19" s="249" t="str">
        <f>VLOOKUP(C19,'[11]Chart of Accounts1'!$A$2:$M$800,13,0)</f>
        <v>603400</v>
      </c>
    </row>
    <row r="20" spans="1:10" ht="15.05">
      <c r="A20" s="4" t="s">
        <v>376</v>
      </c>
      <c r="B20" s="6" t="s">
        <v>1185</v>
      </c>
      <c r="C20" s="4" t="s">
        <v>377</v>
      </c>
      <c r="D20" s="3" t="s">
        <v>378</v>
      </c>
      <c r="E20" s="245">
        <v>562397.12</v>
      </c>
      <c r="F20"/>
      <c r="H20" s="249">
        <f>VLOOKUP(C20,'PL MAPPING'!C:E,3,0)</f>
        <v>975177.52</v>
      </c>
      <c r="J20" s="249" t="str">
        <f>VLOOKUP(C20,'[11]Chart of Accounts1'!$A$2:$M$800,13,0)</f>
        <v>603410</v>
      </c>
    </row>
    <row r="21" spans="1:10" ht="15.05">
      <c r="A21" s="3" t="s">
        <v>379</v>
      </c>
      <c r="B21" s="6" t="s">
        <v>1188</v>
      </c>
      <c r="C21" s="3" t="s">
        <v>380</v>
      </c>
      <c r="D21" s="3" t="s">
        <v>381</v>
      </c>
      <c r="E21" s="245" t="s">
        <v>1168</v>
      </c>
      <c r="F21"/>
      <c r="H21" s="249">
        <f>VLOOKUP(C21,'PL MAPPING'!C:E,3,0)</f>
        <v>0</v>
      </c>
      <c r="J21" s="249" t="str">
        <f>VLOOKUP(C21,'[11]Chart of Accounts1'!$A$2:$M$800,13,0)</f>
        <v>603420</v>
      </c>
    </row>
    <row r="22" spans="1:10">
      <c r="A22" s="4" t="s">
        <v>382</v>
      </c>
      <c r="B22" s="6" t="s">
        <v>383</v>
      </c>
      <c r="C22" s="4" t="s">
        <v>384</v>
      </c>
      <c r="D22" s="3" t="s">
        <v>385</v>
      </c>
      <c r="E22" s="245" t="s">
        <v>1168</v>
      </c>
      <c r="H22" s="249">
        <f>VLOOKUP(C22,'PL MAPPING'!C:E,3,0)</f>
        <v>75825</v>
      </c>
      <c r="J22" s="249" t="str">
        <f>VLOOKUP(C22,'[11]Chart of Accounts1'!$A$2:$M$800,13,0)</f>
        <v>603440</v>
      </c>
    </row>
    <row r="23" spans="1:10">
      <c r="A23" s="4" t="s">
        <v>386</v>
      </c>
      <c r="B23" s="6" t="s">
        <v>1186</v>
      </c>
      <c r="C23" s="4" t="s">
        <v>387</v>
      </c>
      <c r="D23" s="3" t="s">
        <v>388</v>
      </c>
      <c r="E23" s="245" t="s">
        <v>1168</v>
      </c>
      <c r="H23" s="249" t="e">
        <f>VLOOKUP(C23,'PL MAPPING'!C:E,3,0)</f>
        <v>#N/A</v>
      </c>
      <c r="J23" s="249" t="str">
        <f>VLOOKUP(C23,'[11]Chart of Accounts1'!$A$2:$M$800,13,0)</f>
        <v>610100</v>
      </c>
    </row>
    <row r="24" spans="1:10">
      <c r="A24" s="4" t="s">
        <v>389</v>
      </c>
      <c r="B24" s="6" t="s">
        <v>390</v>
      </c>
      <c r="C24" s="4" t="s">
        <v>393</v>
      </c>
      <c r="D24" s="3" t="s">
        <v>394</v>
      </c>
      <c r="E24" s="245">
        <v>-93503.49</v>
      </c>
      <c r="H24" s="249">
        <f>VLOOKUP(C24,'PL MAPPING'!C:E,3,0)</f>
        <v>-100561.11</v>
      </c>
      <c r="J24" s="249" t="str">
        <f>VLOOKUP(C24,'[11]Chart of Accounts1'!$A$2:$M$800,13,0)</f>
        <v>610201</v>
      </c>
    </row>
    <row r="25" spans="1:10">
      <c r="A25" s="4" t="s">
        <v>389</v>
      </c>
      <c r="B25" s="6" t="s">
        <v>390</v>
      </c>
      <c r="C25" s="4" t="s">
        <v>391</v>
      </c>
      <c r="D25" s="3" t="s">
        <v>392</v>
      </c>
      <c r="E25" s="245">
        <v>-1555333.57</v>
      </c>
      <c r="H25" s="249">
        <f>VLOOKUP(C25,'PL MAPPING'!C:E,3,0)</f>
        <v>-6877706.0999999996</v>
      </c>
      <c r="J25" s="249" t="str">
        <f>VLOOKUP(C25,'[11]Chart of Accounts1'!$A$2:$M$800,13,0)</f>
        <v>610201</v>
      </c>
    </row>
    <row r="26" spans="1:10">
      <c r="A26" s="4" t="s">
        <v>395</v>
      </c>
      <c r="B26" s="6" t="s">
        <v>396</v>
      </c>
      <c r="C26" s="4" t="s">
        <v>453</v>
      </c>
      <c r="D26" s="3" t="s">
        <v>454</v>
      </c>
      <c r="E26" s="245" t="s">
        <v>1168</v>
      </c>
      <c r="H26" s="249">
        <f>VLOOKUP(C26,'PL MAPPING'!C:E,3,0)</f>
        <v>0</v>
      </c>
      <c r="J26" s="249" t="str">
        <f>VLOOKUP(C26,'[11]Chart of Accounts1'!$A$2:$M$800,13,0)</f>
        <v>610400</v>
      </c>
    </row>
    <row r="27" spans="1:10">
      <c r="A27" s="4" t="s">
        <v>395</v>
      </c>
      <c r="B27" s="6" t="s">
        <v>396</v>
      </c>
      <c r="C27" s="4" t="s">
        <v>461</v>
      </c>
      <c r="D27" s="3" t="s">
        <v>462</v>
      </c>
      <c r="E27" s="245">
        <v>105733.7</v>
      </c>
      <c r="H27" s="249">
        <f>VLOOKUP(C27,'PL MAPPING'!C:E,3,0)</f>
        <v>126273</v>
      </c>
      <c r="J27" s="249" t="str">
        <f>VLOOKUP(C27,'[11]Chart of Accounts1'!$A$2:$M$800,13,0)</f>
        <v>610400</v>
      </c>
    </row>
    <row r="28" spans="1:10">
      <c r="A28" s="4" t="s">
        <v>395</v>
      </c>
      <c r="B28" s="6" t="s">
        <v>396</v>
      </c>
      <c r="C28" s="4" t="s">
        <v>457</v>
      </c>
      <c r="D28" s="3" t="s">
        <v>458</v>
      </c>
      <c r="E28" s="245">
        <v>350002</v>
      </c>
      <c r="H28" s="249">
        <f>VLOOKUP(C28,'PL MAPPING'!C:E,3,0)</f>
        <v>412502.25</v>
      </c>
      <c r="J28" s="249" t="str">
        <f>VLOOKUP(C28,'[11]Chart of Accounts1'!$A$2:$M$800,13,0)</f>
        <v>610400</v>
      </c>
    </row>
    <row r="29" spans="1:10">
      <c r="A29" s="4" t="s">
        <v>395</v>
      </c>
      <c r="B29" s="6" t="s">
        <v>396</v>
      </c>
      <c r="C29" s="4" t="s">
        <v>455</v>
      </c>
      <c r="D29" s="3" t="s">
        <v>456</v>
      </c>
      <c r="E29" s="245">
        <v>739200.25</v>
      </c>
      <c r="H29" s="249">
        <f>VLOOKUP(C29,'PL MAPPING'!C:E,3,0)</f>
        <v>1505399.13</v>
      </c>
      <c r="J29" s="249" t="str">
        <f>VLOOKUP(C29,'[11]Chart of Accounts1'!$A$2:$M$800,13,0)</f>
        <v>610400</v>
      </c>
    </row>
    <row r="30" spans="1:10">
      <c r="A30" s="4" t="s">
        <v>395</v>
      </c>
      <c r="B30" s="6" t="s">
        <v>396</v>
      </c>
      <c r="C30" s="4" t="s">
        <v>459</v>
      </c>
      <c r="D30" s="3" t="s">
        <v>460</v>
      </c>
      <c r="E30" s="245">
        <v>973672.22</v>
      </c>
      <c r="H30" s="249">
        <f>VLOOKUP(C30,'PL MAPPING'!C:E,3,0)</f>
        <v>1174131.25</v>
      </c>
      <c r="J30" s="249" t="str">
        <f>VLOOKUP(C30,'[11]Chart of Accounts1'!$A$2:$M$800,13,0)</f>
        <v>610400</v>
      </c>
    </row>
    <row r="31" spans="1:10">
      <c r="A31" s="4" t="s">
        <v>395</v>
      </c>
      <c r="B31" s="6" t="s">
        <v>396</v>
      </c>
      <c r="C31" s="4" t="s">
        <v>469</v>
      </c>
      <c r="D31" s="3" t="s">
        <v>470</v>
      </c>
      <c r="E31" s="245" t="s">
        <v>1168</v>
      </c>
      <c r="H31" s="249">
        <f>VLOOKUP(C31,'PL MAPPING'!C:E,3,0)</f>
        <v>0</v>
      </c>
      <c r="J31" s="249" t="str">
        <f>VLOOKUP(C31,'[11]Chart of Accounts1'!$A$2:$M$800,13,0)</f>
        <v>610400</v>
      </c>
    </row>
    <row r="32" spans="1:10">
      <c r="A32" s="4" t="s">
        <v>395</v>
      </c>
      <c r="B32" s="6" t="s">
        <v>396</v>
      </c>
      <c r="C32" s="4" t="s">
        <v>463</v>
      </c>
      <c r="D32" s="3" t="s">
        <v>464</v>
      </c>
      <c r="E32" s="245" t="s">
        <v>1168</v>
      </c>
      <c r="H32" s="249">
        <f>VLOOKUP(C32,'PL MAPPING'!C:E,3,0)</f>
        <v>0</v>
      </c>
      <c r="J32" s="249" t="str">
        <f>VLOOKUP(C32,'[11]Chart of Accounts1'!$A$2:$M$800,13,0)</f>
        <v>610400</v>
      </c>
    </row>
    <row r="33" spans="1:10">
      <c r="A33" s="4" t="s">
        <v>395</v>
      </c>
      <c r="B33" s="6" t="s">
        <v>396</v>
      </c>
      <c r="C33" s="4" t="s">
        <v>465</v>
      </c>
      <c r="D33" s="3" t="s">
        <v>466</v>
      </c>
      <c r="E33" s="245" t="s">
        <v>1168</v>
      </c>
      <c r="H33" s="249">
        <f>VLOOKUP(C33,'PL MAPPING'!C:E,3,0)</f>
        <v>85615.74</v>
      </c>
      <c r="J33" s="249" t="str">
        <f>VLOOKUP(C33,'[11]Chart of Accounts1'!$A$2:$M$800,13,0)</f>
        <v>610400</v>
      </c>
    </row>
    <row r="34" spans="1:10">
      <c r="A34" s="4" t="s">
        <v>395</v>
      </c>
      <c r="B34" s="6" t="s">
        <v>396</v>
      </c>
      <c r="C34" s="4" t="s">
        <v>497</v>
      </c>
      <c r="D34" s="3" t="s">
        <v>498</v>
      </c>
      <c r="E34" s="245" t="s">
        <v>1168</v>
      </c>
      <c r="H34" s="249">
        <f>VLOOKUP(C34,'PL MAPPING'!C:E,3,0)</f>
        <v>0</v>
      </c>
      <c r="J34" s="249" t="str">
        <f>VLOOKUP(C34,'[11]Chart of Accounts1'!$A$2:$M$800,13,0)</f>
        <v>610400</v>
      </c>
    </row>
    <row r="35" spans="1:10">
      <c r="A35" s="4" t="s">
        <v>395</v>
      </c>
      <c r="B35" s="6" t="s">
        <v>396</v>
      </c>
      <c r="C35" s="4" t="s">
        <v>481</v>
      </c>
      <c r="D35" s="3" t="s">
        <v>482</v>
      </c>
      <c r="E35" s="245" t="s">
        <v>1168</v>
      </c>
      <c r="H35" s="249">
        <f>VLOOKUP(C35,'PL MAPPING'!C:E,3,0)</f>
        <v>0</v>
      </c>
      <c r="J35" s="249" t="str">
        <f>VLOOKUP(C35,'[11]Chart of Accounts1'!$A$2:$M$800,13,0)</f>
        <v>610400</v>
      </c>
    </row>
    <row r="36" spans="1:10">
      <c r="A36" s="4" t="s">
        <v>395</v>
      </c>
      <c r="B36" s="6" t="s">
        <v>396</v>
      </c>
      <c r="C36" s="4" t="s">
        <v>477</v>
      </c>
      <c r="D36" s="3" t="s">
        <v>478</v>
      </c>
      <c r="E36" s="245" t="s">
        <v>1168</v>
      </c>
      <c r="H36" s="249">
        <f>VLOOKUP(C36,'PL MAPPING'!C:E,3,0)</f>
        <v>0</v>
      </c>
      <c r="J36" s="249" t="str">
        <f>VLOOKUP(C36,'[11]Chart of Accounts1'!$A$2:$M$800,13,0)</f>
        <v>610400</v>
      </c>
    </row>
    <row r="37" spans="1:10">
      <c r="A37" s="4" t="s">
        <v>395</v>
      </c>
      <c r="B37" s="6" t="s">
        <v>396</v>
      </c>
      <c r="C37" s="4" t="s">
        <v>501</v>
      </c>
      <c r="D37" s="3" t="s">
        <v>502</v>
      </c>
      <c r="E37" s="245" t="s">
        <v>1168</v>
      </c>
      <c r="H37" s="249">
        <f>VLOOKUP(C37,'PL MAPPING'!C:E,3,0)</f>
        <v>0</v>
      </c>
      <c r="J37" s="249" t="str">
        <f>VLOOKUP(C37,'[11]Chart of Accounts1'!$A$2:$M$800,13,0)</f>
        <v>610400</v>
      </c>
    </row>
    <row r="38" spans="1:10">
      <c r="A38" s="4" t="s">
        <v>395</v>
      </c>
      <c r="B38" s="6" t="s">
        <v>396</v>
      </c>
      <c r="C38" s="4" t="s">
        <v>485</v>
      </c>
      <c r="D38" s="3" t="s">
        <v>486</v>
      </c>
      <c r="E38" s="245" t="s">
        <v>1168</v>
      </c>
      <c r="H38" s="249">
        <f>VLOOKUP(C38,'PL MAPPING'!C:E,3,0)</f>
        <v>0</v>
      </c>
      <c r="J38" s="249" t="str">
        <f>VLOOKUP(C38,'[11]Chart of Accounts1'!$A$2:$M$800,13,0)</f>
        <v>610400</v>
      </c>
    </row>
    <row r="39" spans="1:10">
      <c r="A39" s="4" t="s">
        <v>395</v>
      </c>
      <c r="B39" s="6" t="s">
        <v>396</v>
      </c>
      <c r="C39" s="4" t="s">
        <v>483</v>
      </c>
      <c r="D39" s="3" t="s">
        <v>484</v>
      </c>
      <c r="E39" s="245" t="s">
        <v>1168</v>
      </c>
      <c r="H39" s="249">
        <f>VLOOKUP(C39,'PL MAPPING'!C:E,3,0)</f>
        <v>0</v>
      </c>
      <c r="J39" s="249" t="str">
        <f>VLOOKUP(C39,'[11]Chart of Accounts1'!$A$2:$M$800,13,0)</f>
        <v>610400</v>
      </c>
    </row>
    <row r="40" spans="1:10">
      <c r="A40" s="4" t="s">
        <v>395</v>
      </c>
      <c r="B40" s="6" t="s">
        <v>396</v>
      </c>
      <c r="C40" s="4" t="s">
        <v>491</v>
      </c>
      <c r="D40" s="3" t="s">
        <v>492</v>
      </c>
      <c r="E40" s="245" t="s">
        <v>1168</v>
      </c>
      <c r="H40" s="249">
        <f>VLOOKUP(C40,'PL MAPPING'!C:E,3,0)</f>
        <v>0</v>
      </c>
      <c r="J40" s="249" t="str">
        <f>VLOOKUP(C40,'[11]Chart of Accounts1'!$A$2:$M$800,13,0)</f>
        <v>610400</v>
      </c>
    </row>
    <row r="41" spans="1:10">
      <c r="A41" s="4" t="s">
        <v>395</v>
      </c>
      <c r="B41" s="6" t="s">
        <v>396</v>
      </c>
      <c r="C41" s="4" t="s">
        <v>473</v>
      </c>
      <c r="D41" s="3" t="s">
        <v>474</v>
      </c>
      <c r="E41" s="245" t="s">
        <v>1168</v>
      </c>
      <c r="H41" s="249">
        <f>VLOOKUP(C41,'PL MAPPING'!C:E,3,0)</f>
        <v>0</v>
      </c>
      <c r="J41" s="249" t="str">
        <f>VLOOKUP(C41,'[11]Chart of Accounts1'!$A$2:$M$800,13,0)</f>
        <v>610400</v>
      </c>
    </row>
    <row r="42" spans="1:10">
      <c r="A42" s="4" t="s">
        <v>395</v>
      </c>
      <c r="B42" s="6" t="s">
        <v>396</v>
      </c>
      <c r="C42" s="4" t="s">
        <v>471</v>
      </c>
      <c r="D42" s="3" t="s">
        <v>472</v>
      </c>
      <c r="E42" s="245" t="s">
        <v>1168</v>
      </c>
      <c r="H42" s="249">
        <f>VLOOKUP(C42,'PL MAPPING'!C:E,3,0)</f>
        <v>0</v>
      </c>
      <c r="J42" s="249" t="str">
        <f>VLOOKUP(C42,'[11]Chart of Accounts1'!$A$2:$M$800,13,0)</f>
        <v>610400</v>
      </c>
    </row>
    <row r="43" spans="1:10">
      <c r="A43" s="4" t="s">
        <v>395</v>
      </c>
      <c r="B43" s="6" t="s">
        <v>396</v>
      </c>
      <c r="C43" s="4" t="s">
        <v>487</v>
      </c>
      <c r="D43" s="3" t="s">
        <v>488</v>
      </c>
      <c r="E43" s="245" t="s">
        <v>1168</v>
      </c>
      <c r="H43" s="249">
        <f>VLOOKUP(C43,'PL MAPPING'!C:E,3,0)</f>
        <v>0</v>
      </c>
      <c r="J43" s="249" t="str">
        <f>VLOOKUP(C43,'[11]Chart of Accounts1'!$A$2:$M$800,13,0)</f>
        <v>610400</v>
      </c>
    </row>
    <row r="44" spans="1:10">
      <c r="A44" s="4" t="s">
        <v>395</v>
      </c>
      <c r="B44" s="6" t="s">
        <v>396</v>
      </c>
      <c r="C44" s="4" t="s">
        <v>493</v>
      </c>
      <c r="D44" s="3" t="s">
        <v>494</v>
      </c>
      <c r="E44" s="245" t="s">
        <v>1168</v>
      </c>
      <c r="H44" s="249">
        <f>VLOOKUP(C44,'PL MAPPING'!C:E,3,0)</f>
        <v>0</v>
      </c>
      <c r="J44" s="249" t="str">
        <f>VLOOKUP(C44,'[11]Chart of Accounts1'!$A$2:$M$800,13,0)</f>
        <v>610400</v>
      </c>
    </row>
    <row r="45" spans="1:10">
      <c r="A45" s="4" t="s">
        <v>395</v>
      </c>
      <c r="B45" s="6" t="s">
        <v>396</v>
      </c>
      <c r="C45" s="4" t="s">
        <v>499</v>
      </c>
      <c r="D45" s="3" t="s">
        <v>500</v>
      </c>
      <c r="E45" s="245" t="s">
        <v>1168</v>
      </c>
      <c r="H45" s="249">
        <f>VLOOKUP(C45,'PL MAPPING'!C:E,3,0)</f>
        <v>0</v>
      </c>
      <c r="J45" s="249" t="str">
        <f>VLOOKUP(C45,'[11]Chart of Accounts1'!$A$2:$M$800,13,0)</f>
        <v>610400</v>
      </c>
    </row>
    <row r="46" spans="1:10">
      <c r="A46" s="3" t="s">
        <v>395</v>
      </c>
      <c r="B46" s="6" t="s">
        <v>396</v>
      </c>
      <c r="C46" s="3" t="s">
        <v>495</v>
      </c>
      <c r="D46" s="3" t="s">
        <v>496</v>
      </c>
      <c r="E46" s="245" t="s">
        <v>1168</v>
      </c>
      <c r="H46" s="249">
        <f>VLOOKUP(C46,'PL MAPPING'!C:E,3,0)</f>
        <v>0</v>
      </c>
      <c r="J46" s="249" t="str">
        <f>VLOOKUP(C46,'[11]Chart of Accounts1'!$A$2:$M$800,13,0)</f>
        <v>610400</v>
      </c>
    </row>
    <row r="47" spans="1:10">
      <c r="A47" s="4" t="s">
        <v>395</v>
      </c>
      <c r="B47" s="6" t="s">
        <v>396</v>
      </c>
      <c r="C47" s="4" t="s">
        <v>479</v>
      </c>
      <c r="D47" s="3" t="s">
        <v>480</v>
      </c>
      <c r="E47" s="245" t="s">
        <v>1168</v>
      </c>
      <c r="H47" s="249">
        <f>VLOOKUP(C47,'PL MAPPING'!C:E,3,0)</f>
        <v>0</v>
      </c>
      <c r="J47" s="249" t="str">
        <f>VLOOKUP(C47,'[11]Chart of Accounts1'!$A$2:$M$800,13,0)</f>
        <v>610400</v>
      </c>
    </row>
    <row r="48" spans="1:10">
      <c r="A48" s="4" t="s">
        <v>395</v>
      </c>
      <c r="B48" s="6" t="s">
        <v>396</v>
      </c>
      <c r="C48" s="4" t="s">
        <v>475</v>
      </c>
      <c r="D48" s="3" t="s">
        <v>476</v>
      </c>
      <c r="E48" s="245" t="s">
        <v>1168</v>
      </c>
      <c r="H48" s="249">
        <f>VLOOKUP(C48,'PL MAPPING'!C:E,3,0)</f>
        <v>0</v>
      </c>
      <c r="J48" s="249" t="str">
        <f>VLOOKUP(C48,'[11]Chart of Accounts1'!$A$2:$M$800,13,0)</f>
        <v>610400</v>
      </c>
    </row>
    <row r="49" spans="1:10">
      <c r="A49" s="4" t="s">
        <v>395</v>
      </c>
      <c r="B49" s="6" t="s">
        <v>396</v>
      </c>
      <c r="C49" s="4" t="s">
        <v>489</v>
      </c>
      <c r="D49" s="3" t="s">
        <v>490</v>
      </c>
      <c r="E49" s="245" t="s">
        <v>1168</v>
      </c>
      <c r="H49" s="249">
        <f>VLOOKUP(C49,'PL MAPPING'!C:E,3,0)</f>
        <v>0</v>
      </c>
      <c r="J49" s="249" t="str">
        <f>VLOOKUP(C49,'[11]Chart of Accounts1'!$A$2:$M$800,13,0)</f>
        <v>610400</v>
      </c>
    </row>
    <row r="50" spans="1:10">
      <c r="A50" s="3" t="s">
        <v>395</v>
      </c>
      <c r="B50" s="6" t="s">
        <v>396</v>
      </c>
      <c r="C50" s="3" t="s">
        <v>449</v>
      </c>
      <c r="D50" s="3" t="s">
        <v>450</v>
      </c>
      <c r="E50" s="245">
        <v>59381.49</v>
      </c>
      <c r="H50" s="249">
        <f>VLOOKUP(C50,'PL MAPPING'!C:E,3,0)</f>
        <v>70264.17</v>
      </c>
      <c r="J50" s="249" t="str">
        <f>VLOOKUP(C50,'[11]Chart of Accounts1'!$A$2:$M$800,13,0)</f>
        <v>610400</v>
      </c>
    </row>
    <row r="51" spans="1:10">
      <c r="A51" s="3" t="s">
        <v>395</v>
      </c>
      <c r="B51" s="6" t="s">
        <v>396</v>
      </c>
      <c r="C51" s="3" t="s">
        <v>443</v>
      </c>
      <c r="D51" s="3" t="s">
        <v>444</v>
      </c>
      <c r="E51" s="245">
        <v>1365364.16</v>
      </c>
      <c r="H51" s="249">
        <f>VLOOKUP(C51,'PL MAPPING'!C:E,3,0)</f>
        <v>-7058.2</v>
      </c>
      <c r="J51" s="249" t="str">
        <f>VLOOKUP(C51,'[11]Chart of Accounts1'!$A$2:$M$800,13,0)</f>
        <v>610400</v>
      </c>
    </row>
    <row r="52" spans="1:10">
      <c r="A52" s="3" t="s">
        <v>395</v>
      </c>
      <c r="B52" s="6" t="s">
        <v>396</v>
      </c>
      <c r="C52" s="3" t="s">
        <v>445</v>
      </c>
      <c r="D52" s="3" t="s">
        <v>446</v>
      </c>
      <c r="E52" s="245">
        <v>12283.02</v>
      </c>
      <c r="H52" s="249">
        <f>VLOOKUP(C52,'PL MAPPING'!C:E,3,0)</f>
        <v>14438.02</v>
      </c>
      <c r="J52" s="249" t="str">
        <f>VLOOKUP(C52,'[11]Chart of Accounts1'!$A$2:$M$800,13,0)</f>
        <v>610400</v>
      </c>
    </row>
    <row r="53" spans="1:10">
      <c r="A53" s="3" t="s">
        <v>395</v>
      </c>
      <c r="B53" s="6" t="s">
        <v>396</v>
      </c>
      <c r="C53" s="3" t="s">
        <v>447</v>
      </c>
      <c r="D53" s="3" t="s">
        <v>448</v>
      </c>
      <c r="E53" s="245">
        <v>113344.9</v>
      </c>
      <c r="H53" s="249">
        <f>VLOOKUP(C53,'PL MAPPING'!C:E,3,0)</f>
        <v>289261.33</v>
      </c>
      <c r="J53" s="249" t="str">
        <f>VLOOKUP(C53,'[11]Chart of Accounts1'!$A$2:$M$800,13,0)</f>
        <v>610400</v>
      </c>
    </row>
    <row r="54" spans="1:10">
      <c r="A54" s="3" t="s">
        <v>395</v>
      </c>
      <c r="B54" s="6" t="s">
        <v>396</v>
      </c>
      <c r="C54" s="3" t="s">
        <v>435</v>
      </c>
      <c r="D54" s="3" t="s">
        <v>436</v>
      </c>
      <c r="E54" s="245">
        <v>16316.26</v>
      </c>
      <c r="H54" s="249">
        <f>VLOOKUP(C54,'PL MAPPING'!C:E,3,0)</f>
        <v>19518.259999999998</v>
      </c>
      <c r="J54" s="249" t="str">
        <f>VLOOKUP(C54,'[11]Chart of Accounts1'!$A$2:$M$800,13,0)</f>
        <v>610400</v>
      </c>
    </row>
    <row r="55" spans="1:10">
      <c r="A55" s="3" t="s">
        <v>395</v>
      </c>
      <c r="B55" s="6" t="s">
        <v>396</v>
      </c>
      <c r="C55" s="3" t="s">
        <v>441</v>
      </c>
      <c r="D55" s="3" t="s">
        <v>442</v>
      </c>
      <c r="E55" s="245">
        <v>-43814.71</v>
      </c>
      <c r="H55" s="249">
        <f>VLOOKUP(C55,'PL MAPPING'!C:E,3,0)</f>
        <v>-11387.71</v>
      </c>
      <c r="J55" s="249" t="str">
        <f>VLOOKUP(C55,'[11]Chart of Accounts1'!$A$2:$M$800,13,0)</f>
        <v>610400</v>
      </c>
    </row>
    <row r="56" spans="1:10">
      <c r="A56" s="3" t="s">
        <v>395</v>
      </c>
      <c r="B56" s="6" t="s">
        <v>396</v>
      </c>
      <c r="C56" s="3" t="s">
        <v>417</v>
      </c>
      <c r="D56" s="3" t="s">
        <v>418</v>
      </c>
      <c r="E56" s="245" t="s">
        <v>1168</v>
      </c>
      <c r="H56" s="249">
        <f>VLOOKUP(C56,'PL MAPPING'!C:E,3,0)</f>
        <v>0</v>
      </c>
      <c r="J56" s="249" t="str">
        <f>VLOOKUP(C56,'[11]Chart of Accounts1'!$A$2:$M$800,13,0)</f>
        <v>610400</v>
      </c>
    </row>
    <row r="57" spans="1:10">
      <c r="A57" s="3" t="s">
        <v>395</v>
      </c>
      <c r="B57" s="6" t="s">
        <v>396</v>
      </c>
      <c r="C57" s="3" t="s">
        <v>413</v>
      </c>
      <c r="D57" s="3" t="s">
        <v>414</v>
      </c>
      <c r="E57" s="245">
        <v>88574.2</v>
      </c>
      <c r="H57" s="249">
        <f>VLOOKUP(C57,'PL MAPPING'!C:E,3,0)</f>
        <v>88574.2</v>
      </c>
      <c r="J57" s="249" t="str">
        <f>VLOOKUP(C57,'[11]Chart of Accounts1'!$A$2:$M$800,13,0)</f>
        <v>610400</v>
      </c>
    </row>
    <row r="58" spans="1:10">
      <c r="A58" s="3" t="s">
        <v>395</v>
      </c>
      <c r="B58" s="6" t="s">
        <v>396</v>
      </c>
      <c r="C58" s="3" t="s">
        <v>411</v>
      </c>
      <c r="D58" s="3" t="s">
        <v>412</v>
      </c>
      <c r="E58" s="245">
        <v>322019.31</v>
      </c>
      <c r="H58" s="249">
        <f>VLOOKUP(C58,'PL MAPPING'!C:E,3,0)</f>
        <v>349444.83</v>
      </c>
      <c r="J58" s="249" t="str">
        <f>VLOOKUP(C58,'[11]Chart of Accounts1'!$A$2:$M$800,13,0)</f>
        <v>610400</v>
      </c>
    </row>
    <row r="59" spans="1:10">
      <c r="A59" s="3" t="s">
        <v>395</v>
      </c>
      <c r="B59" s="6" t="s">
        <v>396</v>
      </c>
      <c r="C59" s="3" t="s">
        <v>405</v>
      </c>
      <c r="D59" s="3" t="s">
        <v>406</v>
      </c>
      <c r="E59" s="245">
        <v>70694.679999999993</v>
      </c>
      <c r="H59" s="249">
        <f>VLOOKUP(C59,'PL MAPPING'!C:E,3,0)</f>
        <v>70694.679999999993</v>
      </c>
      <c r="J59" s="249" t="str">
        <f>VLOOKUP(C59,'[11]Chart of Accounts1'!$A$2:$M$800,13,0)</f>
        <v>610400</v>
      </c>
    </row>
    <row r="60" spans="1:10">
      <c r="A60" s="3" t="s">
        <v>395</v>
      </c>
      <c r="B60" s="6" t="s">
        <v>396</v>
      </c>
      <c r="C60" s="3" t="s">
        <v>409</v>
      </c>
      <c r="D60" s="3" t="s">
        <v>410</v>
      </c>
      <c r="E60" s="245">
        <v>793118.78</v>
      </c>
      <c r="H60" s="249">
        <f>VLOOKUP(C60,'PL MAPPING'!C:E,3,0)</f>
        <v>518311.92</v>
      </c>
      <c r="J60" s="249" t="str">
        <f>VLOOKUP(C60,'[11]Chart of Accounts1'!$A$2:$M$800,13,0)</f>
        <v>610400</v>
      </c>
    </row>
    <row r="61" spans="1:10">
      <c r="A61" s="3" t="s">
        <v>395</v>
      </c>
      <c r="B61" s="6" t="s">
        <v>396</v>
      </c>
      <c r="C61" s="3" t="s">
        <v>407</v>
      </c>
      <c r="D61" s="3" t="s">
        <v>408</v>
      </c>
      <c r="E61" s="245">
        <v>2331.7199999999998</v>
      </c>
      <c r="H61" s="249">
        <f>VLOOKUP(C61,'PL MAPPING'!C:E,3,0)</f>
        <v>2331.7199999999998</v>
      </c>
      <c r="J61" s="249" t="str">
        <f>VLOOKUP(C61,'[11]Chart of Accounts1'!$A$2:$M$800,13,0)</f>
        <v>610400</v>
      </c>
    </row>
    <row r="62" spans="1:10">
      <c r="A62" s="3" t="s">
        <v>395</v>
      </c>
      <c r="B62" s="6" t="s">
        <v>396</v>
      </c>
      <c r="C62" s="3" t="s">
        <v>451</v>
      </c>
      <c r="D62" s="3" t="s">
        <v>452</v>
      </c>
      <c r="E62" s="245">
        <v>-90926.080000000002</v>
      </c>
      <c r="H62" s="249">
        <f>VLOOKUP(C62,'PL MAPPING'!C:E,3,0)</f>
        <v>-90926.080000000002</v>
      </c>
      <c r="J62" s="249" t="str">
        <f>VLOOKUP(C62,'[11]Chart of Accounts1'!$A$2:$M$800,13,0)</f>
        <v>610400</v>
      </c>
    </row>
    <row r="63" spans="1:10">
      <c r="A63" s="3" t="s">
        <v>395</v>
      </c>
      <c r="B63" s="6" t="s">
        <v>396</v>
      </c>
      <c r="C63" s="3" t="s">
        <v>421</v>
      </c>
      <c r="D63" s="3" t="s">
        <v>422</v>
      </c>
      <c r="E63" s="245">
        <v>60094.39</v>
      </c>
      <c r="H63" s="249">
        <f>VLOOKUP(C63,'PL MAPPING'!C:E,3,0)</f>
        <v>74983.02</v>
      </c>
      <c r="J63" s="249" t="str">
        <f>VLOOKUP(C63,'[11]Chart of Accounts1'!$A$2:$M$800,13,0)</f>
        <v>610400</v>
      </c>
    </row>
    <row r="64" spans="1:10">
      <c r="A64" s="3" t="s">
        <v>395</v>
      </c>
      <c r="B64" s="6" t="s">
        <v>396</v>
      </c>
      <c r="C64" s="3" t="s">
        <v>419</v>
      </c>
      <c r="D64" s="3" t="s">
        <v>420</v>
      </c>
      <c r="E64" s="245">
        <v>72725.279999999999</v>
      </c>
      <c r="H64" s="249">
        <f>VLOOKUP(C64,'PL MAPPING'!C:E,3,0)</f>
        <v>131516.99</v>
      </c>
      <c r="J64" s="249" t="str">
        <f>VLOOKUP(C64,'[11]Chart of Accounts1'!$A$2:$M$800,13,0)</f>
        <v>610400</v>
      </c>
    </row>
    <row r="65" spans="1:10">
      <c r="A65" s="3" t="s">
        <v>395</v>
      </c>
      <c r="B65" s="6" t="s">
        <v>396</v>
      </c>
      <c r="C65" s="3" t="s">
        <v>439</v>
      </c>
      <c r="D65" s="3" t="s">
        <v>440</v>
      </c>
      <c r="E65" s="245" t="s">
        <v>1168</v>
      </c>
      <c r="H65" s="249">
        <f>VLOOKUP(C65,'PL MAPPING'!C:E,3,0)</f>
        <v>0</v>
      </c>
      <c r="J65" s="249" t="str">
        <f>VLOOKUP(C65,'[11]Chart of Accounts1'!$A$2:$M$800,13,0)</f>
        <v>610400</v>
      </c>
    </row>
    <row r="66" spans="1:10">
      <c r="A66" s="3" t="s">
        <v>395</v>
      </c>
      <c r="B66" s="6" t="s">
        <v>396</v>
      </c>
      <c r="C66" s="3" t="s">
        <v>399</v>
      </c>
      <c r="D66" s="3" t="s">
        <v>400</v>
      </c>
      <c r="E66" s="245" t="s">
        <v>1168</v>
      </c>
      <c r="H66" s="249">
        <f>VLOOKUP(C66,'PL MAPPING'!C:E,3,0)</f>
        <v>0</v>
      </c>
      <c r="J66" s="249" t="str">
        <f>VLOOKUP(C66,'[11]Chart of Accounts1'!$A$2:$M$800,13,0)</f>
        <v>610400</v>
      </c>
    </row>
    <row r="67" spans="1:10">
      <c r="A67" s="3" t="s">
        <v>395</v>
      </c>
      <c r="B67" s="6" t="s">
        <v>396</v>
      </c>
      <c r="C67" s="3" t="s">
        <v>433</v>
      </c>
      <c r="D67" s="3" t="s">
        <v>434</v>
      </c>
      <c r="E67" s="245" t="s">
        <v>1168</v>
      </c>
      <c r="H67" s="249">
        <f>VLOOKUP(C67,'PL MAPPING'!C:E,3,0)</f>
        <v>0</v>
      </c>
      <c r="J67" s="249" t="str">
        <f>VLOOKUP(C67,'[11]Chart of Accounts1'!$A$2:$M$800,13,0)</f>
        <v>610400</v>
      </c>
    </row>
    <row r="68" spans="1:10">
      <c r="A68" s="3" t="s">
        <v>395</v>
      </c>
      <c r="B68" s="6" t="s">
        <v>396</v>
      </c>
      <c r="C68" s="3" t="s">
        <v>403</v>
      </c>
      <c r="D68" s="3" t="s">
        <v>404</v>
      </c>
      <c r="E68" s="245">
        <v>640901.02</v>
      </c>
      <c r="H68" s="249">
        <f>VLOOKUP(C68,'PL MAPPING'!C:E,3,0)</f>
        <v>613652.63</v>
      </c>
      <c r="J68" s="249" t="str">
        <f>VLOOKUP(C68,'[11]Chart of Accounts1'!$A$2:$M$800,13,0)</f>
        <v>610400</v>
      </c>
    </row>
    <row r="69" spans="1:10">
      <c r="A69" s="3" t="s">
        <v>395</v>
      </c>
      <c r="B69" s="6" t="s">
        <v>396</v>
      </c>
      <c r="C69" s="3" t="s">
        <v>397</v>
      </c>
      <c r="D69" s="3" t="s">
        <v>398</v>
      </c>
      <c r="E69" s="245" t="s">
        <v>1168</v>
      </c>
      <c r="H69" s="249">
        <f>VLOOKUP(C69,'PL MAPPING'!C:E,3,0)</f>
        <v>0</v>
      </c>
      <c r="J69" s="249" t="str">
        <f>VLOOKUP(C69,'[11]Chart of Accounts1'!$A$2:$M$800,13,0)</f>
        <v>610400</v>
      </c>
    </row>
    <row r="70" spans="1:10">
      <c r="A70" s="3" t="s">
        <v>395</v>
      </c>
      <c r="B70" s="6" t="s">
        <v>396</v>
      </c>
      <c r="C70" s="3" t="s">
        <v>1096</v>
      </c>
      <c r="D70" s="3" t="s">
        <v>1156</v>
      </c>
      <c r="E70" s="245">
        <v>330588.42</v>
      </c>
      <c r="H70" s="249">
        <f>VLOOKUP(C70,'PL MAPPING'!C:E,3,0)</f>
        <v>410656.47</v>
      </c>
      <c r="J70" s="249" t="str">
        <f>VLOOKUP(C70,'[11]Chart of Accounts1'!$A$2:$M$800,13,0)</f>
        <v>610400</v>
      </c>
    </row>
    <row r="71" spans="1:10">
      <c r="A71" s="3" t="s">
        <v>395</v>
      </c>
      <c r="B71" s="6" t="s">
        <v>396</v>
      </c>
      <c r="C71" s="3" t="s">
        <v>1097</v>
      </c>
      <c r="D71" s="3" t="s">
        <v>1157</v>
      </c>
      <c r="E71" s="245">
        <v>424839.94</v>
      </c>
      <c r="H71" s="249">
        <f>VLOOKUP(C71,'PL MAPPING'!C:E,3,0)</f>
        <v>547274.69999999995</v>
      </c>
      <c r="J71" s="249" t="str">
        <f>VLOOKUP(C71,'[11]Chart of Accounts1'!$A$2:$M$800,13,0)</f>
        <v>610400</v>
      </c>
    </row>
    <row r="72" spans="1:10">
      <c r="A72" s="3" t="s">
        <v>395</v>
      </c>
      <c r="B72" s="6" t="s">
        <v>396</v>
      </c>
      <c r="C72" s="3" t="s">
        <v>1098</v>
      </c>
      <c r="D72" s="3" t="s">
        <v>1158</v>
      </c>
      <c r="E72" s="245">
        <v>4650505.8</v>
      </c>
      <c r="H72" s="249">
        <f>VLOOKUP(C72,'PL MAPPING'!C:E,3,0)</f>
        <v>5141229.67</v>
      </c>
      <c r="J72" s="249" t="str">
        <f>VLOOKUP(C72,'[11]Chart of Accounts1'!$A$2:$M$800,13,0)</f>
        <v>610400</v>
      </c>
    </row>
    <row r="73" spans="1:10">
      <c r="A73" s="3" t="s">
        <v>395</v>
      </c>
      <c r="B73" s="6" t="s">
        <v>396</v>
      </c>
      <c r="C73" s="3" t="s">
        <v>1099</v>
      </c>
      <c r="D73" s="3" t="s">
        <v>1159</v>
      </c>
      <c r="E73" s="245">
        <v>734181.86</v>
      </c>
      <c r="H73" s="249">
        <f>VLOOKUP(C73,'PL MAPPING'!C:E,3,0)</f>
        <v>858440.63</v>
      </c>
      <c r="J73" s="249" t="str">
        <f>VLOOKUP(C73,'[11]Chart of Accounts1'!$A$2:$M$800,13,0)</f>
        <v>610400</v>
      </c>
    </row>
    <row r="74" spans="1:10">
      <c r="A74" s="3" t="s">
        <v>395</v>
      </c>
      <c r="B74" s="6" t="s">
        <v>396</v>
      </c>
      <c r="C74" s="3" t="s">
        <v>1100</v>
      </c>
      <c r="D74" s="3" t="s">
        <v>1160</v>
      </c>
      <c r="E74" s="245">
        <v>345677.58</v>
      </c>
      <c r="H74" s="249">
        <f>VLOOKUP(C74,'PL MAPPING'!C:E,3,0)</f>
        <v>436811.44</v>
      </c>
      <c r="J74" s="249" t="str">
        <f>VLOOKUP(C74,'[11]Chart of Accounts1'!$A$2:$M$800,13,0)</f>
        <v>610400</v>
      </c>
    </row>
    <row r="75" spans="1:10">
      <c r="A75" s="3" t="s">
        <v>395</v>
      </c>
      <c r="B75" s="6" t="s">
        <v>396</v>
      </c>
      <c r="C75" s="3" t="s">
        <v>1101</v>
      </c>
      <c r="D75" s="3" t="s">
        <v>1161</v>
      </c>
      <c r="E75" s="245">
        <v>145227.49</v>
      </c>
      <c r="H75" s="249">
        <f>VLOOKUP(C75,'PL MAPPING'!C:E,3,0)</f>
        <v>215823.49</v>
      </c>
      <c r="J75" s="249" t="str">
        <f>VLOOKUP(C75,'[11]Chart of Accounts1'!$A$2:$M$800,13,0)</f>
        <v>610400</v>
      </c>
    </row>
    <row r="76" spans="1:10">
      <c r="A76" s="3" t="s">
        <v>395</v>
      </c>
      <c r="B76" s="6" t="s">
        <v>396</v>
      </c>
      <c r="C76" s="3" t="s">
        <v>423</v>
      </c>
      <c r="D76" s="3" t="s">
        <v>424</v>
      </c>
      <c r="E76" s="245">
        <v>90172.37</v>
      </c>
      <c r="H76" s="249">
        <f>VLOOKUP(C76,'PL MAPPING'!C:E,3,0)</f>
        <v>95599.37</v>
      </c>
      <c r="J76" s="249" t="str">
        <f>VLOOKUP(C76,'[11]Chart of Accounts1'!$A$2:$M$800,13,0)</f>
        <v>610400</v>
      </c>
    </row>
    <row r="77" spans="1:10">
      <c r="A77" s="3" t="s">
        <v>395</v>
      </c>
      <c r="B77" s="6" t="s">
        <v>396</v>
      </c>
      <c r="C77" s="3" t="s">
        <v>425</v>
      </c>
      <c r="D77" s="3" t="s">
        <v>426</v>
      </c>
      <c r="E77" s="245">
        <v>23699.759999999998</v>
      </c>
      <c r="H77" s="249">
        <f>VLOOKUP(C77,'PL MAPPING'!C:E,3,0)</f>
        <v>36003.01</v>
      </c>
      <c r="J77" s="249" t="str">
        <f>VLOOKUP(C77,'[11]Chart of Accounts1'!$A$2:$M$800,13,0)</f>
        <v>610400</v>
      </c>
    </row>
    <row r="78" spans="1:10">
      <c r="A78" s="3" t="s">
        <v>395</v>
      </c>
      <c r="B78" s="6" t="s">
        <v>396</v>
      </c>
      <c r="C78" s="3" t="s">
        <v>427</v>
      </c>
      <c r="D78" s="3" t="s">
        <v>428</v>
      </c>
      <c r="E78" s="245">
        <v>26382.39</v>
      </c>
      <c r="H78" s="249">
        <f>VLOOKUP(C78,'PL MAPPING'!C:E,3,0)</f>
        <v>32239.89</v>
      </c>
      <c r="J78" s="249" t="str">
        <f>VLOOKUP(C78,'[11]Chart of Accounts1'!$A$2:$M$800,13,0)</f>
        <v>610400</v>
      </c>
    </row>
    <row r="79" spans="1:10">
      <c r="A79" s="3" t="s">
        <v>395</v>
      </c>
      <c r="B79" s="6" t="s">
        <v>396</v>
      </c>
      <c r="C79" s="3" t="s">
        <v>429</v>
      </c>
      <c r="D79" s="3" t="s">
        <v>430</v>
      </c>
      <c r="E79" s="245">
        <v>47724.78</v>
      </c>
      <c r="H79" s="249">
        <f>VLOOKUP(C79,'PL MAPPING'!C:E,3,0)</f>
        <v>40323.67</v>
      </c>
      <c r="J79" s="249" t="str">
        <f>VLOOKUP(C79,'[11]Chart of Accounts1'!$A$2:$M$800,13,0)</f>
        <v>610400</v>
      </c>
    </row>
    <row r="80" spans="1:10">
      <c r="A80" s="3" t="s">
        <v>395</v>
      </c>
      <c r="B80" s="6" t="s">
        <v>396</v>
      </c>
      <c r="C80" s="3" t="s">
        <v>437</v>
      </c>
      <c r="D80" s="3" t="s">
        <v>438</v>
      </c>
      <c r="E80" s="245">
        <v>53614.23</v>
      </c>
      <c r="H80" s="249">
        <f>VLOOKUP(C80,'PL MAPPING'!C:E,3,0)</f>
        <v>70305.52</v>
      </c>
      <c r="J80" s="249" t="str">
        <f>VLOOKUP(C80,'[11]Chart of Accounts1'!$A$2:$M$800,13,0)</f>
        <v>610400</v>
      </c>
    </row>
    <row r="81" spans="1:10">
      <c r="A81" s="3" t="s">
        <v>395</v>
      </c>
      <c r="B81" s="6" t="s">
        <v>396</v>
      </c>
      <c r="C81" s="3" t="s">
        <v>431</v>
      </c>
      <c r="D81" s="3" t="s">
        <v>432</v>
      </c>
      <c r="E81" s="245">
        <v>43166.75</v>
      </c>
      <c r="H81" s="249">
        <f>VLOOKUP(C81,'PL MAPPING'!C:E,3,0)</f>
        <v>52760.17</v>
      </c>
      <c r="J81" s="249" t="str">
        <f>VLOOKUP(C81,'[11]Chart of Accounts1'!$A$2:$M$800,13,0)</f>
        <v>610400</v>
      </c>
    </row>
    <row r="82" spans="1:10">
      <c r="A82" s="3" t="s">
        <v>395</v>
      </c>
      <c r="B82" s="6" t="s">
        <v>396</v>
      </c>
      <c r="C82" s="3" t="s">
        <v>415</v>
      </c>
      <c r="D82" s="3" t="s">
        <v>416</v>
      </c>
      <c r="E82" s="245">
        <v>874221.21</v>
      </c>
      <c r="H82" s="249">
        <f>VLOOKUP(C82,'PL MAPPING'!C:E,3,0)</f>
        <v>1066175.8700000001</v>
      </c>
      <c r="J82" s="249" t="str">
        <f>VLOOKUP(C82,'[11]Chart of Accounts1'!$A$2:$M$800,13,0)</f>
        <v>610400</v>
      </c>
    </row>
    <row r="83" spans="1:10">
      <c r="A83" s="3" t="s">
        <v>395</v>
      </c>
      <c r="B83" s="6" t="s">
        <v>396</v>
      </c>
      <c r="C83" s="3" t="s">
        <v>1102</v>
      </c>
      <c r="D83" s="3" t="s">
        <v>1162</v>
      </c>
      <c r="E83" s="245">
        <v>241476.8</v>
      </c>
      <c r="H83" s="249">
        <f>VLOOKUP(C83,'PL MAPPING'!C:E,3,0)</f>
        <v>287039.35999999999</v>
      </c>
      <c r="J83" s="249" t="str">
        <f>VLOOKUP(C83,'[11]Chart of Accounts1'!$A$2:$M$800,13,0)</f>
        <v>610400</v>
      </c>
    </row>
    <row r="84" spans="1:10">
      <c r="A84" s="3" t="s">
        <v>395</v>
      </c>
      <c r="B84" s="6" t="s">
        <v>396</v>
      </c>
      <c r="C84" s="3" t="s">
        <v>1103</v>
      </c>
      <c r="D84" s="3" t="s">
        <v>1163</v>
      </c>
      <c r="E84" s="245">
        <v>154345.76</v>
      </c>
      <c r="H84" s="249">
        <f>VLOOKUP(C84,'PL MAPPING'!C:E,3,0)</f>
        <v>150404.48000000001</v>
      </c>
      <c r="J84" s="249" t="str">
        <f>VLOOKUP(C84,'[11]Chart of Accounts1'!$A$2:$M$800,13,0)</f>
        <v>610400</v>
      </c>
    </row>
    <row r="85" spans="1:10">
      <c r="A85" s="3" t="s">
        <v>395</v>
      </c>
      <c r="B85" s="6" t="s">
        <v>396</v>
      </c>
      <c r="C85" s="3" t="s">
        <v>1104</v>
      </c>
      <c r="D85" s="3" t="s">
        <v>1164</v>
      </c>
      <c r="E85" s="245">
        <v>238134.93</v>
      </c>
      <c r="H85" s="249">
        <f>VLOOKUP(C85,'PL MAPPING'!C:E,3,0)</f>
        <v>276533.67</v>
      </c>
      <c r="J85" s="249" t="str">
        <f>VLOOKUP(C85,'[11]Chart of Accounts1'!$A$2:$M$800,13,0)</f>
        <v>610400</v>
      </c>
    </row>
    <row r="86" spans="1:10">
      <c r="A86" s="3" t="s">
        <v>395</v>
      </c>
      <c r="B86" s="6" t="s">
        <v>396</v>
      </c>
      <c r="C86" s="3" t="s">
        <v>1105</v>
      </c>
      <c r="D86" s="3" t="s">
        <v>1165</v>
      </c>
      <c r="E86" s="245">
        <v>4898.26</v>
      </c>
      <c r="H86" s="249">
        <f>VLOOKUP(C86,'PL MAPPING'!C:E,3,0)</f>
        <v>4775.09</v>
      </c>
      <c r="J86" s="249" t="str">
        <f>VLOOKUP(C86,'[11]Chart of Accounts1'!$A$2:$M$800,13,0)</f>
        <v>610400</v>
      </c>
    </row>
    <row r="87" spans="1:10">
      <c r="A87" s="3" t="s">
        <v>395</v>
      </c>
      <c r="B87" s="6" t="s">
        <v>396</v>
      </c>
      <c r="C87" s="3" t="s">
        <v>1106</v>
      </c>
      <c r="D87" s="3" t="s">
        <v>1166</v>
      </c>
      <c r="E87" s="245">
        <v>3412.99</v>
      </c>
      <c r="H87" s="249">
        <f>VLOOKUP(C87,'PL MAPPING'!C:E,3,0)</f>
        <v>3211</v>
      </c>
      <c r="J87" s="249" t="str">
        <f>VLOOKUP(C87,'[11]Chart of Accounts1'!$A$2:$M$800,13,0)</f>
        <v>610400</v>
      </c>
    </row>
    <row r="88" spans="1:10">
      <c r="A88" s="3" t="s">
        <v>395</v>
      </c>
      <c r="B88" s="6" t="s">
        <v>396</v>
      </c>
      <c r="C88" s="3" t="s">
        <v>1107</v>
      </c>
      <c r="D88" s="3" t="s">
        <v>1167</v>
      </c>
      <c r="E88" s="245">
        <v>28662.28</v>
      </c>
      <c r="H88" s="249">
        <f>VLOOKUP(C88,'PL MAPPING'!C:E,3,0)</f>
        <v>34727.81</v>
      </c>
      <c r="J88" s="249" t="str">
        <f>VLOOKUP(C88,'[11]Chart of Accounts1'!$A$2:$M$800,13,0)</f>
        <v>610400</v>
      </c>
    </row>
    <row r="89" spans="1:10">
      <c r="A89" s="3" t="s">
        <v>395</v>
      </c>
      <c r="B89" s="6" t="s">
        <v>396</v>
      </c>
      <c r="C89" s="3" t="s">
        <v>401</v>
      </c>
      <c r="D89" s="3" t="s">
        <v>402</v>
      </c>
      <c r="E89" s="245">
        <v>215954.74</v>
      </c>
      <c r="H89" s="249">
        <f>VLOOKUP(C89,'PL MAPPING'!C:E,3,0)</f>
        <v>84810</v>
      </c>
      <c r="J89" s="249" t="str">
        <f>VLOOKUP(C89,'[11]Chart of Accounts1'!$A$2:$M$800,13,0)</f>
        <v>610400</v>
      </c>
    </row>
    <row r="90" spans="1:10">
      <c r="A90" s="4" t="s">
        <v>503</v>
      </c>
      <c r="B90" s="6" t="s">
        <v>504</v>
      </c>
      <c r="C90" s="4" t="s">
        <v>535</v>
      </c>
      <c r="D90" s="3" t="s">
        <v>536</v>
      </c>
      <c r="E90" s="245">
        <v>489547.94</v>
      </c>
      <c r="H90" s="249">
        <f>VLOOKUP(C90,'PL MAPPING'!C:E,3,0)</f>
        <v>632868.19999999995</v>
      </c>
      <c r="J90" s="249" t="str">
        <f>VLOOKUP(C90,'[11]Chart of Accounts1'!$A$2:$M$800,13,0)</f>
        <v>620100</v>
      </c>
    </row>
    <row r="91" spans="1:10">
      <c r="A91" s="4" t="s">
        <v>503</v>
      </c>
      <c r="B91" s="6" t="s">
        <v>504</v>
      </c>
      <c r="C91" s="4" t="s">
        <v>547</v>
      </c>
      <c r="D91" s="3" t="s">
        <v>548</v>
      </c>
      <c r="E91" s="245" t="s">
        <v>1168</v>
      </c>
      <c r="H91" s="249">
        <f>VLOOKUP(C91,'PL MAPPING'!C:E,3,0)</f>
        <v>0</v>
      </c>
      <c r="J91" s="249" t="str">
        <f>VLOOKUP(C91,'[11]Chart of Accounts1'!$A$2:$M$800,13,0)</f>
        <v>620100</v>
      </c>
    </row>
    <row r="92" spans="1:10">
      <c r="A92" s="4" t="s">
        <v>503</v>
      </c>
      <c r="B92" s="6" t="s">
        <v>504</v>
      </c>
      <c r="C92" s="4" t="s">
        <v>543</v>
      </c>
      <c r="D92" s="3" t="s">
        <v>544</v>
      </c>
      <c r="E92" s="245">
        <v>63240.98</v>
      </c>
      <c r="H92" s="249">
        <f>VLOOKUP(C92,'PL MAPPING'!C:E,3,0)</f>
        <v>79533.03</v>
      </c>
      <c r="J92" s="249" t="str">
        <f>VLOOKUP(C92,'[11]Chart of Accounts1'!$A$2:$M$800,13,0)</f>
        <v>620100</v>
      </c>
    </row>
    <row r="93" spans="1:10">
      <c r="A93" s="4" t="s">
        <v>503</v>
      </c>
      <c r="B93" s="6" t="s">
        <v>504</v>
      </c>
      <c r="C93" s="4" t="s">
        <v>507</v>
      </c>
      <c r="D93" s="3" t="s">
        <v>508</v>
      </c>
      <c r="E93" s="245" t="s">
        <v>1168</v>
      </c>
      <c r="H93" s="249">
        <f>VLOOKUP(C93,'PL MAPPING'!C:E,3,0)</f>
        <v>0</v>
      </c>
      <c r="J93" s="249" t="str">
        <f>VLOOKUP(C93,'[11]Chart of Accounts1'!$A$2:$M$800,13,0)</f>
        <v>620100</v>
      </c>
    </row>
    <row r="94" spans="1:10">
      <c r="A94" s="4" t="s">
        <v>503</v>
      </c>
      <c r="B94" s="6" t="s">
        <v>504</v>
      </c>
      <c r="C94" s="4" t="s">
        <v>539</v>
      </c>
      <c r="D94" s="3" t="s">
        <v>540</v>
      </c>
      <c r="E94" s="245">
        <v>214150.94</v>
      </c>
      <c r="H94" s="249">
        <f>VLOOKUP(C94,'PL MAPPING'!C:E,3,0)</f>
        <v>214150.94</v>
      </c>
      <c r="J94" s="249" t="str">
        <f>VLOOKUP(C94,'[11]Chart of Accounts1'!$A$2:$M$800,13,0)</f>
        <v>620100</v>
      </c>
    </row>
    <row r="95" spans="1:10">
      <c r="A95" s="4" t="s">
        <v>503</v>
      </c>
      <c r="B95" s="6" t="s">
        <v>504</v>
      </c>
      <c r="C95" s="4" t="s">
        <v>511</v>
      </c>
      <c r="D95" s="3" t="s">
        <v>512</v>
      </c>
      <c r="E95" s="245">
        <v>208108.41</v>
      </c>
      <c r="H95" s="249">
        <f>VLOOKUP(C95,'PL MAPPING'!C:E,3,0)</f>
        <v>240145.21</v>
      </c>
      <c r="J95" s="249" t="str">
        <f>VLOOKUP(C95,'[11]Chart of Accounts1'!$A$2:$M$800,13,0)</f>
        <v>620100</v>
      </c>
    </row>
    <row r="96" spans="1:10">
      <c r="A96" s="4" t="s">
        <v>503</v>
      </c>
      <c r="B96" s="6" t="s">
        <v>504</v>
      </c>
      <c r="C96" s="4" t="s">
        <v>505</v>
      </c>
      <c r="D96" s="3" t="s">
        <v>506</v>
      </c>
      <c r="E96" s="245" t="s">
        <v>1168</v>
      </c>
      <c r="H96" s="249">
        <f>VLOOKUP(C96,'PL MAPPING'!C:E,3,0)</f>
        <v>0</v>
      </c>
      <c r="J96" s="249" t="str">
        <f>VLOOKUP(C96,'[11]Chart of Accounts1'!$A$2:$M$800,13,0)</f>
        <v>620100</v>
      </c>
    </row>
    <row r="97" spans="1:10">
      <c r="A97" s="4" t="s">
        <v>503</v>
      </c>
      <c r="B97" s="6" t="s">
        <v>504</v>
      </c>
      <c r="C97" s="4" t="s">
        <v>513</v>
      </c>
      <c r="D97" s="3" t="s">
        <v>514</v>
      </c>
      <c r="E97" s="245">
        <v>679508.05</v>
      </c>
      <c r="H97" s="249">
        <f>VLOOKUP(C97,'PL MAPPING'!C:E,3,0)</f>
        <v>770961.81</v>
      </c>
      <c r="J97" s="249" t="str">
        <f>VLOOKUP(C97,'[11]Chart of Accounts1'!$A$2:$M$800,13,0)</f>
        <v>620100</v>
      </c>
    </row>
    <row r="98" spans="1:10">
      <c r="A98" s="4" t="s">
        <v>503</v>
      </c>
      <c r="B98" s="6" t="s">
        <v>504</v>
      </c>
      <c r="C98" s="4" t="s">
        <v>515</v>
      </c>
      <c r="D98" s="3" t="s">
        <v>516</v>
      </c>
      <c r="E98" s="245">
        <v>97495.79</v>
      </c>
      <c r="H98" s="249">
        <f>VLOOKUP(C98,'PL MAPPING'!C:E,3,0)</f>
        <v>131861.24</v>
      </c>
      <c r="J98" s="249" t="str">
        <f>VLOOKUP(C98,'[11]Chart of Accounts1'!$A$2:$M$800,13,0)</f>
        <v>620100</v>
      </c>
    </row>
    <row r="99" spans="1:10">
      <c r="A99" s="4" t="s">
        <v>503</v>
      </c>
      <c r="B99" s="6" t="s">
        <v>504</v>
      </c>
      <c r="C99" s="4" t="s">
        <v>517</v>
      </c>
      <c r="D99" s="3" t="s">
        <v>518</v>
      </c>
      <c r="E99" s="245">
        <v>26700.29</v>
      </c>
      <c r="H99" s="249">
        <f>VLOOKUP(C99,'PL MAPPING'!C:E,3,0)</f>
        <v>35275.089999999997</v>
      </c>
      <c r="J99" s="249" t="str">
        <f>VLOOKUP(C99,'[11]Chart of Accounts1'!$A$2:$M$800,13,0)</f>
        <v>620100</v>
      </c>
    </row>
    <row r="100" spans="1:10">
      <c r="A100" s="4" t="s">
        <v>503</v>
      </c>
      <c r="B100" s="6" t="s">
        <v>504</v>
      </c>
      <c r="C100" s="4" t="s">
        <v>519</v>
      </c>
      <c r="D100" s="3" t="s">
        <v>520</v>
      </c>
      <c r="E100" s="245">
        <v>600300</v>
      </c>
      <c r="H100" s="249">
        <f>VLOOKUP(C100,'PL MAPPING'!C:E,3,0)</f>
        <v>600300</v>
      </c>
      <c r="J100" s="249" t="str">
        <f>VLOOKUP(C100,'[11]Chart of Accounts1'!$A$2:$M$800,13,0)</f>
        <v>620100</v>
      </c>
    </row>
    <row r="101" spans="1:10">
      <c r="A101" s="4" t="s">
        <v>503</v>
      </c>
      <c r="B101" s="6" t="s">
        <v>504</v>
      </c>
      <c r="C101" s="4" t="s">
        <v>521</v>
      </c>
      <c r="D101" s="3" t="s">
        <v>522</v>
      </c>
      <c r="E101" s="245" t="s">
        <v>1168</v>
      </c>
      <c r="H101" s="249">
        <f>VLOOKUP(C101,'PL MAPPING'!C:E,3,0)</f>
        <v>0</v>
      </c>
      <c r="J101" s="249" t="str">
        <f>VLOOKUP(C101,'[11]Chart of Accounts1'!$A$2:$M$800,13,0)</f>
        <v>620100</v>
      </c>
    </row>
    <row r="102" spans="1:10">
      <c r="A102" s="4" t="s">
        <v>503</v>
      </c>
      <c r="B102" s="6" t="s">
        <v>504</v>
      </c>
      <c r="C102" s="4" t="s">
        <v>523</v>
      </c>
      <c r="D102" s="3" t="s">
        <v>524</v>
      </c>
      <c r="E102" s="245" t="s">
        <v>1168</v>
      </c>
      <c r="H102" s="249">
        <f>VLOOKUP(C102,'PL MAPPING'!C:E,3,0)</f>
        <v>0</v>
      </c>
      <c r="J102" s="249" t="str">
        <f>VLOOKUP(C102,'[11]Chart of Accounts1'!$A$2:$M$800,13,0)</f>
        <v>620100</v>
      </c>
    </row>
    <row r="103" spans="1:10">
      <c r="A103" s="4" t="s">
        <v>503</v>
      </c>
      <c r="B103" s="6" t="s">
        <v>504</v>
      </c>
      <c r="C103" s="4" t="s">
        <v>525</v>
      </c>
      <c r="D103" s="3" t="s">
        <v>526</v>
      </c>
      <c r="E103" s="245">
        <v>160995.12</v>
      </c>
      <c r="H103" s="249">
        <f>VLOOKUP(C103,'PL MAPPING'!C:E,3,0)</f>
        <v>218972.23</v>
      </c>
      <c r="J103" s="249" t="str">
        <f>VLOOKUP(C103,'[11]Chart of Accounts1'!$A$2:$M$800,13,0)</f>
        <v>620100</v>
      </c>
    </row>
    <row r="104" spans="1:10">
      <c r="A104" s="4" t="s">
        <v>503</v>
      </c>
      <c r="B104" s="6" t="s">
        <v>504</v>
      </c>
      <c r="C104" s="4" t="s">
        <v>527</v>
      </c>
      <c r="D104" s="3" t="s">
        <v>528</v>
      </c>
      <c r="E104" s="245">
        <v>1215474.8600000001</v>
      </c>
      <c r="H104" s="249">
        <f>VLOOKUP(C104,'PL MAPPING'!C:E,3,0)</f>
        <v>690944.85</v>
      </c>
      <c r="J104" s="249" t="str">
        <f>VLOOKUP(C104,'[11]Chart of Accounts1'!$A$2:$M$800,13,0)</f>
        <v>620100</v>
      </c>
    </row>
    <row r="105" spans="1:10">
      <c r="A105" s="4" t="s">
        <v>503</v>
      </c>
      <c r="B105" s="6" t="s">
        <v>504</v>
      </c>
      <c r="C105" s="4" t="s">
        <v>529</v>
      </c>
      <c r="D105" s="3" t="s">
        <v>530</v>
      </c>
      <c r="E105" s="245" t="s">
        <v>1168</v>
      </c>
      <c r="H105" s="249">
        <f>VLOOKUP(C105,'PL MAPPING'!C:E,3,0)</f>
        <v>0</v>
      </c>
      <c r="J105" s="249" t="str">
        <f>VLOOKUP(C105,'[11]Chart of Accounts1'!$A$2:$M$800,13,0)</f>
        <v>620100</v>
      </c>
    </row>
    <row r="106" spans="1:10">
      <c r="A106" s="4" t="s">
        <v>503</v>
      </c>
      <c r="B106" s="6" t="s">
        <v>504</v>
      </c>
      <c r="C106" s="4" t="s">
        <v>541</v>
      </c>
      <c r="D106" s="3" t="s">
        <v>542</v>
      </c>
      <c r="E106" s="245">
        <v>47704.43</v>
      </c>
      <c r="H106" s="249">
        <f>VLOOKUP(C106,'PL MAPPING'!C:E,3,0)</f>
        <v>58263.24</v>
      </c>
      <c r="J106" s="249" t="str">
        <f>VLOOKUP(C106,'[11]Chart of Accounts1'!$A$2:$M$800,13,0)</f>
        <v>620100</v>
      </c>
    </row>
    <row r="107" spans="1:10">
      <c r="A107" s="4" t="s">
        <v>503</v>
      </c>
      <c r="B107" s="6" t="s">
        <v>504</v>
      </c>
      <c r="C107" s="4" t="s">
        <v>533</v>
      </c>
      <c r="D107" s="3" t="s">
        <v>534</v>
      </c>
      <c r="E107" s="245">
        <v>130417.34</v>
      </c>
      <c r="H107" s="249">
        <f>VLOOKUP(C107,'PL MAPPING'!C:E,3,0)</f>
        <v>158635.76</v>
      </c>
      <c r="J107" s="249" t="str">
        <f>VLOOKUP(C107,'[11]Chart of Accounts1'!$A$2:$M$800,13,0)</f>
        <v>620100</v>
      </c>
    </row>
    <row r="108" spans="1:10">
      <c r="A108" s="4" t="s">
        <v>503</v>
      </c>
      <c r="B108" s="6" t="s">
        <v>504</v>
      </c>
      <c r="C108" s="4" t="s">
        <v>509</v>
      </c>
      <c r="D108" s="3" t="s">
        <v>510</v>
      </c>
      <c r="E108" s="245">
        <v>368026.11</v>
      </c>
      <c r="H108" s="249">
        <f>VLOOKUP(C108,'PL MAPPING'!C:E,3,0)</f>
        <v>434666.11</v>
      </c>
      <c r="J108" s="249" t="str">
        <f>VLOOKUP(C108,'[11]Chart of Accounts1'!$A$2:$M$800,13,0)</f>
        <v>620100</v>
      </c>
    </row>
    <row r="109" spans="1:10">
      <c r="A109" s="4" t="s">
        <v>503</v>
      </c>
      <c r="B109" s="6" t="s">
        <v>504</v>
      </c>
      <c r="C109" s="4" t="s">
        <v>531</v>
      </c>
      <c r="D109" s="3" t="s">
        <v>532</v>
      </c>
      <c r="E109" s="245">
        <v>29328.58</v>
      </c>
      <c r="H109" s="249">
        <f>VLOOKUP(C109,'PL MAPPING'!C:E,3,0)</f>
        <v>29328.58</v>
      </c>
      <c r="J109" s="249" t="str">
        <f>VLOOKUP(C109,'[11]Chart of Accounts1'!$A$2:$M$800,13,0)</f>
        <v>620100</v>
      </c>
    </row>
    <row r="110" spans="1:10">
      <c r="A110" s="3" t="s">
        <v>503</v>
      </c>
      <c r="B110" s="6" t="s">
        <v>504</v>
      </c>
      <c r="C110" s="3" t="s">
        <v>545</v>
      </c>
      <c r="D110" s="3" t="s">
        <v>546</v>
      </c>
      <c r="E110" s="245" t="s">
        <v>1168</v>
      </c>
      <c r="H110" s="249">
        <f>VLOOKUP(C110,'PL MAPPING'!C:E,3,0)</f>
        <v>0</v>
      </c>
      <c r="J110" s="249" t="str">
        <f>VLOOKUP(C110,'[11]Chart of Accounts1'!$A$2:$M$800,13,0)</f>
        <v>620100</v>
      </c>
    </row>
    <row r="111" spans="1:10">
      <c r="A111" s="3" t="s">
        <v>503</v>
      </c>
      <c r="B111" s="6" t="s">
        <v>504</v>
      </c>
      <c r="C111" s="3" t="s">
        <v>549</v>
      </c>
      <c r="D111" s="3" t="s">
        <v>550</v>
      </c>
      <c r="E111" s="245" t="s">
        <v>1168</v>
      </c>
      <c r="H111" s="249">
        <f>VLOOKUP(C111,'PL MAPPING'!C:E,3,0)</f>
        <v>0</v>
      </c>
      <c r="J111" s="249" t="str">
        <f>VLOOKUP(C111,'[11]Chart of Accounts1'!$A$2:$M$800,13,0)</f>
        <v>620100</v>
      </c>
    </row>
    <row r="112" spans="1:10">
      <c r="A112" s="3" t="s">
        <v>503</v>
      </c>
      <c r="B112" s="6" t="s">
        <v>504</v>
      </c>
      <c r="C112" s="3" t="s">
        <v>537</v>
      </c>
      <c r="D112" s="3" t="s">
        <v>538</v>
      </c>
      <c r="E112" s="245">
        <v>73508.69</v>
      </c>
      <c r="H112" s="249">
        <f>VLOOKUP(C112,'PL MAPPING'!C:E,3,0)</f>
        <v>95016.08</v>
      </c>
      <c r="J112" s="249" t="str">
        <f>VLOOKUP(C112,'[11]Chart of Accounts1'!$A$2:$M$800,13,0)</f>
        <v>620100</v>
      </c>
    </row>
    <row r="113" spans="1:10">
      <c r="A113" s="3" t="s">
        <v>503</v>
      </c>
      <c r="B113" s="6" t="s">
        <v>504</v>
      </c>
      <c r="C113" s="3" t="s">
        <v>1084</v>
      </c>
      <c r="D113" s="3" t="s">
        <v>1144</v>
      </c>
      <c r="E113" s="245">
        <v>815061.21</v>
      </c>
      <c r="H113" s="249">
        <f>VLOOKUP(C113,'PL MAPPING'!C:E,3,0)</f>
        <v>940958.81</v>
      </c>
      <c r="J113" s="249" t="str">
        <f>VLOOKUP(C113,'[11]Chart of Accounts1'!$A$2:$M$800,13,0)</f>
        <v>620100</v>
      </c>
    </row>
    <row r="114" spans="1:10">
      <c r="A114" s="3" t="s">
        <v>503</v>
      </c>
      <c r="B114" s="6" t="s">
        <v>504</v>
      </c>
      <c r="C114" s="3" t="s">
        <v>1085</v>
      </c>
      <c r="D114" s="3" t="s">
        <v>1145</v>
      </c>
      <c r="E114" s="245">
        <v>34476.620000000003</v>
      </c>
      <c r="H114" s="249">
        <f>VLOOKUP(C114,'PL MAPPING'!C:E,3,0)</f>
        <v>50172.87</v>
      </c>
      <c r="J114" s="249" t="str">
        <f>VLOOKUP(C114,'[11]Chart of Accounts1'!$A$2:$M$800,13,0)</f>
        <v>620100</v>
      </c>
    </row>
    <row r="115" spans="1:10">
      <c r="A115" s="3" t="s">
        <v>503</v>
      </c>
      <c r="B115" s="6" t="s">
        <v>504</v>
      </c>
      <c r="C115" s="3" t="s">
        <v>1086</v>
      </c>
      <c r="D115" s="3" t="s">
        <v>1146</v>
      </c>
      <c r="E115" s="245">
        <v>7900580.4500000002</v>
      </c>
      <c r="H115" s="249">
        <f>VLOOKUP(C115,'PL MAPPING'!C:E,3,0)</f>
        <v>9482411.2300000004</v>
      </c>
      <c r="J115" s="249" t="str">
        <f>VLOOKUP(C115,'[11]Chart of Accounts1'!$A$2:$M$800,13,0)</f>
        <v>620100</v>
      </c>
    </row>
    <row r="116" spans="1:10">
      <c r="A116" s="3" t="s">
        <v>503</v>
      </c>
      <c r="B116" s="6" t="s">
        <v>504</v>
      </c>
      <c r="C116" s="3" t="s">
        <v>1087</v>
      </c>
      <c r="D116" s="3" t="s">
        <v>1147</v>
      </c>
      <c r="E116" s="245">
        <v>2714532.37</v>
      </c>
      <c r="H116" s="249">
        <f>VLOOKUP(C116,'PL MAPPING'!C:E,3,0)</f>
        <v>3112246.02</v>
      </c>
      <c r="J116" s="249" t="str">
        <f>VLOOKUP(C116,'[11]Chart of Accounts1'!$A$2:$M$800,13,0)</f>
        <v>620100</v>
      </c>
    </row>
    <row r="117" spans="1:10">
      <c r="A117" s="3" t="s">
        <v>503</v>
      </c>
      <c r="B117" s="6" t="s">
        <v>504</v>
      </c>
      <c r="C117" s="3" t="s">
        <v>1088</v>
      </c>
      <c r="D117" s="3" t="s">
        <v>1148</v>
      </c>
      <c r="E117" s="245">
        <v>1090512.26</v>
      </c>
      <c r="H117" s="249">
        <f>VLOOKUP(C117,'PL MAPPING'!C:E,3,0)</f>
        <v>1307466.95</v>
      </c>
      <c r="J117" s="249" t="str">
        <f>VLOOKUP(C117,'[11]Chart of Accounts1'!$A$2:$M$800,13,0)</f>
        <v>620100</v>
      </c>
    </row>
    <row r="118" spans="1:10">
      <c r="A118" s="3" t="s">
        <v>503</v>
      </c>
      <c r="B118" s="6" t="s">
        <v>504</v>
      </c>
      <c r="C118" s="3" t="s">
        <v>1089</v>
      </c>
      <c r="D118" s="3" t="s">
        <v>1149</v>
      </c>
      <c r="E118" s="245" t="s">
        <v>1168</v>
      </c>
      <c r="H118" s="249">
        <f>VLOOKUP(C118,'PL MAPPING'!C:E,3,0)</f>
        <v>0</v>
      </c>
      <c r="J118" s="249" t="str">
        <f>VLOOKUP(C118,'[11]Chart of Accounts1'!$A$2:$M$800,13,0)</f>
        <v>620100</v>
      </c>
    </row>
    <row r="119" spans="1:10">
      <c r="A119" s="3" t="s">
        <v>503</v>
      </c>
      <c r="B119" s="6" t="s">
        <v>504</v>
      </c>
      <c r="C119" s="3" t="s">
        <v>1090</v>
      </c>
      <c r="D119" s="3" t="s">
        <v>1150</v>
      </c>
      <c r="E119" s="245">
        <v>38361</v>
      </c>
      <c r="H119" s="249">
        <f>VLOOKUP(C119,'PL MAPPING'!C:E,3,0)</f>
        <v>49109</v>
      </c>
      <c r="J119" s="249" t="str">
        <f>VLOOKUP(C119,'[11]Chart of Accounts1'!$A$2:$M$800,13,0)</f>
        <v>620100</v>
      </c>
    </row>
    <row r="120" spans="1:10">
      <c r="A120" s="3" t="s">
        <v>503</v>
      </c>
      <c r="B120" s="6" t="s">
        <v>504</v>
      </c>
      <c r="C120" s="3" t="s">
        <v>1215</v>
      </c>
      <c r="D120" s="3" t="s">
        <v>1216</v>
      </c>
      <c r="E120" s="245">
        <v>1162.56</v>
      </c>
      <c r="H120" s="249">
        <f>VLOOKUP(C120,'PL MAPPING'!C:E,3,0)</f>
        <v>1494.72</v>
      </c>
      <c r="J120" s="249" t="str">
        <f>VLOOKUP(C120,'[11]Chart of Accounts1'!$A$2:$M$800,13,0)</f>
        <v>620100</v>
      </c>
    </row>
    <row r="121" spans="1:10">
      <c r="A121" s="3" t="s">
        <v>503</v>
      </c>
      <c r="B121" s="6" t="s">
        <v>504</v>
      </c>
      <c r="C121" s="3" t="s">
        <v>1091</v>
      </c>
      <c r="D121" s="3" t="s">
        <v>1151</v>
      </c>
      <c r="E121" s="245">
        <v>271813.46000000002</v>
      </c>
      <c r="H121" s="249">
        <f>VLOOKUP(C121,'PL MAPPING'!C:E,3,0)</f>
        <v>294060.02</v>
      </c>
      <c r="J121" s="249" t="str">
        <f>VLOOKUP(C121,'[11]Chart of Accounts1'!$A$2:$M$800,13,0)</f>
        <v>620100</v>
      </c>
    </row>
    <row r="122" spans="1:10">
      <c r="A122" s="3" t="s">
        <v>503</v>
      </c>
      <c r="B122" s="6" t="s">
        <v>504</v>
      </c>
      <c r="C122" s="3" t="s">
        <v>1092</v>
      </c>
      <c r="D122" s="3" t="s">
        <v>1152</v>
      </c>
      <c r="E122" s="245">
        <v>388466.89</v>
      </c>
      <c r="H122" s="249">
        <f>VLOOKUP(C122,'PL MAPPING'!C:E,3,0)</f>
        <v>454523.69</v>
      </c>
      <c r="J122" s="249" t="str">
        <f>VLOOKUP(C122,'[11]Chart of Accounts1'!$A$2:$M$800,13,0)</f>
        <v>620100</v>
      </c>
    </row>
    <row r="123" spans="1:10">
      <c r="A123" s="3" t="s">
        <v>503</v>
      </c>
      <c r="B123" s="6" t="s">
        <v>504</v>
      </c>
      <c r="C123" s="3" t="s">
        <v>1093</v>
      </c>
      <c r="D123" s="3" t="s">
        <v>1153</v>
      </c>
      <c r="E123" s="245">
        <v>10004.89</v>
      </c>
      <c r="H123" s="249">
        <f>VLOOKUP(C123,'PL MAPPING'!C:E,3,0)</f>
        <v>11111.8</v>
      </c>
      <c r="J123" s="249" t="str">
        <f>VLOOKUP(C123,'[11]Chart of Accounts1'!$A$2:$M$800,13,0)</f>
        <v>620100</v>
      </c>
    </row>
    <row r="124" spans="1:10">
      <c r="A124" s="3" t="s">
        <v>503</v>
      </c>
      <c r="B124" s="6" t="s">
        <v>504</v>
      </c>
      <c r="C124" s="3" t="s">
        <v>1094</v>
      </c>
      <c r="D124" s="3" t="s">
        <v>1154</v>
      </c>
      <c r="E124" s="245">
        <v>5405.64</v>
      </c>
      <c r="H124" s="249">
        <f>VLOOKUP(C124,'PL MAPPING'!C:E,3,0)</f>
        <v>7045.3</v>
      </c>
      <c r="J124" s="249" t="str">
        <f>VLOOKUP(C124,'[11]Chart of Accounts1'!$A$2:$M$800,13,0)</f>
        <v>620100</v>
      </c>
    </row>
    <row r="125" spans="1:10">
      <c r="A125" s="3" t="s">
        <v>503</v>
      </c>
      <c r="B125" s="6" t="s">
        <v>504</v>
      </c>
      <c r="C125" s="3" t="s">
        <v>1095</v>
      </c>
      <c r="D125" s="3" t="s">
        <v>1155</v>
      </c>
      <c r="E125" s="245">
        <v>37151.58</v>
      </c>
      <c r="H125" s="249">
        <f>VLOOKUP(C125,'PL MAPPING'!C:E,3,0)</f>
        <v>42719.77</v>
      </c>
      <c r="J125" s="249" t="str">
        <f>VLOOKUP(C125,'[11]Chart of Accounts1'!$A$2:$M$800,13,0)</f>
        <v>620100</v>
      </c>
    </row>
    <row r="126" spans="1:10">
      <c r="A126" s="4" t="s">
        <v>467</v>
      </c>
      <c r="B126" s="6" t="s">
        <v>468</v>
      </c>
      <c r="C126" s="4" t="s">
        <v>631</v>
      </c>
      <c r="D126" s="3" t="s">
        <v>632</v>
      </c>
      <c r="E126" s="245" t="s">
        <v>1168</v>
      </c>
      <c r="H126" s="249">
        <f>VLOOKUP(C126,'PL MAPPING'!C:E,3,0)</f>
        <v>0</v>
      </c>
      <c r="J126" s="249" t="str">
        <f>VLOOKUP(C126,'[11]Chart of Accounts1'!$A$2:$M$800,13,0)</f>
        <v>620200</v>
      </c>
    </row>
    <row r="127" spans="1:10">
      <c r="A127" s="4" t="s">
        <v>467</v>
      </c>
      <c r="B127" s="6" t="s">
        <v>468</v>
      </c>
      <c r="C127" s="4" t="s">
        <v>615</v>
      </c>
      <c r="D127" s="3" t="s">
        <v>616</v>
      </c>
      <c r="E127" s="245">
        <v>5260.24</v>
      </c>
      <c r="H127" s="249">
        <f>VLOOKUP(C127,'PL MAPPING'!C:E,3,0)</f>
        <v>3710.24</v>
      </c>
      <c r="J127" s="249" t="str">
        <f>VLOOKUP(C127,'[11]Chart of Accounts1'!$A$2:$M$800,13,0)</f>
        <v>620200</v>
      </c>
    </row>
    <row r="128" spans="1:10">
      <c r="A128" s="4" t="s">
        <v>467</v>
      </c>
      <c r="B128" s="6" t="s">
        <v>468</v>
      </c>
      <c r="C128" s="4" t="s">
        <v>607</v>
      </c>
      <c r="D128" s="3" t="s">
        <v>608</v>
      </c>
      <c r="E128" s="245">
        <v>437096</v>
      </c>
      <c r="H128" s="249">
        <f>VLOOKUP(C128,'PL MAPPING'!C:E,3,0)</f>
        <v>437096</v>
      </c>
      <c r="J128" s="249" t="str">
        <f>VLOOKUP(C128,'[11]Chart of Accounts1'!$A$2:$M$800,13,0)</f>
        <v>620200</v>
      </c>
    </row>
    <row r="129" spans="1:10">
      <c r="A129" s="4" t="s">
        <v>467</v>
      </c>
      <c r="B129" s="6" t="s">
        <v>468</v>
      </c>
      <c r="C129" s="4" t="s">
        <v>579</v>
      </c>
      <c r="D129" s="3" t="s">
        <v>580</v>
      </c>
      <c r="E129" s="245">
        <v>101302.74</v>
      </c>
      <c r="H129" s="249">
        <f>VLOOKUP(C129,'PL MAPPING'!C:E,3,0)</f>
        <v>149604.54999999999</v>
      </c>
      <c r="J129" s="249" t="str">
        <f>VLOOKUP(C129,'[11]Chart of Accounts1'!$A$2:$M$800,13,0)</f>
        <v>620200</v>
      </c>
    </row>
    <row r="130" spans="1:10">
      <c r="A130" s="4" t="s">
        <v>467</v>
      </c>
      <c r="B130" s="6" t="s">
        <v>468</v>
      </c>
      <c r="C130" s="4" t="s">
        <v>577</v>
      </c>
      <c r="D130" s="3" t="s">
        <v>578</v>
      </c>
      <c r="E130" s="245">
        <v>137651.74</v>
      </c>
      <c r="H130" s="249">
        <f>VLOOKUP(C130,'PL MAPPING'!C:E,3,0)</f>
        <v>141651.74</v>
      </c>
      <c r="J130" s="249" t="str">
        <f>VLOOKUP(C130,'[11]Chart of Accounts1'!$A$2:$M$800,13,0)</f>
        <v>620200</v>
      </c>
    </row>
    <row r="131" spans="1:10">
      <c r="A131" s="4" t="s">
        <v>467</v>
      </c>
      <c r="B131" s="6" t="s">
        <v>468</v>
      </c>
      <c r="C131" s="4" t="s">
        <v>573</v>
      </c>
      <c r="D131" s="3" t="s">
        <v>574</v>
      </c>
      <c r="E131" s="245">
        <v>-238246.03</v>
      </c>
      <c r="H131" s="249">
        <f>VLOOKUP(C131,'PL MAPPING'!C:E,3,0)</f>
        <v>-238246.03</v>
      </c>
      <c r="J131" s="249" t="str">
        <f>VLOOKUP(C131,'[11]Chart of Accounts1'!$A$2:$M$800,13,0)</f>
        <v>620200</v>
      </c>
    </row>
    <row r="132" spans="1:10">
      <c r="A132" s="4" t="s">
        <v>467</v>
      </c>
      <c r="B132" s="6" t="s">
        <v>468</v>
      </c>
      <c r="C132" s="4" t="s">
        <v>575</v>
      </c>
      <c r="D132" s="3" t="s">
        <v>576</v>
      </c>
      <c r="E132" s="245" t="s">
        <v>1168</v>
      </c>
      <c r="H132" s="249">
        <f>VLOOKUP(C132,'PL MAPPING'!C:E,3,0)</f>
        <v>0</v>
      </c>
      <c r="J132" s="249" t="str">
        <f>VLOOKUP(C132,'[11]Chart of Accounts1'!$A$2:$M$800,13,0)</f>
        <v>620200</v>
      </c>
    </row>
    <row r="133" spans="1:10">
      <c r="A133" s="4" t="s">
        <v>467</v>
      </c>
      <c r="B133" s="6" t="s">
        <v>468</v>
      </c>
      <c r="C133" s="4" t="s">
        <v>633</v>
      </c>
      <c r="D133" s="3" t="s">
        <v>634</v>
      </c>
      <c r="E133" s="245" t="s">
        <v>1168</v>
      </c>
      <c r="H133" s="249">
        <f>VLOOKUP(C133,'PL MAPPING'!C:E,3,0)</f>
        <v>0</v>
      </c>
      <c r="J133" s="249" t="str">
        <f>VLOOKUP(C133,'[11]Chart of Accounts1'!$A$2:$M$800,13,0)</f>
        <v>620200</v>
      </c>
    </row>
    <row r="134" spans="1:10">
      <c r="A134" s="4" t="s">
        <v>467</v>
      </c>
      <c r="B134" s="6" t="s">
        <v>468</v>
      </c>
      <c r="C134" s="4" t="s">
        <v>599</v>
      </c>
      <c r="D134" s="3" t="s">
        <v>600</v>
      </c>
      <c r="E134" s="245">
        <v>223242.55</v>
      </c>
      <c r="H134" s="249">
        <f>VLOOKUP(C134,'PL MAPPING'!C:E,3,0)</f>
        <v>286543.5</v>
      </c>
      <c r="J134" s="249" t="str">
        <f>VLOOKUP(C134,'[11]Chart of Accounts1'!$A$2:$M$800,13,0)</f>
        <v>620200</v>
      </c>
    </row>
    <row r="135" spans="1:10">
      <c r="A135" s="4" t="s">
        <v>467</v>
      </c>
      <c r="B135" s="6" t="s">
        <v>468</v>
      </c>
      <c r="C135" s="4" t="s">
        <v>601</v>
      </c>
      <c r="D135" s="3" t="s">
        <v>602</v>
      </c>
      <c r="E135" s="245">
        <v>54499</v>
      </c>
      <c r="H135" s="249">
        <f>VLOOKUP(C135,'PL MAPPING'!C:E,3,0)</f>
        <v>141007.42000000001</v>
      </c>
      <c r="J135" s="249" t="str">
        <f>VLOOKUP(C135,'[11]Chart of Accounts1'!$A$2:$M$800,13,0)</f>
        <v>620200</v>
      </c>
    </row>
    <row r="136" spans="1:10">
      <c r="A136" s="4" t="s">
        <v>467</v>
      </c>
      <c r="B136" s="6" t="s">
        <v>468</v>
      </c>
      <c r="C136" s="4" t="s">
        <v>605</v>
      </c>
      <c r="D136" s="3" t="s">
        <v>606</v>
      </c>
      <c r="E136" s="245">
        <v>-283335.57</v>
      </c>
      <c r="H136" s="249">
        <f>VLOOKUP(C136,'PL MAPPING'!C:E,3,0)</f>
        <v>-276491.17</v>
      </c>
      <c r="J136" s="249" t="str">
        <f>VLOOKUP(C136,'[11]Chart of Accounts1'!$A$2:$M$800,13,0)</f>
        <v>620200</v>
      </c>
    </row>
    <row r="137" spans="1:10">
      <c r="A137" s="4" t="s">
        <v>467</v>
      </c>
      <c r="B137" s="6" t="s">
        <v>468</v>
      </c>
      <c r="C137" s="4" t="s">
        <v>595</v>
      </c>
      <c r="D137" s="3" t="s">
        <v>596</v>
      </c>
      <c r="E137" s="245">
        <v>196698.26</v>
      </c>
      <c r="H137" s="249">
        <f>VLOOKUP(C137,'PL MAPPING'!C:E,3,0)</f>
        <v>469224.56</v>
      </c>
      <c r="J137" s="249" t="str">
        <f>VLOOKUP(C137,'[11]Chart of Accounts1'!$A$2:$M$800,13,0)</f>
        <v>620200</v>
      </c>
    </row>
    <row r="138" spans="1:10">
      <c r="A138" s="4" t="s">
        <v>467</v>
      </c>
      <c r="B138" s="6" t="s">
        <v>468</v>
      </c>
      <c r="C138" s="4" t="s">
        <v>597</v>
      </c>
      <c r="D138" s="3" t="s">
        <v>598</v>
      </c>
      <c r="E138" s="245">
        <v>583641.46</v>
      </c>
      <c r="H138" s="249">
        <f>VLOOKUP(C138,'PL MAPPING'!C:E,3,0)</f>
        <v>583641.46</v>
      </c>
      <c r="J138" s="249" t="str">
        <f>VLOOKUP(C138,'[11]Chart of Accounts1'!$A$2:$M$800,13,0)</f>
        <v>620200</v>
      </c>
    </row>
    <row r="139" spans="1:10">
      <c r="A139" s="4" t="s">
        <v>467</v>
      </c>
      <c r="B139" s="6" t="s">
        <v>468</v>
      </c>
      <c r="C139" s="4" t="s">
        <v>591</v>
      </c>
      <c r="D139" s="3" t="s">
        <v>592</v>
      </c>
      <c r="E139" s="245">
        <v>54690.44</v>
      </c>
      <c r="H139" s="249">
        <f>VLOOKUP(C139,'PL MAPPING'!C:E,3,0)</f>
        <v>57065.83</v>
      </c>
      <c r="J139" s="249" t="str">
        <f>VLOOKUP(C139,'[11]Chart of Accounts1'!$A$2:$M$800,13,0)</f>
        <v>620200</v>
      </c>
    </row>
    <row r="140" spans="1:10">
      <c r="A140" s="4" t="s">
        <v>467</v>
      </c>
      <c r="B140" s="6" t="s">
        <v>468</v>
      </c>
      <c r="C140" s="4" t="s">
        <v>589</v>
      </c>
      <c r="D140" s="3" t="s">
        <v>590</v>
      </c>
      <c r="E140" s="245">
        <v>7824.96</v>
      </c>
      <c r="H140" s="249">
        <f>VLOOKUP(C140,'PL MAPPING'!C:E,3,0)</f>
        <v>11843.44</v>
      </c>
      <c r="J140" s="249" t="str">
        <f>VLOOKUP(C140,'[11]Chart of Accounts1'!$A$2:$M$800,13,0)</f>
        <v>620200</v>
      </c>
    </row>
    <row r="141" spans="1:10">
      <c r="A141" s="4" t="s">
        <v>467</v>
      </c>
      <c r="B141" s="6" t="s">
        <v>468</v>
      </c>
      <c r="C141" s="4" t="s">
        <v>583</v>
      </c>
      <c r="D141" s="3" t="s">
        <v>584</v>
      </c>
      <c r="E141" s="245" t="s">
        <v>1168</v>
      </c>
      <c r="H141" s="249">
        <f>VLOOKUP(C141,'PL MAPPING'!C:E,3,0)</f>
        <v>0</v>
      </c>
      <c r="J141" s="249" t="str">
        <f>VLOOKUP(C141,'[11]Chart of Accounts1'!$A$2:$M$800,13,0)</f>
        <v>620200</v>
      </c>
    </row>
    <row r="142" spans="1:10">
      <c r="A142" s="4" t="s">
        <v>467</v>
      </c>
      <c r="B142" s="6" t="s">
        <v>468</v>
      </c>
      <c r="C142" s="4" t="s">
        <v>593</v>
      </c>
      <c r="D142" s="3" t="s">
        <v>594</v>
      </c>
      <c r="E142" s="245">
        <v>363283</v>
      </c>
      <c r="H142" s="249">
        <f>VLOOKUP(C142,'PL MAPPING'!C:E,3,0)</f>
        <v>456962</v>
      </c>
      <c r="J142" s="249" t="str">
        <f>VLOOKUP(C142,'[11]Chart of Accounts1'!$A$2:$M$800,13,0)</f>
        <v>620200</v>
      </c>
    </row>
    <row r="143" spans="1:10">
      <c r="A143" s="4" t="s">
        <v>467</v>
      </c>
      <c r="B143" s="6" t="s">
        <v>468</v>
      </c>
      <c r="C143" s="4" t="s">
        <v>581</v>
      </c>
      <c r="D143" s="3" t="s">
        <v>582</v>
      </c>
      <c r="E143" s="245">
        <v>303938.58</v>
      </c>
      <c r="H143" s="249">
        <f>VLOOKUP(C143,'PL MAPPING'!C:E,3,0)</f>
        <v>362676.7</v>
      </c>
      <c r="J143" s="249" t="str">
        <f>VLOOKUP(C143,'[11]Chart of Accounts1'!$A$2:$M$800,13,0)</f>
        <v>620200</v>
      </c>
    </row>
    <row r="144" spans="1:10">
      <c r="A144" s="4" t="s">
        <v>467</v>
      </c>
      <c r="B144" s="6" t="s">
        <v>468</v>
      </c>
      <c r="C144" s="4" t="s">
        <v>603</v>
      </c>
      <c r="D144" s="3" t="s">
        <v>604</v>
      </c>
      <c r="E144" s="245">
        <v>144185.28</v>
      </c>
      <c r="H144" s="249">
        <f>VLOOKUP(C144,'PL MAPPING'!C:E,3,0)</f>
        <v>166893.31</v>
      </c>
      <c r="J144" s="249" t="str">
        <f>VLOOKUP(C144,'[11]Chart of Accounts1'!$A$2:$M$800,13,0)</f>
        <v>620200</v>
      </c>
    </row>
    <row r="145" spans="1:10">
      <c r="A145" s="4" t="s">
        <v>467</v>
      </c>
      <c r="B145" s="6" t="s">
        <v>468</v>
      </c>
      <c r="C145" s="4" t="s">
        <v>587</v>
      </c>
      <c r="D145" s="3" t="s">
        <v>588</v>
      </c>
      <c r="E145" s="245">
        <v>487248.53</v>
      </c>
      <c r="H145" s="249">
        <f>VLOOKUP(C145,'PL MAPPING'!C:E,3,0)</f>
        <v>1054569.7</v>
      </c>
      <c r="J145" s="249" t="str">
        <f>VLOOKUP(C145,'[11]Chart of Accounts1'!$A$2:$M$800,13,0)</f>
        <v>620200</v>
      </c>
    </row>
    <row r="146" spans="1:10">
      <c r="A146" s="4" t="s">
        <v>467</v>
      </c>
      <c r="B146" s="6" t="s">
        <v>468</v>
      </c>
      <c r="C146" s="4" t="s">
        <v>585</v>
      </c>
      <c r="D146" s="3" t="s">
        <v>586</v>
      </c>
      <c r="E146" s="245">
        <v>292035.95</v>
      </c>
      <c r="H146" s="249">
        <f>VLOOKUP(C146,'PL MAPPING'!C:E,3,0)</f>
        <v>374290.15</v>
      </c>
      <c r="J146" s="249" t="str">
        <f>VLOOKUP(C146,'[11]Chart of Accounts1'!$A$2:$M$800,13,0)</f>
        <v>620200</v>
      </c>
    </row>
    <row r="147" spans="1:10">
      <c r="A147" s="4" t="s">
        <v>467</v>
      </c>
      <c r="B147" s="6" t="s">
        <v>468</v>
      </c>
      <c r="C147" s="4" t="s">
        <v>553</v>
      </c>
      <c r="D147" s="3" t="s">
        <v>554</v>
      </c>
      <c r="E147" s="245" t="s">
        <v>1168</v>
      </c>
      <c r="H147" s="249">
        <f>VLOOKUP(C147,'PL MAPPING'!C:E,3,0)</f>
        <v>0</v>
      </c>
      <c r="J147" s="249" t="str">
        <f>VLOOKUP(C147,'[11]Chart of Accounts1'!$A$2:$M$800,13,0)</f>
        <v>620200</v>
      </c>
    </row>
    <row r="148" spans="1:10">
      <c r="A148" s="4" t="s">
        <v>467</v>
      </c>
      <c r="B148" s="6" t="s">
        <v>468</v>
      </c>
      <c r="C148" s="4" t="s">
        <v>619</v>
      </c>
      <c r="D148" s="3" t="s">
        <v>620</v>
      </c>
      <c r="E148" s="245">
        <v>107125.7</v>
      </c>
      <c r="H148" s="249">
        <f>VLOOKUP(C148,'PL MAPPING'!C:E,3,0)</f>
        <v>7125.7</v>
      </c>
      <c r="J148" s="249" t="str">
        <f>VLOOKUP(C148,'[11]Chart of Accounts1'!$A$2:$M$800,13,0)</f>
        <v>620200</v>
      </c>
    </row>
    <row r="149" spans="1:10">
      <c r="A149" s="4" t="s">
        <v>467</v>
      </c>
      <c r="B149" s="6" t="s">
        <v>468</v>
      </c>
      <c r="C149" s="4" t="s">
        <v>557</v>
      </c>
      <c r="D149" s="3" t="s">
        <v>558</v>
      </c>
      <c r="E149" s="245">
        <v>100127.94</v>
      </c>
      <c r="H149" s="249">
        <f>VLOOKUP(C149,'PL MAPPING'!C:E,3,0)</f>
        <v>120991.31</v>
      </c>
      <c r="J149" s="249" t="str">
        <f>VLOOKUP(C149,'[11]Chart of Accounts1'!$A$2:$M$800,13,0)</f>
        <v>620200</v>
      </c>
    </row>
    <row r="150" spans="1:10">
      <c r="A150" s="4" t="s">
        <v>467</v>
      </c>
      <c r="B150" s="6" t="s">
        <v>468</v>
      </c>
      <c r="C150" s="4" t="s">
        <v>613</v>
      </c>
      <c r="D150" s="3" t="s">
        <v>614</v>
      </c>
      <c r="E150" s="245">
        <v>312248.18</v>
      </c>
      <c r="H150" s="249">
        <f>VLOOKUP(C150,'PL MAPPING'!C:E,3,0)</f>
        <v>362248.18</v>
      </c>
      <c r="J150" s="249" t="str">
        <f>VLOOKUP(C150,'[11]Chart of Accounts1'!$A$2:$M$800,13,0)</f>
        <v>620200</v>
      </c>
    </row>
    <row r="151" spans="1:10">
      <c r="A151" s="4" t="s">
        <v>467</v>
      </c>
      <c r="B151" s="6" t="s">
        <v>468</v>
      </c>
      <c r="C151" s="4" t="s">
        <v>629</v>
      </c>
      <c r="D151" s="3" t="s">
        <v>630</v>
      </c>
      <c r="E151" s="245">
        <v>328932.23</v>
      </c>
      <c r="H151" s="249">
        <f>VLOOKUP(C151,'PL MAPPING'!C:E,3,0)</f>
        <v>373476.12</v>
      </c>
      <c r="J151" s="249" t="str">
        <f>VLOOKUP(C151,'[11]Chart of Accounts1'!$A$2:$M$800,13,0)</f>
        <v>620200</v>
      </c>
    </row>
    <row r="152" spans="1:10">
      <c r="A152" s="4" t="s">
        <v>467</v>
      </c>
      <c r="B152" s="6" t="s">
        <v>468</v>
      </c>
      <c r="C152" s="4" t="s">
        <v>551</v>
      </c>
      <c r="D152" s="3" t="s">
        <v>552</v>
      </c>
      <c r="E152" s="245" t="s">
        <v>1168</v>
      </c>
      <c r="H152" s="249">
        <f>VLOOKUP(C152,'PL MAPPING'!C:E,3,0)</f>
        <v>0</v>
      </c>
      <c r="J152" s="249" t="str">
        <f>VLOOKUP(C152,'[11]Chart of Accounts1'!$A$2:$M$800,13,0)</f>
        <v>620200</v>
      </c>
    </row>
    <row r="153" spans="1:10">
      <c r="A153" s="4" t="s">
        <v>467</v>
      </c>
      <c r="B153" s="6" t="s">
        <v>468</v>
      </c>
      <c r="C153" s="4" t="s">
        <v>559</v>
      </c>
      <c r="D153" s="3" t="s">
        <v>560</v>
      </c>
      <c r="E153" s="245">
        <v>143545.31</v>
      </c>
      <c r="H153" s="249">
        <f>VLOOKUP(C153,'PL MAPPING'!C:E,3,0)</f>
        <v>104510.74</v>
      </c>
      <c r="J153" s="249" t="str">
        <f>VLOOKUP(C153,'[11]Chart of Accounts1'!$A$2:$M$800,13,0)</f>
        <v>620200</v>
      </c>
    </row>
    <row r="154" spans="1:10">
      <c r="A154" s="4" t="s">
        <v>467</v>
      </c>
      <c r="B154" s="6" t="s">
        <v>468</v>
      </c>
      <c r="C154" s="4" t="s">
        <v>561</v>
      </c>
      <c r="D154" s="3" t="s">
        <v>562</v>
      </c>
      <c r="E154" s="245">
        <v>5427.22</v>
      </c>
      <c r="H154" s="249">
        <f>VLOOKUP(C154,'PL MAPPING'!C:E,3,0)</f>
        <v>6895.17</v>
      </c>
      <c r="J154" s="249" t="str">
        <f>VLOOKUP(C154,'[11]Chart of Accounts1'!$A$2:$M$800,13,0)</f>
        <v>620200</v>
      </c>
    </row>
    <row r="155" spans="1:10">
      <c r="A155" s="4" t="s">
        <v>467</v>
      </c>
      <c r="B155" s="6" t="s">
        <v>468</v>
      </c>
      <c r="C155" s="4" t="s">
        <v>563</v>
      </c>
      <c r="D155" s="3" t="s">
        <v>564</v>
      </c>
      <c r="E155" s="245">
        <v>71.7</v>
      </c>
      <c r="H155" s="249">
        <f>VLOOKUP(C155,'PL MAPPING'!C:E,3,0)</f>
        <v>71.7</v>
      </c>
      <c r="J155" s="249" t="str">
        <f>VLOOKUP(C155,'[11]Chart of Accounts1'!$A$2:$M$800,13,0)</f>
        <v>620200</v>
      </c>
    </row>
    <row r="156" spans="1:10">
      <c r="A156" s="4" t="s">
        <v>467</v>
      </c>
      <c r="B156" s="6" t="s">
        <v>468</v>
      </c>
      <c r="C156" s="4" t="s">
        <v>565</v>
      </c>
      <c r="D156" s="3" t="s">
        <v>566</v>
      </c>
      <c r="E156" s="245">
        <v>182.76</v>
      </c>
      <c r="H156" s="249">
        <f>VLOOKUP(C156,'PL MAPPING'!C:E,3,0)</f>
        <v>182.76</v>
      </c>
      <c r="J156" s="249" t="str">
        <f>VLOOKUP(C156,'[11]Chart of Accounts1'!$A$2:$M$800,13,0)</f>
        <v>620200</v>
      </c>
    </row>
    <row r="157" spans="1:10">
      <c r="A157" s="4" t="s">
        <v>467</v>
      </c>
      <c r="B157" s="6" t="s">
        <v>468</v>
      </c>
      <c r="C157" s="4" t="s">
        <v>567</v>
      </c>
      <c r="D157" s="3" t="s">
        <v>568</v>
      </c>
      <c r="E157" s="245">
        <v>2799.14</v>
      </c>
      <c r="H157" s="249">
        <f>VLOOKUP(C157,'PL MAPPING'!C:E,3,0)</f>
        <v>2799.14</v>
      </c>
      <c r="J157" s="249" t="str">
        <f>VLOOKUP(C157,'[11]Chart of Accounts1'!$A$2:$M$800,13,0)</f>
        <v>620200</v>
      </c>
    </row>
    <row r="158" spans="1:10">
      <c r="A158" s="4" t="s">
        <v>467</v>
      </c>
      <c r="B158" s="6" t="s">
        <v>468</v>
      </c>
      <c r="C158" s="4" t="s">
        <v>569</v>
      </c>
      <c r="D158" s="3" t="s">
        <v>570</v>
      </c>
      <c r="E158" s="245" t="s">
        <v>1168</v>
      </c>
      <c r="H158" s="249">
        <f>VLOOKUP(C158,'PL MAPPING'!C:E,3,0)</f>
        <v>0</v>
      </c>
      <c r="J158" s="249" t="str">
        <f>VLOOKUP(C158,'[11]Chart of Accounts1'!$A$2:$M$800,13,0)</f>
        <v>620200</v>
      </c>
    </row>
    <row r="159" spans="1:10">
      <c r="A159" s="4" t="s">
        <v>467</v>
      </c>
      <c r="B159" s="6" t="s">
        <v>468</v>
      </c>
      <c r="C159" s="4" t="s">
        <v>571</v>
      </c>
      <c r="D159" s="3" t="s">
        <v>572</v>
      </c>
      <c r="E159" s="245">
        <v>30045.39</v>
      </c>
      <c r="H159" s="249">
        <f>VLOOKUP(C159,'PL MAPPING'!C:E,3,0)</f>
        <v>40761.61</v>
      </c>
      <c r="J159" s="249" t="str">
        <f>VLOOKUP(C159,'[11]Chart of Accounts1'!$A$2:$M$800,13,0)</f>
        <v>620200</v>
      </c>
    </row>
    <row r="160" spans="1:10">
      <c r="A160" s="4" t="s">
        <v>467</v>
      </c>
      <c r="B160" s="6" t="s">
        <v>468</v>
      </c>
      <c r="C160" s="4" t="s">
        <v>611</v>
      </c>
      <c r="D160" s="3" t="s">
        <v>612</v>
      </c>
      <c r="E160" s="245" t="s">
        <v>1168</v>
      </c>
      <c r="H160" s="249">
        <f>VLOOKUP(C160,'PL MAPPING'!C:E,3,0)</f>
        <v>0</v>
      </c>
      <c r="J160" s="249" t="str">
        <f>VLOOKUP(C160,'[11]Chart of Accounts1'!$A$2:$M$800,13,0)</f>
        <v>620200</v>
      </c>
    </row>
    <row r="161" spans="1:10">
      <c r="A161" s="4" t="s">
        <v>467</v>
      </c>
      <c r="B161" s="6" t="s">
        <v>468</v>
      </c>
      <c r="C161" s="4" t="s">
        <v>555</v>
      </c>
      <c r="D161" s="3" t="s">
        <v>556</v>
      </c>
      <c r="E161" s="245">
        <v>169741.98</v>
      </c>
      <c r="H161" s="249">
        <f>VLOOKUP(C161,'PL MAPPING'!C:E,3,0)</f>
        <v>205006.13</v>
      </c>
      <c r="J161" s="249" t="str">
        <f>VLOOKUP(C161,'[11]Chart of Accounts1'!$A$2:$M$800,13,0)</f>
        <v>620200</v>
      </c>
    </row>
    <row r="162" spans="1:10">
      <c r="A162" s="4" t="s">
        <v>467</v>
      </c>
      <c r="B162" s="6" t="s">
        <v>468</v>
      </c>
      <c r="C162" s="4" t="s">
        <v>617</v>
      </c>
      <c r="D162" s="3" t="s">
        <v>618</v>
      </c>
      <c r="E162" s="245" t="s">
        <v>1168</v>
      </c>
      <c r="H162" s="249">
        <f>VLOOKUP(C162,'PL MAPPING'!C:E,3,0)</f>
        <v>0</v>
      </c>
      <c r="J162" s="249" t="str">
        <f>VLOOKUP(C162,'[11]Chart of Accounts1'!$A$2:$M$800,13,0)</f>
        <v>620200</v>
      </c>
    </row>
    <row r="163" spans="1:10">
      <c r="A163" s="4" t="s">
        <v>467</v>
      </c>
      <c r="B163" s="6" t="s">
        <v>468</v>
      </c>
      <c r="C163" s="4" t="s">
        <v>635</v>
      </c>
      <c r="D163" s="3" t="s">
        <v>636</v>
      </c>
      <c r="E163" s="245" t="s">
        <v>1168</v>
      </c>
      <c r="H163" s="249">
        <f>VLOOKUP(C163,'PL MAPPING'!C:E,3,0)</f>
        <v>0</v>
      </c>
      <c r="J163" s="249" t="str">
        <f>VLOOKUP(C163,'[11]Chart of Accounts1'!$A$2:$M$800,13,0)</f>
        <v>620200</v>
      </c>
    </row>
    <row r="164" spans="1:10">
      <c r="A164" s="4" t="s">
        <v>467</v>
      </c>
      <c r="B164" s="6" t="s">
        <v>468</v>
      </c>
      <c r="C164" s="4" t="s">
        <v>609</v>
      </c>
      <c r="D164" s="3" t="s">
        <v>610</v>
      </c>
      <c r="E164" s="245">
        <v>2029580.49</v>
      </c>
      <c r="H164" s="249">
        <f>VLOOKUP(C164,'PL MAPPING'!C:E,3,0)</f>
        <v>2300853.83</v>
      </c>
      <c r="J164" s="249" t="str">
        <f>VLOOKUP(C164,'[11]Chart of Accounts1'!$A$2:$M$800,13,0)</f>
        <v>620200</v>
      </c>
    </row>
    <row r="165" spans="1:10">
      <c r="A165" s="4" t="s">
        <v>467</v>
      </c>
      <c r="B165" s="6" t="s">
        <v>468</v>
      </c>
      <c r="C165" s="4" t="s">
        <v>627</v>
      </c>
      <c r="D165" s="3" t="s">
        <v>628</v>
      </c>
      <c r="E165" s="245" t="s">
        <v>1168</v>
      </c>
      <c r="H165" s="249">
        <f>VLOOKUP(C165,'PL MAPPING'!C:E,3,0)</f>
        <v>0</v>
      </c>
      <c r="J165" s="249" t="str">
        <f>VLOOKUP(C165,'[11]Chart of Accounts1'!$A$2:$M$800,13,0)</f>
        <v>620200</v>
      </c>
    </row>
    <row r="166" spans="1:10">
      <c r="A166" s="4" t="s">
        <v>467</v>
      </c>
      <c r="B166" s="6" t="s">
        <v>468</v>
      </c>
      <c r="C166" s="4" t="s">
        <v>625</v>
      </c>
      <c r="D166" s="3" t="s">
        <v>626</v>
      </c>
      <c r="E166" s="245" t="s">
        <v>1168</v>
      </c>
      <c r="H166" s="249">
        <f>VLOOKUP(C166,'PL MAPPING'!C:E,3,0)</f>
        <v>0</v>
      </c>
      <c r="J166" s="249" t="str">
        <f>VLOOKUP(C166,'[11]Chart of Accounts1'!$A$2:$M$800,13,0)</f>
        <v>620200</v>
      </c>
    </row>
    <row r="167" spans="1:10">
      <c r="A167" s="4" t="s">
        <v>467</v>
      </c>
      <c r="B167" s="6" t="s">
        <v>468</v>
      </c>
      <c r="C167" s="4" t="s">
        <v>621</v>
      </c>
      <c r="D167" s="3" t="s">
        <v>622</v>
      </c>
      <c r="E167" s="245" t="s">
        <v>1168</v>
      </c>
      <c r="H167" s="249">
        <f>VLOOKUP(C167,'PL MAPPING'!C:E,3,0)</f>
        <v>0</v>
      </c>
      <c r="J167" s="249" t="str">
        <f>VLOOKUP(C167,'[11]Chart of Accounts1'!$A$2:$M$800,13,0)</f>
        <v>620200</v>
      </c>
    </row>
    <row r="168" spans="1:10">
      <c r="A168" s="4" t="s">
        <v>467</v>
      </c>
      <c r="B168" s="6" t="s">
        <v>468</v>
      </c>
      <c r="C168" s="4" t="s">
        <v>623</v>
      </c>
      <c r="D168" s="3" t="s">
        <v>624</v>
      </c>
      <c r="E168" s="245" t="s">
        <v>1168</v>
      </c>
      <c r="H168" s="249">
        <f>VLOOKUP(C168,'PL MAPPING'!C:E,3,0)</f>
        <v>0</v>
      </c>
      <c r="J168" s="249" t="str">
        <f>VLOOKUP(C168,'[11]Chart of Accounts1'!$A$2:$M$800,13,0)</f>
        <v>620200</v>
      </c>
    </row>
    <row r="169" spans="1:10">
      <c r="A169" s="4" t="s">
        <v>467</v>
      </c>
      <c r="B169" s="6" t="s">
        <v>468</v>
      </c>
      <c r="C169" s="4" t="s">
        <v>1060</v>
      </c>
      <c r="D169" s="3" t="s">
        <v>1120</v>
      </c>
      <c r="E169" s="245">
        <v>223917.06</v>
      </c>
      <c r="H169" s="249">
        <f>VLOOKUP(C169,'PL MAPPING'!C:E,3,0)</f>
        <v>262985.74</v>
      </c>
      <c r="J169" s="249" t="str">
        <f>VLOOKUP(C169,'[11]Chart of Accounts1'!$A$2:$M$800,13,0)</f>
        <v>620200</v>
      </c>
    </row>
    <row r="170" spans="1:10">
      <c r="A170" s="4" t="s">
        <v>467</v>
      </c>
      <c r="B170" s="6" t="s">
        <v>468</v>
      </c>
      <c r="C170" s="4" t="s">
        <v>1061</v>
      </c>
      <c r="D170" s="3" t="s">
        <v>1121</v>
      </c>
      <c r="E170" s="245">
        <v>105403.5</v>
      </c>
      <c r="H170" s="249">
        <f>VLOOKUP(C170,'PL MAPPING'!C:E,3,0)</f>
        <v>138291.76999999999</v>
      </c>
      <c r="J170" s="249" t="str">
        <f>VLOOKUP(C170,'[11]Chart of Accounts1'!$A$2:$M$800,13,0)</f>
        <v>620200</v>
      </c>
    </row>
    <row r="171" spans="1:10">
      <c r="A171" s="4" t="s">
        <v>467</v>
      </c>
      <c r="B171" s="6" t="s">
        <v>468</v>
      </c>
      <c r="C171" s="4" t="s">
        <v>1062</v>
      </c>
      <c r="D171" s="3" t="s">
        <v>1122</v>
      </c>
      <c r="E171" s="245">
        <v>2307749.4700000002</v>
      </c>
      <c r="H171" s="249">
        <f>VLOOKUP(C171,'PL MAPPING'!C:E,3,0)</f>
        <v>2781343.58</v>
      </c>
      <c r="J171" s="249" t="str">
        <f>VLOOKUP(C171,'[11]Chart of Accounts1'!$A$2:$M$800,13,0)</f>
        <v>620200</v>
      </c>
    </row>
    <row r="172" spans="1:10">
      <c r="A172" s="4" t="s">
        <v>467</v>
      </c>
      <c r="B172" s="6" t="s">
        <v>468</v>
      </c>
      <c r="C172" s="4" t="s">
        <v>1063</v>
      </c>
      <c r="D172" s="3" t="s">
        <v>1123</v>
      </c>
      <c r="E172" s="245">
        <v>1060796.31</v>
      </c>
      <c r="H172" s="249">
        <f>VLOOKUP(C172,'PL MAPPING'!C:E,3,0)</f>
        <v>1165445.29</v>
      </c>
      <c r="J172" s="249" t="str">
        <f>VLOOKUP(C172,'[11]Chart of Accounts1'!$A$2:$M$800,13,0)</f>
        <v>620200</v>
      </c>
    </row>
    <row r="173" spans="1:10">
      <c r="A173" s="4" t="s">
        <v>467</v>
      </c>
      <c r="B173" s="6" t="s">
        <v>468</v>
      </c>
      <c r="C173" s="4" t="s">
        <v>1064</v>
      </c>
      <c r="D173" s="3" t="s">
        <v>1124</v>
      </c>
      <c r="E173" s="245">
        <v>236604.73</v>
      </c>
      <c r="H173" s="249">
        <f>VLOOKUP(C173,'PL MAPPING'!C:E,3,0)</f>
        <v>262323.43</v>
      </c>
      <c r="J173" s="249" t="str">
        <f>VLOOKUP(C173,'[11]Chart of Accounts1'!$A$2:$M$800,13,0)</f>
        <v>620200</v>
      </c>
    </row>
    <row r="174" spans="1:10">
      <c r="A174" s="4" t="s">
        <v>467</v>
      </c>
      <c r="B174" s="6" t="s">
        <v>468</v>
      </c>
      <c r="C174" s="4" t="s">
        <v>1065</v>
      </c>
      <c r="D174" s="3" t="s">
        <v>1125</v>
      </c>
      <c r="E174" s="245" t="s">
        <v>1168</v>
      </c>
      <c r="H174" s="249">
        <f>VLOOKUP(C174,'PL MAPPING'!C:E,3,0)</f>
        <v>0</v>
      </c>
      <c r="J174" s="249" t="str">
        <f>VLOOKUP(C174,'[11]Chart of Accounts1'!$A$2:$M$800,13,0)</f>
        <v>620200</v>
      </c>
    </row>
    <row r="175" spans="1:10">
      <c r="A175" s="4" t="s">
        <v>467</v>
      </c>
      <c r="B175" s="6" t="s">
        <v>468</v>
      </c>
      <c r="C175" s="4" t="s">
        <v>1078</v>
      </c>
      <c r="D175" s="3" t="s">
        <v>1138</v>
      </c>
      <c r="E175" s="245">
        <v>104354</v>
      </c>
      <c r="H175" s="249">
        <f>VLOOKUP(C175,'PL MAPPING'!C:E,3,0)</f>
        <v>125394.4</v>
      </c>
      <c r="J175" s="249" t="str">
        <f>VLOOKUP(C175,'[11]Chart of Accounts1'!$A$2:$M$800,13,0)</f>
        <v>620200</v>
      </c>
    </row>
    <row r="176" spans="1:10">
      <c r="A176" s="4" t="s">
        <v>467</v>
      </c>
      <c r="B176" s="6" t="s">
        <v>468</v>
      </c>
      <c r="C176" s="4" t="s">
        <v>1079</v>
      </c>
      <c r="D176" s="3" t="s">
        <v>1139</v>
      </c>
      <c r="E176" s="245">
        <v>41733.82</v>
      </c>
      <c r="H176" s="249">
        <f>VLOOKUP(C176,'PL MAPPING'!C:E,3,0)</f>
        <v>41733.82</v>
      </c>
      <c r="J176" s="249" t="str">
        <f>VLOOKUP(C176,'[11]Chart of Accounts1'!$A$2:$M$800,13,0)</f>
        <v>620200</v>
      </c>
    </row>
    <row r="177" spans="1:10">
      <c r="A177" s="4" t="s">
        <v>467</v>
      </c>
      <c r="B177" s="6" t="s">
        <v>468</v>
      </c>
      <c r="C177" s="4" t="s">
        <v>1080</v>
      </c>
      <c r="D177" s="3" t="s">
        <v>1140</v>
      </c>
      <c r="E177" s="245">
        <v>62276.480000000003</v>
      </c>
      <c r="H177" s="249">
        <f>VLOOKUP(C177,'PL MAPPING'!C:E,3,0)</f>
        <v>74519.28</v>
      </c>
      <c r="J177" s="249" t="str">
        <f>VLOOKUP(C177,'[11]Chart of Accounts1'!$A$2:$M$800,13,0)</f>
        <v>620200</v>
      </c>
    </row>
    <row r="178" spans="1:10">
      <c r="A178" s="4" t="s">
        <v>467</v>
      </c>
      <c r="B178" s="6" t="s">
        <v>468</v>
      </c>
      <c r="C178" s="4" t="s">
        <v>1081</v>
      </c>
      <c r="D178" s="3" t="s">
        <v>1141</v>
      </c>
      <c r="E178" s="245">
        <v>1351.59</v>
      </c>
      <c r="H178" s="249">
        <f>VLOOKUP(C178,'PL MAPPING'!C:E,3,0)</f>
        <v>1351.59</v>
      </c>
      <c r="J178" s="249" t="str">
        <f>VLOOKUP(C178,'[11]Chart of Accounts1'!$A$2:$M$800,13,0)</f>
        <v>620200</v>
      </c>
    </row>
    <row r="179" spans="1:10">
      <c r="A179" s="4" t="s">
        <v>467</v>
      </c>
      <c r="B179" s="6" t="s">
        <v>468</v>
      </c>
      <c r="C179" s="4" t="s">
        <v>1082</v>
      </c>
      <c r="D179" s="3" t="s">
        <v>1142</v>
      </c>
      <c r="E179" s="245">
        <v>1063.48</v>
      </c>
      <c r="H179" s="249">
        <f>VLOOKUP(C179,'PL MAPPING'!C:E,3,0)</f>
        <v>1063.48</v>
      </c>
      <c r="J179" s="249" t="str">
        <f>VLOOKUP(C179,'[11]Chart of Accounts1'!$A$2:$M$800,13,0)</f>
        <v>620200</v>
      </c>
    </row>
    <row r="180" spans="1:10">
      <c r="A180" s="4" t="s">
        <v>467</v>
      </c>
      <c r="B180" s="6" t="s">
        <v>468</v>
      </c>
      <c r="C180" s="4" t="s">
        <v>1083</v>
      </c>
      <c r="D180" s="3" t="s">
        <v>1143</v>
      </c>
      <c r="E180" s="245">
        <v>10299.709999999999</v>
      </c>
      <c r="H180" s="249">
        <f>VLOOKUP(C180,'PL MAPPING'!C:E,3,0)</f>
        <v>12332.3</v>
      </c>
      <c r="J180" s="249" t="str">
        <f>VLOOKUP(C180,'[11]Chart of Accounts1'!$A$2:$M$800,13,0)</f>
        <v>620200</v>
      </c>
    </row>
    <row r="181" spans="1:10">
      <c r="A181" s="4" t="s">
        <v>637</v>
      </c>
      <c r="B181" s="6" t="s">
        <v>638</v>
      </c>
      <c r="C181" s="4" t="s">
        <v>643</v>
      </c>
      <c r="D181" s="3" t="s">
        <v>644</v>
      </c>
      <c r="E181" s="245">
        <v>263578.62</v>
      </c>
      <c r="H181" s="249">
        <f>VLOOKUP(C181,'PL MAPPING'!C:E,3,0)</f>
        <v>895596.58</v>
      </c>
      <c r="J181" s="249" t="str">
        <f>VLOOKUP(C181,'[11]Chart of Accounts1'!$A$2:$M$800,13,0)</f>
        <v>620300</v>
      </c>
    </row>
    <row r="182" spans="1:10">
      <c r="A182" s="4" t="s">
        <v>637</v>
      </c>
      <c r="B182" s="6" t="s">
        <v>638</v>
      </c>
      <c r="C182" s="4" t="s">
        <v>639</v>
      </c>
      <c r="D182" s="3" t="s">
        <v>640</v>
      </c>
      <c r="E182" s="245">
        <v>-279181.78000000003</v>
      </c>
      <c r="H182" s="249">
        <f>VLOOKUP(C182,'PL MAPPING'!C:E,3,0)</f>
        <v>-923093.82</v>
      </c>
      <c r="J182" s="249" t="str">
        <f>VLOOKUP(C182,'[11]Chart of Accounts1'!$A$2:$M$800,13,0)</f>
        <v>620300</v>
      </c>
    </row>
    <row r="183" spans="1:10">
      <c r="A183" s="4" t="s">
        <v>637</v>
      </c>
      <c r="B183" s="6" t="s">
        <v>638</v>
      </c>
      <c r="C183" s="4" t="s">
        <v>645</v>
      </c>
      <c r="D183" s="3" t="s">
        <v>646</v>
      </c>
      <c r="E183" s="245" t="s">
        <v>1168</v>
      </c>
      <c r="H183" s="249">
        <f>VLOOKUP(C183,'PL MAPPING'!C:E,3,0)</f>
        <v>8075550</v>
      </c>
      <c r="J183" s="249" t="str">
        <f>VLOOKUP(C183,'[11]Chart of Accounts1'!$A$2:$M$800,13,0)</f>
        <v>620300</v>
      </c>
    </row>
    <row r="184" spans="1:10">
      <c r="A184" s="4" t="s">
        <v>637</v>
      </c>
      <c r="B184" s="6" t="s">
        <v>638</v>
      </c>
      <c r="C184" s="4" t="s">
        <v>651</v>
      </c>
      <c r="D184" s="3" t="s">
        <v>652</v>
      </c>
      <c r="E184" s="245">
        <v>227764.89</v>
      </c>
      <c r="H184" s="249">
        <f>VLOOKUP(C184,'PL MAPPING'!C:E,3,0)</f>
        <v>240916.87</v>
      </c>
      <c r="J184" s="249" t="str">
        <f>VLOOKUP(C184,'[11]Chart of Accounts1'!$A$2:$M$800,13,0)</f>
        <v>620300</v>
      </c>
    </row>
    <row r="185" spans="1:10">
      <c r="A185" s="4" t="s">
        <v>637</v>
      </c>
      <c r="B185" s="6" t="s">
        <v>638</v>
      </c>
      <c r="C185" s="4" t="s">
        <v>653</v>
      </c>
      <c r="D185" s="3" t="s">
        <v>654</v>
      </c>
      <c r="E185" s="245" t="s">
        <v>1168</v>
      </c>
      <c r="H185" s="249">
        <f>VLOOKUP(C185,'PL MAPPING'!C:E,3,0)</f>
        <v>0</v>
      </c>
      <c r="J185" s="249" t="str">
        <f>VLOOKUP(C185,'[11]Chart of Accounts1'!$A$2:$M$800,13,0)</f>
        <v>620300</v>
      </c>
    </row>
    <row r="186" spans="1:10">
      <c r="A186" s="4" t="s">
        <v>637</v>
      </c>
      <c r="B186" s="6" t="s">
        <v>638</v>
      </c>
      <c r="C186" s="4" t="s">
        <v>641</v>
      </c>
      <c r="D186" s="3" t="s">
        <v>642</v>
      </c>
      <c r="E186" s="245">
        <v>-328454.39</v>
      </c>
      <c r="H186" s="249">
        <f>VLOOKUP(C186,'PL MAPPING'!C:E,3,0)</f>
        <v>-366951.97</v>
      </c>
      <c r="J186" s="249" t="str">
        <f>VLOOKUP(C186,'[11]Chart of Accounts1'!$A$2:$M$800,13,0)</f>
        <v>620300</v>
      </c>
    </row>
    <row r="187" spans="1:10">
      <c r="A187" s="4" t="s">
        <v>637</v>
      </c>
      <c r="B187" s="6" t="s">
        <v>638</v>
      </c>
      <c r="C187" s="4" t="s">
        <v>649</v>
      </c>
      <c r="D187" s="3" t="s">
        <v>650</v>
      </c>
      <c r="E187" s="245" t="s">
        <v>1168</v>
      </c>
      <c r="H187" s="249">
        <f>VLOOKUP(C187,'PL MAPPING'!C:E,3,0)</f>
        <v>0</v>
      </c>
      <c r="J187" s="249" t="str">
        <f>VLOOKUP(C187,'[11]Chart of Accounts1'!$A$2:$M$800,13,0)</f>
        <v>620300</v>
      </c>
    </row>
    <row r="188" spans="1:10">
      <c r="A188" s="4" t="s">
        <v>637</v>
      </c>
      <c r="B188" s="6" t="s">
        <v>638</v>
      </c>
      <c r="C188" s="4" t="s">
        <v>647</v>
      </c>
      <c r="D188" s="3" t="s">
        <v>648</v>
      </c>
      <c r="E188" s="245" t="s">
        <v>1168</v>
      </c>
      <c r="H188" s="249">
        <f>VLOOKUP(C188,'PL MAPPING'!C:E,3,0)</f>
        <v>0</v>
      </c>
      <c r="J188" s="249" t="str">
        <f>VLOOKUP(C188,'[11]Chart of Accounts1'!$A$2:$M$800,13,0)</f>
        <v>620300</v>
      </c>
    </row>
    <row r="189" spans="1:10">
      <c r="A189" s="3" t="s">
        <v>655</v>
      </c>
      <c r="B189" s="6" t="s">
        <v>1189</v>
      </c>
      <c r="C189" s="3" t="s">
        <v>656</v>
      </c>
      <c r="D189" s="3" t="s">
        <v>657</v>
      </c>
      <c r="E189" s="245" t="s">
        <v>1168</v>
      </c>
      <c r="H189" s="249">
        <f>VLOOKUP(C189,'PL MAPPING'!C:E,3,0)</f>
        <v>0</v>
      </c>
      <c r="J189" s="249" t="str">
        <f>VLOOKUP(C189,'[11]Chart of Accounts1'!$A$2:$M$800,13,0)</f>
        <v>651301</v>
      </c>
    </row>
    <row r="190" spans="1:10">
      <c r="A190" s="4" t="s">
        <v>658</v>
      </c>
      <c r="B190" s="6" t="s">
        <v>1181</v>
      </c>
      <c r="C190" s="4" t="s">
        <v>659</v>
      </c>
      <c r="D190" s="3" t="s">
        <v>660</v>
      </c>
      <c r="E190" s="245" t="s">
        <v>1168</v>
      </c>
      <c r="H190" s="249">
        <f>VLOOKUP(C190,'PL MAPPING'!C:E,3,0)</f>
        <v>0</v>
      </c>
      <c r="J190" s="249" t="str">
        <f>VLOOKUP(C190,'[11]Chart of Accounts1'!$A$2:$M$800,13,0)</f>
        <v>651400</v>
      </c>
    </row>
    <row r="191" spans="1:10">
      <c r="A191" s="4" t="s">
        <v>661</v>
      </c>
      <c r="B191" s="6" t="s">
        <v>1180</v>
      </c>
      <c r="C191" s="4" t="s">
        <v>686</v>
      </c>
      <c r="D191" s="3" t="s">
        <v>687</v>
      </c>
      <c r="E191" s="245" t="s">
        <v>1168</v>
      </c>
      <c r="H191" s="249">
        <f>VLOOKUP(C191,'PL MAPPING'!C:E,3,0)</f>
        <v>0</v>
      </c>
      <c r="J191" s="249" t="str">
        <f>VLOOKUP(C191,'[11]Chart of Accounts1'!$A$2:$M$800,13,0)</f>
        <v>651500</v>
      </c>
    </row>
    <row r="192" spans="1:10">
      <c r="A192" s="4" t="s">
        <v>661</v>
      </c>
      <c r="B192" s="6" t="s">
        <v>1180</v>
      </c>
      <c r="C192" s="4" t="s">
        <v>670</v>
      </c>
      <c r="D192" s="3" t="s">
        <v>671</v>
      </c>
      <c r="E192" s="245" t="s">
        <v>1168</v>
      </c>
      <c r="H192" s="249">
        <f>VLOOKUP(C192,'PL MAPPING'!C:E,3,0)</f>
        <v>0</v>
      </c>
      <c r="J192" s="249" t="str">
        <f>VLOOKUP(C192,'[11]Chart of Accounts1'!$A$2:$M$800,13,0)</f>
        <v>651500</v>
      </c>
    </row>
    <row r="193" spans="1:10">
      <c r="A193" s="4" t="s">
        <v>661</v>
      </c>
      <c r="B193" s="6" t="s">
        <v>1180</v>
      </c>
      <c r="C193" s="4" t="s">
        <v>666</v>
      </c>
      <c r="D193" s="3" t="s">
        <v>667</v>
      </c>
      <c r="E193" s="245" t="s">
        <v>1168</v>
      </c>
      <c r="H193" s="249">
        <f>VLOOKUP(C193,'PL MAPPING'!C:E,3,0)</f>
        <v>0</v>
      </c>
      <c r="J193" s="249" t="str">
        <f>VLOOKUP(C193,'[11]Chart of Accounts1'!$A$2:$M$800,13,0)</f>
        <v>651500</v>
      </c>
    </row>
    <row r="194" spans="1:10">
      <c r="A194" s="4" t="s">
        <v>661</v>
      </c>
      <c r="B194" s="6" t="s">
        <v>1180</v>
      </c>
      <c r="C194" s="4" t="s">
        <v>694</v>
      </c>
      <c r="D194" s="3" t="s">
        <v>695</v>
      </c>
      <c r="E194" s="245" t="s">
        <v>1168</v>
      </c>
      <c r="H194" s="249">
        <f>VLOOKUP(C194,'PL MAPPING'!C:E,3,0)</f>
        <v>0</v>
      </c>
      <c r="J194" s="249" t="str">
        <f>VLOOKUP(C194,'[11]Chart of Accounts1'!$A$2:$M$800,13,0)</f>
        <v>651500</v>
      </c>
    </row>
    <row r="195" spans="1:10">
      <c r="A195" s="4" t="s">
        <v>661</v>
      </c>
      <c r="B195" s="6" t="s">
        <v>1180</v>
      </c>
      <c r="C195" s="4" t="s">
        <v>674</v>
      </c>
      <c r="D195" s="3" t="s">
        <v>675</v>
      </c>
      <c r="E195" s="245">
        <v>1942.84</v>
      </c>
      <c r="H195" s="249">
        <f>VLOOKUP(C195,'PL MAPPING'!C:E,3,0)</f>
        <v>2166.34</v>
      </c>
      <c r="J195" s="249" t="str">
        <f>VLOOKUP(C195,'[11]Chart of Accounts1'!$A$2:$M$800,13,0)</f>
        <v>651500</v>
      </c>
    </row>
    <row r="196" spans="1:10">
      <c r="A196" s="4" t="s">
        <v>661</v>
      </c>
      <c r="B196" s="6" t="s">
        <v>1180</v>
      </c>
      <c r="C196" s="4" t="s">
        <v>672</v>
      </c>
      <c r="D196" s="3" t="s">
        <v>673</v>
      </c>
      <c r="E196" s="245" t="s">
        <v>1168</v>
      </c>
      <c r="H196" s="249">
        <f>VLOOKUP(C196,'PL MAPPING'!C:E,3,0)</f>
        <v>0</v>
      </c>
      <c r="J196" s="249" t="str">
        <f>VLOOKUP(C196,'[11]Chart of Accounts1'!$A$2:$M$800,13,0)</f>
        <v>651500</v>
      </c>
    </row>
    <row r="197" spans="1:10">
      <c r="A197" s="4" t="s">
        <v>661</v>
      </c>
      <c r="B197" s="6" t="s">
        <v>1180</v>
      </c>
      <c r="C197" s="4" t="s">
        <v>680</v>
      </c>
      <c r="D197" s="3" t="s">
        <v>681</v>
      </c>
      <c r="E197" s="245" t="s">
        <v>1168</v>
      </c>
      <c r="H197" s="249">
        <f>VLOOKUP(C197,'PL MAPPING'!C:E,3,0)</f>
        <v>0</v>
      </c>
      <c r="J197" s="249" t="str">
        <f>VLOOKUP(C197,'[11]Chart of Accounts1'!$A$2:$M$800,13,0)</f>
        <v>651500</v>
      </c>
    </row>
    <row r="198" spans="1:10">
      <c r="A198" s="4" t="s">
        <v>661</v>
      </c>
      <c r="B198" s="6" t="s">
        <v>1180</v>
      </c>
      <c r="C198" s="4" t="s">
        <v>664</v>
      </c>
      <c r="D198" s="3" t="s">
        <v>665</v>
      </c>
      <c r="E198" s="245" t="s">
        <v>1168</v>
      </c>
      <c r="H198" s="249">
        <f>VLOOKUP(C198,'PL MAPPING'!C:E,3,0)</f>
        <v>0</v>
      </c>
      <c r="J198" s="249" t="str">
        <f>VLOOKUP(C198,'[11]Chart of Accounts1'!$A$2:$M$800,13,0)</f>
        <v>651500</v>
      </c>
    </row>
    <row r="199" spans="1:10">
      <c r="A199" s="4" t="s">
        <v>661</v>
      </c>
      <c r="B199" s="6" t="s">
        <v>1180</v>
      </c>
      <c r="C199" s="4" t="s">
        <v>662</v>
      </c>
      <c r="D199" s="3" t="s">
        <v>663</v>
      </c>
      <c r="E199" s="245" t="s">
        <v>1168</v>
      </c>
      <c r="H199" s="249">
        <f>VLOOKUP(C199,'PL MAPPING'!C:E,3,0)</f>
        <v>0</v>
      </c>
      <c r="J199" s="249" t="str">
        <f>VLOOKUP(C199,'[11]Chart of Accounts1'!$A$2:$M$800,13,0)</f>
        <v>651500</v>
      </c>
    </row>
    <row r="200" spans="1:10">
      <c r="A200" s="4" t="s">
        <v>661</v>
      </c>
      <c r="B200" s="6" t="s">
        <v>1180</v>
      </c>
      <c r="C200" s="4" t="s">
        <v>676</v>
      </c>
      <c r="D200" s="3" t="s">
        <v>677</v>
      </c>
      <c r="E200" s="245">
        <v>4798.6099999999997</v>
      </c>
      <c r="H200" s="249">
        <f>VLOOKUP(C200,'PL MAPPING'!C:E,3,0)</f>
        <v>4798.6099999999997</v>
      </c>
      <c r="J200" s="249" t="str">
        <f>VLOOKUP(C200,'[11]Chart of Accounts1'!$A$2:$M$800,13,0)</f>
        <v>651500</v>
      </c>
    </row>
    <row r="201" spans="1:10">
      <c r="A201" s="4" t="s">
        <v>661</v>
      </c>
      <c r="B201" s="6" t="s">
        <v>1180</v>
      </c>
      <c r="C201" s="4" t="s">
        <v>682</v>
      </c>
      <c r="D201" s="3" t="s">
        <v>683</v>
      </c>
      <c r="E201" s="245">
        <v>1483.42</v>
      </c>
      <c r="H201" s="249">
        <f>VLOOKUP(C201,'PL MAPPING'!C:E,3,0)</f>
        <v>1857.42</v>
      </c>
      <c r="J201" s="249" t="str">
        <f>VLOOKUP(C201,'[11]Chart of Accounts1'!$A$2:$M$800,13,0)</f>
        <v>651500</v>
      </c>
    </row>
    <row r="202" spans="1:10">
      <c r="A202" s="4" t="s">
        <v>661</v>
      </c>
      <c r="B202" s="6" t="s">
        <v>1180</v>
      </c>
      <c r="C202" s="4" t="s">
        <v>688</v>
      </c>
      <c r="D202" s="3" t="s">
        <v>689</v>
      </c>
      <c r="E202" s="245">
        <v>21682.43</v>
      </c>
      <c r="H202" s="249">
        <f>VLOOKUP(C202,'PL MAPPING'!C:E,3,0)</f>
        <v>26741.98</v>
      </c>
      <c r="J202" s="249" t="str">
        <f>VLOOKUP(C202,'[11]Chart of Accounts1'!$A$2:$M$800,13,0)</f>
        <v>651500</v>
      </c>
    </row>
    <row r="203" spans="1:10">
      <c r="A203" s="4" t="s">
        <v>661</v>
      </c>
      <c r="B203" s="6" t="s">
        <v>1180</v>
      </c>
      <c r="C203" s="4" t="s">
        <v>684</v>
      </c>
      <c r="D203" s="3" t="s">
        <v>685</v>
      </c>
      <c r="E203" s="245">
        <v>9623.7900000000009</v>
      </c>
      <c r="H203" s="249">
        <f>VLOOKUP(C203,'PL MAPPING'!C:E,3,0)</f>
        <v>11514.19</v>
      </c>
      <c r="J203" s="249" t="str">
        <f>VLOOKUP(C203,'[11]Chart of Accounts1'!$A$2:$M$800,13,0)</f>
        <v>651500</v>
      </c>
    </row>
    <row r="204" spans="1:10">
      <c r="A204" s="4" t="s">
        <v>661</v>
      </c>
      <c r="B204" s="6" t="s">
        <v>1180</v>
      </c>
      <c r="C204" s="4" t="s">
        <v>668</v>
      </c>
      <c r="D204" s="3" t="s">
        <v>669</v>
      </c>
      <c r="E204" s="245">
        <v>41187.050000000003</v>
      </c>
      <c r="H204" s="249">
        <f>VLOOKUP(C204,'PL MAPPING'!C:E,3,0)</f>
        <v>84825.72</v>
      </c>
      <c r="J204" s="249" t="str">
        <f>VLOOKUP(C204,'[11]Chart of Accounts1'!$A$2:$M$800,13,0)</f>
        <v>651500</v>
      </c>
    </row>
    <row r="205" spans="1:10">
      <c r="A205" s="4" t="s">
        <v>661</v>
      </c>
      <c r="B205" s="6" t="s">
        <v>1180</v>
      </c>
      <c r="C205" s="4" t="s">
        <v>692</v>
      </c>
      <c r="D205" s="3" t="s">
        <v>693</v>
      </c>
      <c r="E205" s="245">
        <v>1200</v>
      </c>
      <c r="H205" s="249">
        <f>VLOOKUP(C205,'PL MAPPING'!C:E,3,0)</f>
        <v>1200</v>
      </c>
      <c r="J205" s="249" t="str">
        <f>VLOOKUP(C205,'[11]Chart of Accounts1'!$A$2:$M$800,13,0)</f>
        <v>651500</v>
      </c>
    </row>
    <row r="206" spans="1:10">
      <c r="A206" s="4" t="s">
        <v>661</v>
      </c>
      <c r="B206" s="6" t="s">
        <v>1180</v>
      </c>
      <c r="C206" s="4" t="s">
        <v>690</v>
      </c>
      <c r="D206" s="3" t="s">
        <v>691</v>
      </c>
      <c r="E206" s="245" t="s">
        <v>1168</v>
      </c>
      <c r="H206" s="249">
        <f>VLOOKUP(C206,'PL MAPPING'!C:E,3,0)</f>
        <v>0</v>
      </c>
      <c r="J206" s="249" t="str">
        <f>VLOOKUP(C206,'[11]Chart of Accounts1'!$A$2:$M$800,13,0)</f>
        <v>651500</v>
      </c>
    </row>
    <row r="207" spans="1:10">
      <c r="A207" s="4" t="s">
        <v>661</v>
      </c>
      <c r="B207" s="6" t="s">
        <v>1180</v>
      </c>
      <c r="C207" s="4" t="s">
        <v>678</v>
      </c>
      <c r="D207" s="3" t="s">
        <v>679</v>
      </c>
      <c r="E207" s="245" t="s">
        <v>1168</v>
      </c>
      <c r="H207" s="249">
        <f>VLOOKUP(C207,'PL MAPPING'!C:E,3,0)</f>
        <v>0</v>
      </c>
      <c r="J207" s="249" t="str">
        <f>VLOOKUP(C207,'[11]Chart of Accounts1'!$A$2:$M$800,13,0)</f>
        <v>651500</v>
      </c>
    </row>
    <row r="208" spans="1:10">
      <c r="A208" s="4" t="s">
        <v>661</v>
      </c>
      <c r="B208" s="6" t="s">
        <v>1180</v>
      </c>
      <c r="C208" s="4" t="s">
        <v>1066</v>
      </c>
      <c r="D208" s="3" t="s">
        <v>1126</v>
      </c>
      <c r="E208" s="245">
        <v>74319.05</v>
      </c>
      <c r="H208" s="249">
        <f>VLOOKUP(C208,'PL MAPPING'!C:E,3,0)</f>
        <v>91428.73</v>
      </c>
      <c r="J208" s="249" t="str">
        <f>VLOOKUP(C208,'[11]Chart of Accounts1'!$A$2:$M$800,13,0)</f>
        <v>651500</v>
      </c>
    </row>
    <row r="209" spans="1:10">
      <c r="A209" s="4" t="s">
        <v>661</v>
      </c>
      <c r="B209" s="6" t="s">
        <v>1180</v>
      </c>
      <c r="C209" s="4" t="s">
        <v>1067</v>
      </c>
      <c r="D209" s="3" t="s">
        <v>1127</v>
      </c>
      <c r="E209" s="245">
        <v>652.27</v>
      </c>
      <c r="H209" s="249">
        <f>VLOOKUP(C209,'PL MAPPING'!C:E,3,0)</f>
        <v>652.27</v>
      </c>
      <c r="J209" s="249" t="str">
        <f>VLOOKUP(C209,'[11]Chart of Accounts1'!$A$2:$M$800,13,0)</f>
        <v>651500</v>
      </c>
    </row>
    <row r="210" spans="1:10">
      <c r="A210" s="4" t="s">
        <v>661</v>
      </c>
      <c r="B210" s="6" t="s">
        <v>1180</v>
      </c>
      <c r="C210" s="4" t="s">
        <v>1068</v>
      </c>
      <c r="D210" s="3" t="s">
        <v>1128</v>
      </c>
      <c r="E210" s="245">
        <v>1100944.1299999999</v>
      </c>
      <c r="H210" s="249">
        <f>VLOOKUP(C210,'PL MAPPING'!C:E,3,0)</f>
        <v>1318108.17</v>
      </c>
      <c r="J210" s="249" t="str">
        <f>VLOOKUP(C210,'[11]Chart of Accounts1'!$A$2:$M$800,13,0)</f>
        <v>651500</v>
      </c>
    </row>
    <row r="211" spans="1:10">
      <c r="A211" s="4" t="s">
        <v>661</v>
      </c>
      <c r="B211" s="6" t="s">
        <v>1180</v>
      </c>
      <c r="C211" s="4" t="s">
        <v>1069</v>
      </c>
      <c r="D211" s="3" t="s">
        <v>1129</v>
      </c>
      <c r="E211" s="245">
        <v>173236.27</v>
      </c>
      <c r="H211" s="249">
        <f>VLOOKUP(C211,'PL MAPPING'!C:E,3,0)</f>
        <v>206600.13</v>
      </c>
      <c r="J211" s="249" t="str">
        <f>VLOOKUP(C211,'[11]Chart of Accounts1'!$A$2:$M$800,13,0)</f>
        <v>651500</v>
      </c>
    </row>
    <row r="212" spans="1:10">
      <c r="A212" s="4" t="s">
        <v>661</v>
      </c>
      <c r="B212" s="6" t="s">
        <v>1180</v>
      </c>
      <c r="C212" s="4" t="s">
        <v>1070</v>
      </c>
      <c r="D212" s="3" t="s">
        <v>1130</v>
      </c>
      <c r="E212" s="245">
        <v>61920.5</v>
      </c>
      <c r="H212" s="249">
        <f>VLOOKUP(C212,'PL MAPPING'!C:E,3,0)</f>
        <v>74304.600000000006</v>
      </c>
      <c r="J212" s="249" t="str">
        <f>VLOOKUP(C212,'[11]Chart of Accounts1'!$A$2:$M$800,13,0)</f>
        <v>651500</v>
      </c>
    </row>
    <row r="213" spans="1:10">
      <c r="A213" s="4" t="s">
        <v>661</v>
      </c>
      <c r="B213" s="6" t="s">
        <v>1180</v>
      </c>
      <c r="C213" s="4" t="s">
        <v>1071</v>
      </c>
      <c r="D213" s="3" t="s">
        <v>1131</v>
      </c>
      <c r="E213" s="245" t="s">
        <v>1168</v>
      </c>
      <c r="H213" s="249">
        <f>VLOOKUP(C213,'PL MAPPING'!C:E,3,0)</f>
        <v>0</v>
      </c>
      <c r="J213" s="249" t="str">
        <f>VLOOKUP(C213,'[11]Chart of Accounts1'!$A$2:$M$800,13,0)</f>
        <v>651500</v>
      </c>
    </row>
    <row r="214" spans="1:10">
      <c r="A214" s="4" t="s">
        <v>661</v>
      </c>
      <c r="B214" s="6" t="s">
        <v>1180</v>
      </c>
      <c r="C214" s="4" t="s">
        <v>1072</v>
      </c>
      <c r="D214" s="3" t="s">
        <v>1132</v>
      </c>
      <c r="E214" s="245">
        <v>58035</v>
      </c>
      <c r="H214" s="249">
        <f>VLOOKUP(C214,'PL MAPPING'!C:E,3,0)</f>
        <v>69176</v>
      </c>
      <c r="J214" s="249" t="str">
        <f>VLOOKUP(C214,'[11]Chart of Accounts1'!$A$2:$M$800,13,0)</f>
        <v>651500</v>
      </c>
    </row>
    <row r="215" spans="1:10">
      <c r="A215" s="4" t="s">
        <v>661</v>
      </c>
      <c r="B215" s="6" t="s">
        <v>1180</v>
      </c>
      <c r="C215" s="4" t="s">
        <v>1073</v>
      </c>
      <c r="D215" s="3" t="s">
        <v>1133</v>
      </c>
      <c r="E215" s="245">
        <v>27327.68</v>
      </c>
      <c r="H215" s="249">
        <f>VLOOKUP(C215,'PL MAPPING'!C:E,3,0)</f>
        <v>27327.68</v>
      </c>
      <c r="J215" s="249" t="str">
        <f>VLOOKUP(C215,'[11]Chart of Accounts1'!$A$2:$M$800,13,0)</f>
        <v>651500</v>
      </c>
    </row>
    <row r="216" spans="1:10">
      <c r="A216" s="4" t="s">
        <v>661</v>
      </c>
      <c r="B216" s="6" t="s">
        <v>1180</v>
      </c>
      <c r="C216" s="4" t="s">
        <v>1074</v>
      </c>
      <c r="D216" s="3" t="s">
        <v>1134</v>
      </c>
      <c r="E216" s="245">
        <v>45744.63</v>
      </c>
      <c r="H216" s="249">
        <f>VLOOKUP(C216,'PL MAPPING'!C:E,3,0)</f>
        <v>53302.54</v>
      </c>
      <c r="J216" s="249" t="str">
        <f>VLOOKUP(C216,'[11]Chart of Accounts1'!$A$2:$M$800,13,0)</f>
        <v>651500</v>
      </c>
    </row>
    <row r="217" spans="1:10">
      <c r="A217" s="4" t="s">
        <v>661</v>
      </c>
      <c r="B217" s="6" t="s">
        <v>1180</v>
      </c>
      <c r="C217" s="4" t="s">
        <v>1075</v>
      </c>
      <c r="D217" s="3" t="s">
        <v>1135</v>
      </c>
      <c r="E217" s="245">
        <v>854</v>
      </c>
      <c r="H217" s="249">
        <f>VLOOKUP(C217,'PL MAPPING'!C:E,3,0)</f>
        <v>854</v>
      </c>
      <c r="J217" s="249" t="str">
        <f>VLOOKUP(C217,'[11]Chart of Accounts1'!$A$2:$M$800,13,0)</f>
        <v>651500</v>
      </c>
    </row>
    <row r="218" spans="1:10">
      <c r="A218" s="4" t="s">
        <v>661</v>
      </c>
      <c r="B218" s="6" t="s">
        <v>1180</v>
      </c>
      <c r="C218" s="4" t="s">
        <v>1076</v>
      </c>
      <c r="D218" s="3" t="s">
        <v>1136</v>
      </c>
      <c r="E218" s="245">
        <v>539.95000000000005</v>
      </c>
      <c r="H218" s="249">
        <f>VLOOKUP(C218,'PL MAPPING'!C:E,3,0)</f>
        <v>539.95000000000005</v>
      </c>
      <c r="J218" s="249" t="str">
        <f>VLOOKUP(C218,'[11]Chart of Accounts1'!$A$2:$M$800,13,0)</f>
        <v>651500</v>
      </c>
    </row>
    <row r="219" spans="1:10">
      <c r="A219" s="4" t="s">
        <v>661</v>
      </c>
      <c r="B219" s="6" t="s">
        <v>1180</v>
      </c>
      <c r="C219" s="4" t="s">
        <v>1077</v>
      </c>
      <c r="D219" s="3" t="s">
        <v>1137</v>
      </c>
      <c r="E219" s="245">
        <v>6297.16</v>
      </c>
      <c r="H219" s="249">
        <f>VLOOKUP(C219,'PL MAPPING'!C:E,3,0)</f>
        <v>7456.58</v>
      </c>
      <c r="J219" s="249" t="str">
        <f>VLOOKUP(C219,'[11]Chart of Accounts1'!$A$2:$M$800,13,0)</f>
        <v>651500</v>
      </c>
    </row>
    <row r="220" spans="1:10">
      <c r="A220" s="4" t="s">
        <v>696</v>
      </c>
      <c r="B220" s="6" t="s">
        <v>697</v>
      </c>
      <c r="C220" s="4" t="s">
        <v>698</v>
      </c>
      <c r="D220" s="3" t="s">
        <v>699</v>
      </c>
      <c r="E220" s="245">
        <v>2684930.89</v>
      </c>
      <c r="H220" s="249">
        <f>VLOOKUP(C220,'PL MAPPING'!C:E,3,0)</f>
        <v>3240629.36</v>
      </c>
      <c r="J220" s="249" t="str">
        <f>VLOOKUP(C220,'[11]Chart of Accounts1'!$A$2:$M$800,13,0)</f>
        <v>661000</v>
      </c>
    </row>
    <row r="221" spans="1:10">
      <c r="A221" s="4" t="s">
        <v>700</v>
      </c>
      <c r="B221" s="6" t="s">
        <v>703</v>
      </c>
      <c r="C221" s="4" t="s">
        <v>708</v>
      </c>
      <c r="D221" s="3" t="s">
        <v>709</v>
      </c>
      <c r="E221" s="245">
        <v>-177.68</v>
      </c>
      <c r="H221" s="249">
        <f>VLOOKUP(C221,'PL MAPPING'!C:E,3,0)</f>
        <v>-177.66</v>
      </c>
      <c r="J221" s="249" t="str">
        <f>VLOOKUP(C221,'[11]Chart of Accounts1'!$A$2:$M$800,13,0)</f>
        <v>663000</v>
      </c>
    </row>
    <row r="222" spans="1:10">
      <c r="A222" s="4" t="s">
        <v>700</v>
      </c>
      <c r="B222" s="6" t="s">
        <v>703</v>
      </c>
      <c r="C222" s="4" t="s">
        <v>701</v>
      </c>
      <c r="D222" s="3" t="s">
        <v>702</v>
      </c>
      <c r="E222" s="245">
        <v>-7721.59</v>
      </c>
      <c r="H222" s="249">
        <f>VLOOKUP(C222,'PL MAPPING'!C:E,3,0)</f>
        <v>-14849.32</v>
      </c>
      <c r="J222" s="249" t="str">
        <f>VLOOKUP(C222,'[11]Chart of Accounts1'!$A$2:$M$800,13,0)</f>
        <v>663000</v>
      </c>
    </row>
    <row r="223" spans="1:10">
      <c r="A223" s="4" t="s">
        <v>700</v>
      </c>
      <c r="B223" s="6" t="s">
        <v>703</v>
      </c>
      <c r="C223" s="4" t="s">
        <v>710</v>
      </c>
      <c r="D223" s="3" t="s">
        <v>711</v>
      </c>
      <c r="E223" s="245" t="s">
        <v>1168</v>
      </c>
      <c r="H223" s="249">
        <f>VLOOKUP(C223,'PL MAPPING'!C:E,3,0)</f>
        <v>0</v>
      </c>
      <c r="J223" s="249" t="str">
        <f>VLOOKUP(C223,'[11]Chart of Accounts1'!$A$2:$M$800,13,0)</f>
        <v>663000</v>
      </c>
    </row>
    <row r="224" spans="1:10">
      <c r="A224" s="4" t="s">
        <v>700</v>
      </c>
      <c r="B224" s="6" t="s">
        <v>703</v>
      </c>
      <c r="C224" s="4" t="s">
        <v>706</v>
      </c>
      <c r="D224" s="3" t="s">
        <v>707</v>
      </c>
      <c r="E224" s="245">
        <v>12717.7</v>
      </c>
      <c r="H224" s="249">
        <f>VLOOKUP(C224,'PL MAPPING'!C:E,3,0)</f>
        <v>12717.7</v>
      </c>
      <c r="J224" s="249" t="str">
        <f>VLOOKUP(C224,'[11]Chart of Accounts1'!$A$2:$M$800,13,0)</f>
        <v>663000</v>
      </c>
    </row>
    <row r="225" spans="1:10">
      <c r="A225" s="4" t="s">
        <v>700</v>
      </c>
      <c r="B225" s="6" t="s">
        <v>703</v>
      </c>
      <c r="C225" s="4" t="s">
        <v>704</v>
      </c>
      <c r="D225" s="3" t="s">
        <v>705</v>
      </c>
      <c r="E225" s="245">
        <v>518986.23</v>
      </c>
      <c r="H225" s="249">
        <f>VLOOKUP(C225,'PL MAPPING'!C:E,3,0)</f>
        <v>550909.31000000006</v>
      </c>
      <c r="J225" s="249" t="str">
        <f>VLOOKUP(C225,'[11]Chart of Accounts1'!$A$2:$M$800,13,0)</f>
        <v>663000</v>
      </c>
    </row>
    <row r="226" spans="1:10">
      <c r="A226" s="4" t="s">
        <v>712</v>
      </c>
      <c r="B226" s="6" t="s">
        <v>1175</v>
      </c>
      <c r="C226" s="4" t="s">
        <v>713</v>
      </c>
      <c r="D226" s="3" t="s">
        <v>714</v>
      </c>
      <c r="E226" s="245" t="s">
        <v>1168</v>
      </c>
      <c r="H226" s="249">
        <f>VLOOKUP(C226,'PL MAPPING'!C:E,3,0)</f>
        <v>0</v>
      </c>
      <c r="J226" s="249" t="str">
        <f>VLOOKUP(C226,'[11]Chart of Accounts1'!$A$2:$M$800,13,0)</f>
        <v>665000</v>
      </c>
    </row>
    <row r="227" spans="1:10">
      <c r="A227" s="4" t="s">
        <v>715</v>
      </c>
      <c r="B227" s="6" t="s">
        <v>716</v>
      </c>
      <c r="C227" s="4" t="s">
        <v>717</v>
      </c>
      <c r="D227" s="3" t="s">
        <v>718</v>
      </c>
      <c r="E227" s="245">
        <v>0</v>
      </c>
      <c r="H227" s="249">
        <f>VLOOKUP(C227,'PL MAPPING'!C:E,3,0)</f>
        <v>1898217.49</v>
      </c>
      <c r="J227" s="249" t="str">
        <f>VLOOKUP(C227,'[11]Chart of Accounts1'!$A$2:$M$800,13,0)</f>
        <v>666000</v>
      </c>
    </row>
    <row r="228" spans="1:10">
      <c r="A228" s="4" t="s">
        <v>715</v>
      </c>
      <c r="B228" s="6" t="s">
        <v>716</v>
      </c>
      <c r="C228" s="4" t="s">
        <v>719</v>
      </c>
      <c r="D228" s="3" t="s">
        <v>720</v>
      </c>
      <c r="E228" s="245">
        <v>-106246.05</v>
      </c>
      <c r="H228" s="249">
        <f>VLOOKUP(C228,'PL MAPPING'!C:E,3,0)</f>
        <v>-276947.76</v>
      </c>
      <c r="J228" s="249" t="str">
        <f>VLOOKUP(C228,'[11]Chart of Accounts1'!$A$2:$M$800,13,0)</f>
        <v>666000</v>
      </c>
    </row>
    <row r="229" spans="1:10">
      <c r="A229" s="4" t="s">
        <v>715</v>
      </c>
      <c r="B229" s="6" t="s">
        <v>716</v>
      </c>
      <c r="C229" s="4" t="s">
        <v>721</v>
      </c>
      <c r="D229" s="3" t="s">
        <v>722</v>
      </c>
      <c r="E229" s="245">
        <v>158910</v>
      </c>
      <c r="H229" s="249">
        <f>VLOOKUP(C229,'PL MAPPING'!C:E,3,0)</f>
        <v>338668</v>
      </c>
      <c r="J229" s="249" t="str">
        <f>VLOOKUP(C229,'[11]Chart of Accounts1'!$A$2:$M$800,13,0)</f>
        <v>666000</v>
      </c>
    </row>
    <row r="230" spans="1:10">
      <c r="A230" s="4" t="s">
        <v>723</v>
      </c>
      <c r="B230" s="6" t="s">
        <v>724</v>
      </c>
      <c r="C230" s="4" t="s">
        <v>725</v>
      </c>
      <c r="D230" s="3" t="s">
        <v>726</v>
      </c>
      <c r="E230" s="245">
        <v>-158910</v>
      </c>
      <c r="H230" s="249">
        <f>VLOOKUP(C230,'PL MAPPING'!C:E,3,0)</f>
        <v>-338668</v>
      </c>
      <c r="J230" s="249" t="str">
        <f>VLOOKUP(C230,'[11]Chart of Accounts1'!$A$2:$M$800,13,0)</f>
        <v>666110</v>
      </c>
    </row>
    <row r="231" spans="1:10">
      <c r="A231" s="4" t="s">
        <v>727</v>
      </c>
      <c r="B231" s="6" t="s">
        <v>728</v>
      </c>
      <c r="C231" s="4" t="s">
        <v>729</v>
      </c>
      <c r="D231" s="3" t="s">
        <v>730</v>
      </c>
      <c r="E231" s="245">
        <v>158910</v>
      </c>
      <c r="H231" s="249">
        <f>VLOOKUP(C231,'PL MAPPING'!C:E,3,0)</f>
        <v>338668</v>
      </c>
      <c r="J231" s="249" t="str">
        <f>VLOOKUP(C231,'[11]Chart of Accounts1'!$A$2:$M$800,13,0)</f>
        <v>666120</v>
      </c>
    </row>
    <row r="232" spans="1:10">
      <c r="A232" s="4" t="s">
        <v>731</v>
      </c>
      <c r="B232" s="6" t="s">
        <v>732</v>
      </c>
      <c r="C232" s="4" t="s">
        <v>733</v>
      </c>
      <c r="D232" s="3" t="s">
        <v>734</v>
      </c>
      <c r="E232" s="245">
        <v>-428859.79</v>
      </c>
      <c r="H232" s="249">
        <f>VLOOKUP(C232,'PL MAPPING'!C:E,3,0)</f>
        <v>-284220.40000000002</v>
      </c>
      <c r="J232" s="249" t="str">
        <f>VLOOKUP(C232,'[11]Chart of Accounts1'!$A$2:$M$800,13,0)</f>
        <v>666200</v>
      </c>
    </row>
    <row r="233" spans="1:10">
      <c r="A233" s="4" t="s">
        <v>735</v>
      </c>
      <c r="B233" s="6" t="s">
        <v>736</v>
      </c>
      <c r="C233" s="4" t="s">
        <v>737</v>
      </c>
      <c r="D233" s="3" t="s">
        <v>738</v>
      </c>
      <c r="E233" s="245">
        <v>1398692.96</v>
      </c>
      <c r="H233" s="249">
        <f>VLOOKUP(C233,'PL MAPPING'!C:E,3,0)</f>
        <v>1626092.88</v>
      </c>
      <c r="J233" s="249" t="str">
        <f>VLOOKUP(C233,'[11]Chart of Accounts1'!$A$2:$M$800,13,0)</f>
        <v>676000</v>
      </c>
    </row>
    <row r="234" spans="1:10">
      <c r="A234" s="4" t="s">
        <v>735</v>
      </c>
      <c r="B234" s="6" t="s">
        <v>736</v>
      </c>
      <c r="C234" s="4" t="s">
        <v>739</v>
      </c>
      <c r="D234" s="3" t="s">
        <v>740</v>
      </c>
      <c r="E234" s="245">
        <v>-960735.81</v>
      </c>
      <c r="H234" s="249">
        <f>VLOOKUP(C234,'PL MAPPING'!C:E,3,0)</f>
        <v>-967812.83</v>
      </c>
      <c r="J234" s="249" t="str">
        <f>VLOOKUP(C234,'[11]Chart of Accounts1'!$A$2:$M$800,13,0)</f>
        <v>676000</v>
      </c>
    </row>
    <row r="235" spans="1:10">
      <c r="A235" s="4" t="s">
        <v>741</v>
      </c>
      <c r="B235" s="6" t="s">
        <v>742</v>
      </c>
      <c r="C235" s="4" t="s">
        <v>743</v>
      </c>
      <c r="D235" s="3" t="s">
        <v>744</v>
      </c>
      <c r="E235" s="245" t="s">
        <v>1168</v>
      </c>
      <c r="H235" s="249">
        <f>VLOOKUP(C235,'PL MAPPING'!C:E,3,0)</f>
        <v>0</v>
      </c>
      <c r="J235" s="249" t="str">
        <f>VLOOKUP(C235,'[11]Chart of Accounts1'!$A$2:$M$800,13,0)</f>
        <v>676110</v>
      </c>
    </row>
    <row r="236" spans="1:10">
      <c r="A236" s="4" t="s">
        <v>745</v>
      </c>
      <c r="B236" s="6" t="s">
        <v>746</v>
      </c>
      <c r="C236" s="4" t="s">
        <v>747</v>
      </c>
      <c r="D236" s="3" t="s">
        <v>748</v>
      </c>
      <c r="E236" s="245">
        <v>1631535.26</v>
      </c>
      <c r="H236" s="249">
        <f>VLOOKUP(C236,'PL MAPPING'!C:E,3,0)</f>
        <v>1631535.26</v>
      </c>
      <c r="J236" s="249" t="str">
        <f>VLOOKUP(C236,'[11]Chart of Accounts1'!$A$2:$M$800,13,0)</f>
        <v>676120</v>
      </c>
    </row>
    <row r="237" spans="1:10">
      <c r="A237" s="4" t="s">
        <v>749</v>
      </c>
      <c r="B237" s="6" t="s">
        <v>750</v>
      </c>
      <c r="C237" s="4" t="s">
        <v>751</v>
      </c>
      <c r="D237" s="3" t="s">
        <v>752</v>
      </c>
      <c r="E237" s="245" t="s">
        <v>1168</v>
      </c>
      <c r="H237" s="249">
        <f>VLOOKUP(C237,'PL MAPPING'!C:E,3,0)</f>
        <v>0</v>
      </c>
      <c r="J237" s="249" t="str">
        <f>VLOOKUP(C237,'[11]Chart of Accounts1'!$A$2:$M$800,13,0)</f>
        <v>676200</v>
      </c>
    </row>
    <row r="238" spans="1:10">
      <c r="A238" s="4" t="s">
        <v>753</v>
      </c>
      <c r="B238" s="6" t="s">
        <v>754</v>
      </c>
      <c r="C238" s="4" t="s">
        <v>755</v>
      </c>
      <c r="D238" s="3" t="s">
        <v>756</v>
      </c>
      <c r="E238" s="245">
        <v>5581390.3399999999</v>
      </c>
      <c r="H238" s="249">
        <f>VLOOKUP(C238,'PL MAPPING'!C:E,3,0)</f>
        <v>6695516.8899999997</v>
      </c>
      <c r="J238" s="249" t="str">
        <f>VLOOKUP(C238,'[11]Chart of Accounts1'!$A$2:$M$800,13,0)</f>
        <v>682100</v>
      </c>
    </row>
    <row r="239" spans="1:10">
      <c r="A239" s="4" t="s">
        <v>753</v>
      </c>
      <c r="B239" s="6" t="s">
        <v>754</v>
      </c>
      <c r="C239" s="4" t="s">
        <v>759</v>
      </c>
      <c r="D239" s="3" t="s">
        <v>760</v>
      </c>
      <c r="E239" s="245">
        <v>5594379.21</v>
      </c>
      <c r="H239" s="249">
        <f>VLOOKUP(C239,'PL MAPPING'!C:E,3,0)</f>
        <v>6722854.3600000003</v>
      </c>
      <c r="J239" s="249" t="str">
        <f>VLOOKUP(C239,'[11]Chart of Accounts1'!$A$2:$M$800,13,0)</f>
        <v>682100</v>
      </c>
    </row>
    <row r="240" spans="1:10">
      <c r="A240" s="4" t="s">
        <v>753</v>
      </c>
      <c r="B240" s="6" t="s">
        <v>754</v>
      </c>
      <c r="C240" s="4" t="s">
        <v>761</v>
      </c>
      <c r="D240" s="3" t="s">
        <v>762</v>
      </c>
      <c r="E240" s="245">
        <v>85405.4</v>
      </c>
      <c r="H240" s="249">
        <f>VLOOKUP(C240,'PL MAPPING'!C:E,3,0)</f>
        <v>102608</v>
      </c>
      <c r="J240" s="249" t="str">
        <f>VLOOKUP(C240,'[11]Chart of Accounts1'!$A$2:$M$800,13,0)</f>
        <v>682100</v>
      </c>
    </row>
    <row r="241" spans="1:10">
      <c r="A241" s="4" t="s">
        <v>753</v>
      </c>
      <c r="B241" s="6" t="s">
        <v>754</v>
      </c>
      <c r="C241" s="4" t="s">
        <v>757</v>
      </c>
      <c r="D241" s="3" t="s">
        <v>758</v>
      </c>
      <c r="E241" s="245" t="s">
        <v>1168</v>
      </c>
      <c r="H241" s="249">
        <f>VLOOKUP(C241,'PL MAPPING'!C:E,3,0)</f>
        <v>0</v>
      </c>
      <c r="J241" s="249" t="str">
        <f>VLOOKUP(C241,'[11]Chart of Accounts1'!$A$2:$M$800,13,0)</f>
        <v>682100</v>
      </c>
    </row>
    <row r="242" spans="1:10">
      <c r="A242" s="4" t="s">
        <v>763</v>
      </c>
      <c r="B242" s="6" t="s">
        <v>764</v>
      </c>
      <c r="C242" s="4" t="s">
        <v>767</v>
      </c>
      <c r="D242" s="3" t="s">
        <v>768</v>
      </c>
      <c r="E242" s="245" t="s">
        <v>1168</v>
      </c>
      <c r="H242" s="249">
        <f>VLOOKUP(C242,'PL MAPPING'!C:E,3,0)</f>
        <v>0</v>
      </c>
      <c r="J242" s="249" t="str">
        <f>VLOOKUP(C242,'[11]Chart of Accounts1'!$A$2:$M$800,13,0)</f>
        <v>682300</v>
      </c>
    </row>
    <row r="243" spans="1:10">
      <c r="A243" s="4" t="s">
        <v>763</v>
      </c>
      <c r="B243" s="6" t="s">
        <v>764</v>
      </c>
      <c r="C243" s="4" t="s">
        <v>765</v>
      </c>
      <c r="D243" s="3" t="s">
        <v>766</v>
      </c>
      <c r="E243" s="245">
        <v>462050.55</v>
      </c>
      <c r="H243" s="249">
        <f>VLOOKUP(C243,'PL MAPPING'!C:E,3,0)</f>
        <v>554460.66</v>
      </c>
      <c r="J243" s="249" t="str">
        <f>VLOOKUP(C243,'[11]Chart of Accounts1'!$A$2:$M$800,13,0)</f>
        <v>682300</v>
      </c>
    </row>
    <row r="244" spans="1:10">
      <c r="A244" s="4" t="s">
        <v>763</v>
      </c>
      <c r="B244" s="6" t="s">
        <v>764</v>
      </c>
      <c r="C244" s="4" t="s">
        <v>769</v>
      </c>
      <c r="D244" s="3" t="s">
        <v>770</v>
      </c>
      <c r="E244" s="245">
        <v>26865.85</v>
      </c>
      <c r="H244" s="249">
        <f>VLOOKUP(C244,'PL MAPPING'!C:E,3,0)</f>
        <v>32239.02</v>
      </c>
      <c r="J244" s="249" t="str">
        <f>VLOOKUP(C244,'[11]Chart of Accounts1'!$A$2:$M$800,13,0)</f>
        <v>682300</v>
      </c>
    </row>
    <row r="245" spans="1:10">
      <c r="A245" s="4" t="s">
        <v>771</v>
      </c>
      <c r="B245" s="6" t="s">
        <v>1183</v>
      </c>
      <c r="C245" s="4" t="s">
        <v>772</v>
      </c>
      <c r="D245" s="3" t="s">
        <v>773</v>
      </c>
      <c r="E245" s="245" t="s">
        <v>1168</v>
      </c>
      <c r="H245" s="249">
        <f>VLOOKUP(C245,'PL MAPPING'!C:E,3,0)</f>
        <v>0</v>
      </c>
      <c r="J245" s="249" t="str">
        <f>VLOOKUP(C245,'[11]Chart of Accounts1'!$A$2:$M$800,13,0)</f>
        <v>682400</v>
      </c>
    </row>
    <row r="246" spans="1:10">
      <c r="A246" s="4" t="s">
        <v>774</v>
      </c>
      <c r="B246" s="6" t="s">
        <v>1184</v>
      </c>
      <c r="C246" s="4" t="s">
        <v>775</v>
      </c>
      <c r="D246" s="3" t="s">
        <v>776</v>
      </c>
      <c r="E246" s="245" t="s">
        <v>1168</v>
      </c>
      <c r="H246" s="249">
        <f>VLOOKUP(C246,'PL MAPPING'!C:E,3,0)</f>
        <v>0</v>
      </c>
      <c r="J246" s="249" t="str">
        <f>VLOOKUP(C246,'[11]Chart of Accounts1'!$A$2:$M$800,13,0)</f>
        <v>682500</v>
      </c>
    </row>
    <row r="247" spans="1:10">
      <c r="A247" s="4" t="s">
        <v>777</v>
      </c>
      <c r="B247" s="6" t="s">
        <v>778</v>
      </c>
      <c r="C247" s="4" t="s">
        <v>779</v>
      </c>
      <c r="D247" s="3" t="s">
        <v>780</v>
      </c>
      <c r="E247" s="245">
        <v>10054000</v>
      </c>
      <c r="H247" s="249">
        <f>VLOOKUP(C247,'PL MAPPING'!C:E,3,0)</f>
        <v>14838000</v>
      </c>
      <c r="J247" s="249" t="str">
        <f>VLOOKUP(C247,'[11]Chart of Accounts1'!$A$2:$M$800,13,0)</f>
        <v>683000</v>
      </c>
    </row>
    <row r="248" spans="1:10">
      <c r="A248" s="4" t="s">
        <v>777</v>
      </c>
      <c r="B248" s="6" t="s">
        <v>778</v>
      </c>
      <c r="C248" s="4" t="s">
        <v>781</v>
      </c>
      <c r="D248" s="3" t="s">
        <v>782</v>
      </c>
      <c r="E248" s="245" t="s">
        <v>1168</v>
      </c>
      <c r="H248" s="249" t="e">
        <f>VLOOKUP(C248,'PL MAPPING'!C:E,3,0)</f>
        <v>#N/A</v>
      </c>
      <c r="J248" s="249" t="str">
        <f>VLOOKUP(C248,'[11]Chart of Accounts1'!$A$2:$M$800,13,0)</f>
        <v>683000</v>
      </c>
    </row>
    <row r="249" spans="1:10">
      <c r="A249" s="4" t="s">
        <v>783</v>
      </c>
      <c r="B249" s="6" t="s">
        <v>1179</v>
      </c>
      <c r="C249" s="4" t="s">
        <v>784</v>
      </c>
      <c r="D249" s="3" t="s">
        <v>785</v>
      </c>
      <c r="E249" s="245" t="s">
        <v>1168</v>
      </c>
      <c r="H249" s="249">
        <f>VLOOKUP(C249,'PL MAPPING'!C:E,3,0)</f>
        <v>29677.69</v>
      </c>
      <c r="J249" s="249" t="str">
        <f>VLOOKUP(C249,'[11]Chart of Accounts1'!$A$2:$M$800,13,0)</f>
        <v>684100</v>
      </c>
    </row>
    <row r="250" spans="1:10">
      <c r="A250" s="4" t="s">
        <v>783</v>
      </c>
      <c r="B250" s="6" t="s">
        <v>1179</v>
      </c>
      <c r="C250" s="4" t="s">
        <v>786</v>
      </c>
      <c r="D250" s="3" t="s">
        <v>787</v>
      </c>
      <c r="E250" s="245" t="s">
        <v>1168</v>
      </c>
      <c r="H250" s="249" t="e">
        <f>VLOOKUP(C250,'PL MAPPING'!C:E,3,0)</f>
        <v>#N/A</v>
      </c>
      <c r="J250" s="249" t="str">
        <f>VLOOKUP(C250,'[11]Chart of Accounts1'!$A$2:$M$800,13,0)</f>
        <v>684100</v>
      </c>
    </row>
    <row r="251" spans="1:10">
      <c r="A251" s="4" t="s">
        <v>788</v>
      </c>
      <c r="B251" s="6" t="s">
        <v>789</v>
      </c>
      <c r="C251" s="4" t="s">
        <v>790</v>
      </c>
      <c r="D251" s="3" t="s">
        <v>791</v>
      </c>
      <c r="E251" s="245">
        <v>256507.67</v>
      </c>
      <c r="H251" s="249">
        <f>VLOOKUP(C251,'PL MAPPING'!C:E,3,0)</f>
        <v>256507.67</v>
      </c>
      <c r="J251" s="249" t="str">
        <f>VLOOKUP(C251,'[11]Chart of Accounts1'!$A$2:$M$800,13,0)</f>
        <v>687600</v>
      </c>
    </row>
    <row r="252" spans="1:10">
      <c r="A252" s="4" t="s">
        <v>792</v>
      </c>
      <c r="B252" s="6" t="s">
        <v>1177</v>
      </c>
      <c r="C252" s="4" t="s">
        <v>793</v>
      </c>
      <c r="D252" s="3" t="s">
        <v>794</v>
      </c>
      <c r="E252" s="245">
        <v>11551900</v>
      </c>
      <c r="H252" s="249">
        <f>VLOOKUP(C252,'PL MAPPING'!C:E,3,0)</f>
        <v>9562000</v>
      </c>
      <c r="J252" s="249" t="str">
        <f>VLOOKUP(C252,'[11]Chart of Accounts1'!$A$2:$M$800,13,0)</f>
        <v>695000</v>
      </c>
    </row>
    <row r="253" spans="1:10">
      <c r="A253" s="4" t="s">
        <v>795</v>
      </c>
      <c r="B253" s="6" t="s">
        <v>796</v>
      </c>
      <c r="C253" s="4" t="s">
        <v>797</v>
      </c>
      <c r="D253" s="3" t="s">
        <v>798</v>
      </c>
      <c r="E253" s="245">
        <v>-6487000</v>
      </c>
      <c r="H253" s="249">
        <f>VLOOKUP(C253,'PL MAPPING'!C:E,3,0)</f>
        <v>-3647000</v>
      </c>
      <c r="J253" s="249" t="str">
        <f>VLOOKUP(C253,'[11]Chart of Accounts1'!$A$2:$M$800,13,0)</f>
        <v>696000</v>
      </c>
    </row>
    <row r="254" spans="1:10">
      <c r="A254" s="4" t="s">
        <v>799</v>
      </c>
      <c r="B254" s="6" t="s">
        <v>800</v>
      </c>
      <c r="C254" s="4" t="s">
        <v>807</v>
      </c>
      <c r="D254" s="3" t="s">
        <v>808</v>
      </c>
      <c r="E254" s="245">
        <v>-45957041.539999999</v>
      </c>
      <c r="H254" s="249">
        <f>VLOOKUP(C254,'PL MAPPING'!C:E,3,0)</f>
        <v>-58235207.270000003</v>
      </c>
      <c r="J254" s="249" t="str">
        <f>VLOOKUP(C254,'[11]Chart of Accounts1'!$A$2:$M$800,13,0)</f>
        <v>700300</v>
      </c>
    </row>
    <row r="255" spans="1:10">
      <c r="A255" s="4" t="s">
        <v>799</v>
      </c>
      <c r="B255" s="6" t="s">
        <v>800</v>
      </c>
      <c r="C255" s="4" t="s">
        <v>809</v>
      </c>
      <c r="D255" s="3" t="s">
        <v>810</v>
      </c>
      <c r="E255" s="245">
        <v>-21339392.300000001</v>
      </c>
      <c r="H255" s="249">
        <f>VLOOKUP(C255,'PL MAPPING'!C:E,3,0)</f>
        <v>-28937107.510000002</v>
      </c>
      <c r="J255" s="249" t="str">
        <f>VLOOKUP(C255,'[11]Chart of Accounts1'!$A$2:$M$800,13,0)</f>
        <v>700300</v>
      </c>
    </row>
    <row r="256" spans="1:10">
      <c r="A256" s="4" t="s">
        <v>799</v>
      </c>
      <c r="B256" s="6" t="s">
        <v>800</v>
      </c>
      <c r="C256" s="4" t="s">
        <v>805</v>
      </c>
      <c r="D256" s="3" t="s">
        <v>806</v>
      </c>
      <c r="E256" s="245" t="s">
        <v>1168</v>
      </c>
      <c r="H256" s="249">
        <f>VLOOKUP(C256,'PL MAPPING'!C:E,3,0)</f>
        <v>0</v>
      </c>
      <c r="J256" s="249" t="str">
        <f>VLOOKUP(C256,'[11]Chart of Accounts1'!$A$2:$M$800,13,0)</f>
        <v>700300</v>
      </c>
    </row>
    <row r="257" spans="1:10">
      <c r="A257" s="4" t="s">
        <v>799</v>
      </c>
      <c r="B257" s="6" t="s">
        <v>800</v>
      </c>
      <c r="C257" s="4" t="s">
        <v>801</v>
      </c>
      <c r="D257" s="3" t="s">
        <v>802</v>
      </c>
      <c r="E257" s="245">
        <v>-167885443.94999999</v>
      </c>
      <c r="H257" s="249">
        <f>VLOOKUP(C257,'PL MAPPING'!C:E,3,0)</f>
        <v>-200404309.75999999</v>
      </c>
      <c r="J257" s="249" t="str">
        <f>VLOOKUP(C257,'[11]Chart of Accounts1'!$A$2:$M$800,13,0)</f>
        <v>700300</v>
      </c>
    </row>
    <row r="258" spans="1:10">
      <c r="A258" s="4" t="s">
        <v>799</v>
      </c>
      <c r="B258" s="6" t="s">
        <v>800</v>
      </c>
      <c r="C258" s="4" t="s">
        <v>803</v>
      </c>
      <c r="D258" s="3" t="s">
        <v>804</v>
      </c>
      <c r="E258" s="245">
        <v>-44297701.789999999</v>
      </c>
      <c r="H258" s="249">
        <f>VLOOKUP(C258,'PL MAPPING'!C:E,3,0)</f>
        <v>-57714652.920000002</v>
      </c>
      <c r="J258" s="249" t="str">
        <f>VLOOKUP(C258,'[11]Chart of Accounts1'!$A$2:$M$800,13,0)</f>
        <v>700300</v>
      </c>
    </row>
    <row r="259" spans="1:10">
      <c r="A259" s="4" t="s">
        <v>799</v>
      </c>
      <c r="B259" s="6" t="s">
        <v>800</v>
      </c>
      <c r="C259" s="4" t="s">
        <v>823</v>
      </c>
      <c r="D259" s="3" t="s">
        <v>824</v>
      </c>
      <c r="E259" s="245" t="s">
        <v>1168</v>
      </c>
      <c r="H259" s="249">
        <f>VLOOKUP(C259,'PL MAPPING'!C:E,3,0)</f>
        <v>0</v>
      </c>
      <c r="J259" s="249" t="str">
        <f>VLOOKUP(C259,'[11]Chart of Accounts1'!$A$2:$M$800,13,0)</f>
        <v>700300</v>
      </c>
    </row>
    <row r="260" spans="1:10">
      <c r="A260" s="4" t="s">
        <v>799</v>
      </c>
      <c r="B260" s="6" t="s">
        <v>800</v>
      </c>
      <c r="C260" s="4" t="s">
        <v>819</v>
      </c>
      <c r="D260" s="3" t="s">
        <v>820</v>
      </c>
      <c r="E260" s="245">
        <v>-5581314.7199999997</v>
      </c>
      <c r="H260" s="249">
        <f>VLOOKUP(C260,'PL MAPPING'!C:E,3,0)</f>
        <v>-7841236.9000000004</v>
      </c>
      <c r="J260" s="249" t="str">
        <f>VLOOKUP(C260,'[11]Chart of Accounts1'!$A$2:$M$800,13,0)</f>
        <v>700300</v>
      </c>
    </row>
    <row r="261" spans="1:10">
      <c r="A261" s="4" t="s">
        <v>799</v>
      </c>
      <c r="B261" s="6" t="s">
        <v>800</v>
      </c>
      <c r="C261" s="4" t="s">
        <v>821</v>
      </c>
      <c r="D261" s="3" t="s">
        <v>822</v>
      </c>
      <c r="E261" s="245">
        <v>-33644.239999999998</v>
      </c>
      <c r="H261" s="249">
        <f>VLOOKUP(C261,'PL MAPPING'!C:E,3,0)</f>
        <v>-33644.239999999998</v>
      </c>
      <c r="J261" s="249" t="str">
        <f>VLOOKUP(C261,'[11]Chart of Accounts1'!$A$2:$M$800,13,0)</f>
        <v>700300</v>
      </c>
    </row>
    <row r="262" spans="1:10">
      <c r="A262" s="4" t="s">
        <v>799</v>
      </c>
      <c r="B262" s="6" t="s">
        <v>800</v>
      </c>
      <c r="C262" s="4" t="s">
        <v>811</v>
      </c>
      <c r="D262" s="3" t="s">
        <v>812</v>
      </c>
      <c r="E262" s="245" t="s">
        <v>1168</v>
      </c>
      <c r="H262" s="249">
        <f>VLOOKUP(C262,'PL MAPPING'!C:E,3,0)</f>
        <v>0</v>
      </c>
      <c r="J262" s="249" t="str">
        <f>VLOOKUP(C262,'[11]Chart of Accounts1'!$A$2:$M$800,13,0)</f>
        <v>700300</v>
      </c>
    </row>
    <row r="263" spans="1:10">
      <c r="A263" s="4" t="s">
        <v>799</v>
      </c>
      <c r="B263" s="6" t="s">
        <v>800</v>
      </c>
      <c r="C263" s="4" t="s">
        <v>817</v>
      </c>
      <c r="D263" s="3" t="s">
        <v>818</v>
      </c>
      <c r="E263" s="245" t="s">
        <v>1168</v>
      </c>
      <c r="H263" s="249">
        <f>VLOOKUP(C263,'PL MAPPING'!C:E,3,0)</f>
        <v>0</v>
      </c>
      <c r="J263" s="249" t="str">
        <f>VLOOKUP(C263,'[11]Chart of Accounts1'!$A$2:$M$800,13,0)</f>
        <v>700300</v>
      </c>
    </row>
    <row r="264" spans="1:10">
      <c r="A264" s="4" t="s">
        <v>799</v>
      </c>
      <c r="B264" s="6" t="s">
        <v>800</v>
      </c>
      <c r="C264" s="4" t="s">
        <v>813</v>
      </c>
      <c r="D264" s="3" t="s">
        <v>814</v>
      </c>
      <c r="E264" s="245">
        <v>-7510844.3399999999</v>
      </c>
      <c r="H264" s="249">
        <f>VLOOKUP(C264,'PL MAPPING'!C:E,3,0)</f>
        <v>-11472312.85</v>
      </c>
      <c r="J264" s="249" t="str">
        <f>VLOOKUP(C264,'[11]Chart of Accounts1'!$A$2:$M$800,13,0)</f>
        <v>700300</v>
      </c>
    </row>
    <row r="265" spans="1:10">
      <c r="A265" s="4" t="s">
        <v>799</v>
      </c>
      <c r="B265" s="6" t="s">
        <v>800</v>
      </c>
      <c r="C265" s="4" t="s">
        <v>815</v>
      </c>
      <c r="D265" s="3" t="s">
        <v>816</v>
      </c>
      <c r="E265" s="245">
        <v>-1812701.76</v>
      </c>
      <c r="H265" s="249">
        <f>VLOOKUP(C265,'PL MAPPING'!C:E,3,0)</f>
        <v>-5315173.28</v>
      </c>
      <c r="J265" s="249" t="str">
        <f>VLOOKUP(C265,'[11]Chart of Accounts1'!$A$2:$M$800,13,0)</f>
        <v>700300</v>
      </c>
    </row>
    <row r="266" spans="1:10">
      <c r="A266" s="4" t="s">
        <v>799</v>
      </c>
      <c r="B266" s="6" t="s">
        <v>800</v>
      </c>
      <c r="C266" s="4" t="s">
        <v>1234</v>
      </c>
      <c r="D266" s="3" t="s">
        <v>1235</v>
      </c>
      <c r="E266" s="245">
        <v>162536.51999999999</v>
      </c>
      <c r="H266" s="249">
        <f>VLOOKUP(C266,'PL MAPPING'!C:E,3,0)</f>
        <v>162536.51999999999</v>
      </c>
      <c r="J266" s="249" t="str">
        <f>VLOOKUP(C266,'[11]Chart of Accounts1'!$A$2:$M$800,13,0)</f>
        <v>700301</v>
      </c>
    </row>
    <row r="267" spans="1:10" s="249" customFormat="1">
      <c r="A267" s="247" t="s">
        <v>825</v>
      </c>
      <c r="B267" s="248" t="s">
        <v>826</v>
      </c>
      <c r="C267" s="247" t="s">
        <v>827</v>
      </c>
      <c r="D267" s="249" t="s">
        <v>828</v>
      </c>
      <c r="E267" s="245">
        <v>3808763.44</v>
      </c>
      <c r="H267" s="249">
        <f>VLOOKUP(C267,'PL MAPPING'!C:E,3,0)</f>
        <v>4253720.58</v>
      </c>
      <c r="J267" s="249" t="str">
        <f>VLOOKUP(C267,'[11]Chart of Accounts1'!$A$2:$M$800,13,0)</f>
        <v>710510</v>
      </c>
    </row>
    <row r="268" spans="1:10">
      <c r="A268" s="4" t="s">
        <v>829</v>
      </c>
      <c r="B268" s="6" t="s">
        <v>1170</v>
      </c>
      <c r="C268" s="4" t="s">
        <v>830</v>
      </c>
      <c r="D268" s="3" t="s">
        <v>831</v>
      </c>
      <c r="E268" s="245" t="s">
        <v>1168</v>
      </c>
      <c r="H268" s="249" t="e">
        <f>VLOOKUP(C268,'PL MAPPING'!C:E,3,0)</f>
        <v>#N/A</v>
      </c>
      <c r="J268" s="249" t="str">
        <f>VLOOKUP(C268,'[11]Chart of Accounts1'!$A$2:$M$800,13,0)</f>
        <v>710511</v>
      </c>
    </row>
    <row r="269" spans="1:10">
      <c r="A269" s="4" t="s">
        <v>832</v>
      </c>
      <c r="B269" s="6" t="s">
        <v>1178</v>
      </c>
      <c r="C269" s="4" t="s">
        <v>833</v>
      </c>
      <c r="D269" s="3" t="s">
        <v>270</v>
      </c>
      <c r="E269" s="245" t="s">
        <v>1168</v>
      </c>
      <c r="H269" s="249" t="e">
        <f>VLOOKUP(C269,'PL MAPPING'!C:E,3,0)</f>
        <v>#N/A</v>
      </c>
      <c r="J269" s="249" t="str">
        <f>VLOOKUP(C269,'[11]Chart of Accounts1'!$A$2:$M$800,13,0)</f>
        <v>740000</v>
      </c>
    </row>
    <row r="270" spans="1:10">
      <c r="A270" s="4" t="s">
        <v>834</v>
      </c>
      <c r="B270" s="6" t="s">
        <v>1176</v>
      </c>
      <c r="C270" s="4" t="s">
        <v>835</v>
      </c>
      <c r="D270" s="3" t="s">
        <v>836</v>
      </c>
      <c r="E270" s="245" t="s">
        <v>1168</v>
      </c>
      <c r="H270" s="249" t="e">
        <f>VLOOKUP(C270,'PL MAPPING'!C:E,3,0)</f>
        <v>#N/A</v>
      </c>
      <c r="J270" s="249" t="str">
        <f>VLOOKUP(C270,'[11]Chart of Accounts1'!$A$2:$M$800,13,0)</f>
        <v>751301</v>
      </c>
    </row>
    <row r="271" spans="1:10">
      <c r="A271" s="4" t="s">
        <v>837</v>
      </c>
      <c r="B271" s="6" t="s">
        <v>838</v>
      </c>
      <c r="C271" s="4" t="s">
        <v>839</v>
      </c>
      <c r="D271" s="3" t="s">
        <v>840</v>
      </c>
      <c r="E271" s="245">
        <v>6266858.1699999999</v>
      </c>
      <c r="H271" s="249">
        <f>VLOOKUP(C271,'PL MAPPING'!C:E,3,0)</f>
        <v>-3894380.65</v>
      </c>
      <c r="J271" s="249" t="str">
        <f>VLOOKUP(C271,'[11]Chart of Accounts1'!$A$2:$M$800,13,0)</f>
        <v>757000</v>
      </c>
    </row>
    <row r="272" spans="1:10">
      <c r="A272" s="4" t="s">
        <v>841</v>
      </c>
      <c r="B272" s="6" t="s">
        <v>1182</v>
      </c>
      <c r="C272" s="4" t="s">
        <v>842</v>
      </c>
      <c r="D272" s="3" t="s">
        <v>843</v>
      </c>
      <c r="E272" s="245" t="s">
        <v>1168</v>
      </c>
      <c r="H272" s="249" t="e">
        <f>VLOOKUP(C272,'PL MAPPING'!C:E,3,0)</f>
        <v>#N/A</v>
      </c>
      <c r="J272" s="249" t="str">
        <f>VLOOKUP(C272,'[11]Chart of Accounts1'!$A$2:$M$800,13,0)</f>
        <v>760000</v>
      </c>
    </row>
    <row r="273" spans="1:10">
      <c r="A273" s="4" t="s">
        <v>841</v>
      </c>
      <c r="B273" s="6" t="s">
        <v>1182</v>
      </c>
      <c r="C273" s="4" t="s">
        <v>844</v>
      </c>
      <c r="D273" s="3" t="s">
        <v>845</v>
      </c>
      <c r="E273" s="245">
        <v>-49700.36</v>
      </c>
      <c r="H273" s="249">
        <f>VLOOKUP(C273,'PL MAPPING'!C:E,3,0)</f>
        <v>-64238.46</v>
      </c>
      <c r="J273" s="249" t="str">
        <f>VLOOKUP(C273,'[11]Chart of Accounts1'!$A$2:$M$800,13,0)</f>
        <v>760000</v>
      </c>
    </row>
    <row r="274" spans="1:10">
      <c r="A274" s="4" t="s">
        <v>846</v>
      </c>
      <c r="B274" s="6" t="s">
        <v>847</v>
      </c>
      <c r="C274" s="4" t="s">
        <v>848</v>
      </c>
      <c r="D274" s="3" t="s">
        <v>849</v>
      </c>
      <c r="E274" s="245" t="s">
        <v>1168</v>
      </c>
      <c r="H274" s="249">
        <f>VLOOKUP(C274,'PL MAPPING'!C:E,3,0)</f>
        <v>0</v>
      </c>
      <c r="J274" s="249" t="str">
        <f>VLOOKUP(C274,'[11]Chart of Accounts1'!$A$2:$M$800,13,0)</f>
        <v>775501</v>
      </c>
    </row>
    <row r="275" spans="1:10">
      <c r="A275" s="4" t="s">
        <v>850</v>
      </c>
      <c r="B275" s="6" t="s">
        <v>851</v>
      </c>
      <c r="C275" s="4" t="s">
        <v>852</v>
      </c>
      <c r="D275" s="3" t="s">
        <v>853</v>
      </c>
      <c r="E275" s="245" t="s">
        <v>1168</v>
      </c>
      <c r="H275" s="249">
        <f>VLOOKUP(C275,'PL MAPPING'!C:E,3,0)</f>
        <v>0</v>
      </c>
      <c r="J275" s="249" t="str">
        <f>VLOOKUP(C275,'[11]Chart of Accounts1'!$A$2:$M$800,13,0)</f>
        <v>775502</v>
      </c>
    </row>
    <row r="276" spans="1:10">
      <c r="A276" s="4" t="s">
        <v>850</v>
      </c>
      <c r="B276" s="6" t="s">
        <v>851</v>
      </c>
      <c r="C276" s="4" t="s">
        <v>854</v>
      </c>
      <c r="D276" s="3" t="s">
        <v>855</v>
      </c>
      <c r="E276" s="245" t="s">
        <v>1168</v>
      </c>
      <c r="H276" s="249">
        <f>VLOOKUP(C276,'PL MAPPING'!C:E,3,0)</f>
        <v>0</v>
      </c>
      <c r="J276" s="249" t="str">
        <f>VLOOKUP(C276,'[11]Chart of Accounts1'!$A$2:$M$800,13,0)</f>
        <v>775502</v>
      </c>
    </row>
    <row r="277" spans="1:10">
      <c r="A277" s="4" t="s">
        <v>856</v>
      </c>
      <c r="B277" s="6"/>
      <c r="C277" s="4" t="s">
        <v>881</v>
      </c>
      <c r="D277" s="3" t="s">
        <v>882</v>
      </c>
      <c r="E277" s="245" t="s">
        <v>1168</v>
      </c>
      <c r="H277" s="249" t="e">
        <f>VLOOKUP(C277,'PL MAPPING'!C:E,3,0)</f>
        <v>#N/A</v>
      </c>
      <c r="J277" s="249" t="str">
        <f>VLOOKUP(C277,'[11]Chart of Accounts1'!$A$2:$M$800,13,0)</f>
        <v>90010000</v>
      </c>
    </row>
    <row r="278" spans="1:10">
      <c r="A278" s="4" t="s">
        <v>856</v>
      </c>
      <c r="B278" s="6"/>
      <c r="C278" s="4" t="s">
        <v>877</v>
      </c>
      <c r="D278" s="3" t="s">
        <v>878</v>
      </c>
      <c r="E278" s="245" t="s">
        <v>1168</v>
      </c>
      <c r="H278" s="249" t="e">
        <f>VLOOKUP(C278,'PL MAPPING'!C:E,3,0)</f>
        <v>#N/A</v>
      </c>
      <c r="J278" s="249" t="str">
        <f>VLOOKUP(C278,'[11]Chart of Accounts1'!$A$2:$M$800,13,0)</f>
        <v>90010000</v>
      </c>
    </row>
    <row r="279" spans="1:10">
      <c r="A279" s="4" t="s">
        <v>856</v>
      </c>
      <c r="B279" s="6"/>
      <c r="C279" s="4" t="s">
        <v>875</v>
      </c>
      <c r="D279" s="3" t="s">
        <v>876</v>
      </c>
      <c r="E279" s="245" t="s">
        <v>1168</v>
      </c>
      <c r="H279" s="249" t="e">
        <f>VLOOKUP(C279,'PL MAPPING'!C:E,3,0)</f>
        <v>#N/A</v>
      </c>
      <c r="J279" s="249" t="str">
        <f>VLOOKUP(C279,'[11]Chart of Accounts1'!$A$2:$M$800,13,0)</f>
        <v>90010000</v>
      </c>
    </row>
    <row r="280" spans="1:10">
      <c r="A280" s="4" t="s">
        <v>856</v>
      </c>
      <c r="B280" s="6"/>
      <c r="C280" s="4" t="s">
        <v>869</v>
      </c>
      <c r="D280" s="3" t="s">
        <v>870</v>
      </c>
      <c r="E280" s="245" t="s">
        <v>1168</v>
      </c>
      <c r="H280" s="249" t="e">
        <f>VLOOKUP(C280,'PL MAPPING'!C:E,3,0)</f>
        <v>#N/A</v>
      </c>
      <c r="J280" s="249" t="str">
        <f>VLOOKUP(C280,'[11]Chart of Accounts1'!$A$2:$M$800,13,0)</f>
        <v>90010000</v>
      </c>
    </row>
    <row r="281" spans="1:10">
      <c r="A281" s="4" t="s">
        <v>856</v>
      </c>
      <c r="B281" s="6"/>
      <c r="C281" s="4" t="s">
        <v>873</v>
      </c>
      <c r="D281" s="3" t="s">
        <v>874</v>
      </c>
      <c r="E281" s="245" t="s">
        <v>1168</v>
      </c>
      <c r="H281" s="249" t="e">
        <f>VLOOKUP(C281,'PL MAPPING'!C:E,3,0)</f>
        <v>#N/A</v>
      </c>
      <c r="J281" s="249" t="str">
        <f>VLOOKUP(C281,'[11]Chart of Accounts1'!$A$2:$M$800,13,0)</f>
        <v>90010000</v>
      </c>
    </row>
    <row r="282" spans="1:10">
      <c r="A282" s="4" t="s">
        <v>856</v>
      </c>
      <c r="B282" s="6"/>
      <c r="C282" s="4" t="s">
        <v>871</v>
      </c>
      <c r="D282" s="3" t="s">
        <v>872</v>
      </c>
      <c r="E282" s="245" t="s">
        <v>1168</v>
      </c>
      <c r="H282" s="249" t="e">
        <f>VLOOKUP(C282,'PL MAPPING'!C:E,3,0)</f>
        <v>#N/A</v>
      </c>
      <c r="J282" s="249" t="str">
        <f>VLOOKUP(C282,'[11]Chart of Accounts1'!$A$2:$M$800,13,0)</f>
        <v>90010000</v>
      </c>
    </row>
    <row r="283" spans="1:10">
      <c r="A283" s="4" t="s">
        <v>856</v>
      </c>
      <c r="B283" s="6"/>
      <c r="C283" s="4" t="s">
        <v>915</v>
      </c>
      <c r="D283" s="3" t="s">
        <v>916</v>
      </c>
      <c r="E283" s="245" t="s">
        <v>1168</v>
      </c>
      <c r="H283" s="249" t="e">
        <f>VLOOKUP(C283,'PL MAPPING'!C:E,3,0)</f>
        <v>#N/A</v>
      </c>
      <c r="J283" s="249" t="str">
        <f>VLOOKUP(C283,'[11]Chart of Accounts1'!$A$2:$M$800,13,0)</f>
        <v>90010000</v>
      </c>
    </row>
    <row r="284" spans="1:10">
      <c r="A284" s="4" t="s">
        <v>856</v>
      </c>
      <c r="B284" s="6" t="s">
        <v>60</v>
      </c>
      <c r="C284" s="4" t="s">
        <v>889</v>
      </c>
      <c r="D284" s="3" t="s">
        <v>890</v>
      </c>
      <c r="E284" s="245">
        <v>168833.24</v>
      </c>
      <c r="H284" s="249" t="e">
        <f>VLOOKUP(C284,'PL MAPPING'!C:E,3,0)</f>
        <v>#N/A</v>
      </c>
      <c r="J284" s="249" t="str">
        <f>VLOOKUP(C284,'[11]Chart of Accounts1'!$A$2:$M$800,13,0)</f>
        <v>90010000</v>
      </c>
    </row>
    <row r="285" spans="1:10">
      <c r="A285" s="4" t="s">
        <v>856</v>
      </c>
      <c r="B285" s="6" t="s">
        <v>60</v>
      </c>
      <c r="C285" s="4" t="s">
        <v>883</v>
      </c>
      <c r="D285" s="3" t="s">
        <v>884</v>
      </c>
      <c r="E285" s="245">
        <v>548.66999999999996</v>
      </c>
      <c r="H285" s="249" t="e">
        <f>VLOOKUP(C285,'PL MAPPING'!C:E,3,0)</f>
        <v>#N/A</v>
      </c>
      <c r="J285" s="249" t="str">
        <f>VLOOKUP(C285,'[11]Chart of Accounts1'!$A$2:$M$800,13,0)</f>
        <v>90010000</v>
      </c>
    </row>
    <row r="286" spans="1:10">
      <c r="A286" s="4" t="s">
        <v>856</v>
      </c>
      <c r="B286" s="6"/>
      <c r="C286" s="4" t="s">
        <v>861</v>
      </c>
      <c r="D286" s="3" t="s">
        <v>862</v>
      </c>
      <c r="E286" s="245" t="s">
        <v>1168</v>
      </c>
      <c r="H286" s="249" t="e">
        <f>VLOOKUP(C286,'PL MAPPING'!C:E,3,0)</f>
        <v>#N/A</v>
      </c>
      <c r="J286" s="249" t="str">
        <f>VLOOKUP(C286,'[11]Chart of Accounts1'!$A$2:$M$800,13,0)</f>
        <v>90010000</v>
      </c>
    </row>
    <row r="287" spans="1:10">
      <c r="A287" s="4" t="s">
        <v>856</v>
      </c>
      <c r="B287" s="6" t="s">
        <v>60</v>
      </c>
      <c r="C287" s="4" t="s">
        <v>865</v>
      </c>
      <c r="D287" s="3" t="s">
        <v>866</v>
      </c>
      <c r="E287" s="245">
        <v>1511275.65</v>
      </c>
      <c r="H287" s="249" t="e">
        <f>VLOOKUP(C287,'PL MAPPING'!C:E,3,0)</f>
        <v>#N/A</v>
      </c>
      <c r="J287" s="249" t="str">
        <f>VLOOKUP(C287,'[11]Chart of Accounts1'!$A$2:$M$800,13,0)</f>
        <v>90010000</v>
      </c>
    </row>
    <row r="288" spans="1:10">
      <c r="A288" s="4" t="s">
        <v>856</v>
      </c>
      <c r="B288" s="6"/>
      <c r="C288" s="4" t="s">
        <v>859</v>
      </c>
      <c r="D288" s="3" t="s">
        <v>860</v>
      </c>
      <c r="E288" s="245" t="s">
        <v>1168</v>
      </c>
      <c r="H288" s="249" t="e">
        <f>VLOOKUP(C288,'PL MAPPING'!C:E,3,0)</f>
        <v>#N/A</v>
      </c>
      <c r="J288" s="249" t="str">
        <f>VLOOKUP(C288,'[11]Chart of Accounts1'!$A$2:$M$800,13,0)</f>
        <v>90010000</v>
      </c>
    </row>
    <row r="289" spans="1:10">
      <c r="A289" s="4" t="s">
        <v>856</v>
      </c>
      <c r="B289" s="6" t="s">
        <v>60</v>
      </c>
      <c r="C289" s="4" t="s">
        <v>867</v>
      </c>
      <c r="D289" s="3" t="s">
        <v>868</v>
      </c>
      <c r="E289" s="245">
        <v>1280612.6100000001</v>
      </c>
      <c r="H289" s="249" t="e">
        <f>VLOOKUP(C289,'PL MAPPING'!C:E,3,0)</f>
        <v>#N/A</v>
      </c>
      <c r="J289" s="249" t="str">
        <f>VLOOKUP(C289,'[11]Chart of Accounts1'!$A$2:$M$800,13,0)</f>
        <v>90010000</v>
      </c>
    </row>
    <row r="290" spans="1:10">
      <c r="A290" s="4" t="s">
        <v>856</v>
      </c>
      <c r="B290" s="6" t="s">
        <v>60</v>
      </c>
      <c r="C290" s="4" t="s">
        <v>887</v>
      </c>
      <c r="D290" s="3" t="s">
        <v>888</v>
      </c>
      <c r="E290" s="245">
        <v>65834.100000000006</v>
      </c>
      <c r="H290" s="249" t="e">
        <f>VLOOKUP(C290,'PL MAPPING'!C:E,3,0)</f>
        <v>#N/A</v>
      </c>
      <c r="J290" s="249" t="str">
        <f>VLOOKUP(C290,'[11]Chart of Accounts1'!$A$2:$M$800,13,0)</f>
        <v>90010000</v>
      </c>
    </row>
    <row r="291" spans="1:10">
      <c r="A291" s="4" t="s">
        <v>856</v>
      </c>
      <c r="B291" s="6"/>
      <c r="C291" s="4" t="s">
        <v>879</v>
      </c>
      <c r="D291" s="3" t="s">
        <v>880</v>
      </c>
      <c r="E291" s="245" t="s">
        <v>1168</v>
      </c>
      <c r="H291" s="249" t="e">
        <f>VLOOKUP(C291,'PL MAPPING'!C:E,3,0)</f>
        <v>#N/A</v>
      </c>
      <c r="J291" s="249" t="str">
        <f>VLOOKUP(C291,'[11]Chart of Accounts1'!$A$2:$M$800,13,0)</f>
        <v>90010000</v>
      </c>
    </row>
    <row r="292" spans="1:10">
      <c r="A292" s="4" t="s">
        <v>856</v>
      </c>
      <c r="B292" s="6" t="s">
        <v>60</v>
      </c>
      <c r="C292" s="4" t="s">
        <v>885</v>
      </c>
      <c r="D292" s="3" t="s">
        <v>886</v>
      </c>
      <c r="E292" s="245">
        <v>1499513.69</v>
      </c>
      <c r="H292" s="249" t="e">
        <f>VLOOKUP(C292,'PL MAPPING'!C:E,3,0)</f>
        <v>#N/A</v>
      </c>
      <c r="J292" s="249" t="str">
        <f>VLOOKUP(C292,'[11]Chart of Accounts1'!$A$2:$M$800,13,0)</f>
        <v>90010000</v>
      </c>
    </row>
    <row r="293" spans="1:10">
      <c r="A293" s="4" t="s">
        <v>856</v>
      </c>
      <c r="B293" s="6" t="s">
        <v>60</v>
      </c>
      <c r="C293" s="4" t="s">
        <v>863</v>
      </c>
      <c r="D293" s="3" t="s">
        <v>864</v>
      </c>
      <c r="E293" s="245">
        <v>268225</v>
      </c>
      <c r="H293" s="249" t="e">
        <f>VLOOKUP(C293,'PL MAPPING'!C:E,3,0)</f>
        <v>#N/A</v>
      </c>
      <c r="J293" s="249" t="str">
        <f>VLOOKUP(C293,'[11]Chart of Accounts1'!$A$2:$M$800,13,0)</f>
        <v>90010000</v>
      </c>
    </row>
    <row r="294" spans="1:10">
      <c r="A294" s="4" t="s">
        <v>856</v>
      </c>
      <c r="B294" s="6" t="s">
        <v>60</v>
      </c>
      <c r="C294" s="4" t="s">
        <v>917</v>
      </c>
      <c r="D294" s="3" t="s">
        <v>918</v>
      </c>
      <c r="E294" s="245">
        <v>-12305277.68</v>
      </c>
      <c r="H294" s="249" t="e">
        <f>VLOOKUP(C294,'PL MAPPING'!C:E,3,0)</f>
        <v>#N/A</v>
      </c>
      <c r="J294" s="249" t="str">
        <f>VLOOKUP(C294,'[11]Chart of Accounts1'!$A$2:$M$800,13,0)</f>
        <v>90010000</v>
      </c>
    </row>
    <row r="295" spans="1:10">
      <c r="A295" s="4" t="s">
        <v>856</v>
      </c>
      <c r="B295" s="6" t="s">
        <v>60</v>
      </c>
      <c r="C295" s="4" t="s">
        <v>903</v>
      </c>
      <c r="D295" s="3" t="s">
        <v>904</v>
      </c>
      <c r="E295" s="245">
        <v>334</v>
      </c>
      <c r="H295" s="249" t="e">
        <f>VLOOKUP(C295,'PL MAPPING'!C:E,3,0)</f>
        <v>#N/A</v>
      </c>
      <c r="J295" s="249" t="str">
        <f>VLOOKUP(C295,'[11]Chart of Accounts1'!$A$2:$M$800,13,0)</f>
        <v>90010000</v>
      </c>
    </row>
    <row r="296" spans="1:10">
      <c r="A296" s="4" t="s">
        <v>856</v>
      </c>
      <c r="B296" s="6"/>
      <c r="C296" s="4" t="s">
        <v>909</v>
      </c>
      <c r="D296" s="3" t="s">
        <v>910</v>
      </c>
      <c r="E296" s="245" t="s">
        <v>1168</v>
      </c>
      <c r="H296" s="249" t="e">
        <f>VLOOKUP(C296,'PL MAPPING'!C:E,3,0)</f>
        <v>#N/A</v>
      </c>
      <c r="J296" s="249" t="str">
        <f>VLOOKUP(C296,'[11]Chart of Accounts1'!$A$2:$M$800,13,0)</f>
        <v>90010000</v>
      </c>
    </row>
    <row r="297" spans="1:10">
      <c r="A297" s="4" t="s">
        <v>856</v>
      </c>
      <c r="B297" s="6"/>
      <c r="C297" s="4" t="s">
        <v>901</v>
      </c>
      <c r="D297" s="3" t="s">
        <v>902</v>
      </c>
      <c r="E297" s="245" t="s">
        <v>1168</v>
      </c>
      <c r="H297" s="249" t="e">
        <f>VLOOKUP(C297,'PL MAPPING'!C:E,3,0)</f>
        <v>#N/A</v>
      </c>
      <c r="J297" s="249" t="str">
        <f>VLOOKUP(C297,'[11]Chart of Accounts1'!$A$2:$M$800,13,0)</f>
        <v>90010000</v>
      </c>
    </row>
    <row r="298" spans="1:10">
      <c r="A298" s="4" t="s">
        <v>856</v>
      </c>
      <c r="B298" s="6" t="s">
        <v>60</v>
      </c>
      <c r="C298" s="4" t="s">
        <v>1048</v>
      </c>
      <c r="D298" s="3" t="s">
        <v>1108</v>
      </c>
      <c r="E298" s="245">
        <v>183834.72</v>
      </c>
      <c r="H298" s="249" t="e">
        <f>VLOOKUP(C298,'PL MAPPING'!C:E,3,0)</f>
        <v>#N/A</v>
      </c>
      <c r="J298" s="249" t="str">
        <f>VLOOKUP(C298,'[11]Chart of Accounts1'!$A$2:$M$800,13,0)</f>
        <v>90010000</v>
      </c>
    </row>
    <row r="299" spans="1:10">
      <c r="A299" s="4" t="s">
        <v>856</v>
      </c>
      <c r="B299" s="6" t="s">
        <v>60</v>
      </c>
      <c r="C299" s="4" t="s">
        <v>1049</v>
      </c>
      <c r="D299" s="3" t="s">
        <v>1109</v>
      </c>
      <c r="E299" s="245">
        <v>1501360.43</v>
      </c>
      <c r="H299" s="249" t="e">
        <f>VLOOKUP(C299,'PL MAPPING'!C:E,3,0)</f>
        <v>#N/A</v>
      </c>
      <c r="J299" s="249" t="str">
        <f>VLOOKUP(C299,'[11]Chart of Accounts1'!$A$2:$M$800,13,0)</f>
        <v>90010000</v>
      </c>
    </row>
    <row r="300" spans="1:10">
      <c r="A300" s="4" t="s">
        <v>856</v>
      </c>
      <c r="B300" s="6" t="s">
        <v>60</v>
      </c>
      <c r="C300" s="4" t="s">
        <v>1050</v>
      </c>
      <c r="D300" s="3" t="s">
        <v>1110</v>
      </c>
      <c r="E300" s="245">
        <v>3966631.06</v>
      </c>
      <c r="H300" s="249" t="e">
        <f>VLOOKUP(C300,'PL MAPPING'!C:E,3,0)</f>
        <v>#N/A</v>
      </c>
      <c r="J300" s="249" t="str">
        <f>VLOOKUP(C300,'[11]Chart of Accounts1'!$A$2:$M$800,13,0)</f>
        <v>90010000</v>
      </c>
    </row>
    <row r="301" spans="1:10">
      <c r="A301" s="4" t="s">
        <v>856</v>
      </c>
      <c r="B301" s="6" t="s">
        <v>60</v>
      </c>
      <c r="C301" s="4" t="s">
        <v>1051</v>
      </c>
      <c r="D301" s="3" t="s">
        <v>1111</v>
      </c>
      <c r="E301" s="245">
        <v>393998.37</v>
      </c>
      <c r="H301" s="249" t="e">
        <f>VLOOKUP(C301,'PL MAPPING'!C:E,3,0)</f>
        <v>#N/A</v>
      </c>
      <c r="J301" s="249" t="str">
        <f>VLOOKUP(C301,'[11]Chart of Accounts1'!$A$2:$M$800,13,0)</f>
        <v>90010000</v>
      </c>
    </row>
    <row r="302" spans="1:10">
      <c r="A302" s="4" t="s">
        <v>856</v>
      </c>
      <c r="B302" s="6"/>
      <c r="C302" s="4" t="s">
        <v>1052</v>
      </c>
      <c r="D302" s="3" t="s">
        <v>1112</v>
      </c>
      <c r="E302" s="245">
        <v>17719</v>
      </c>
      <c r="H302" s="249" t="e">
        <f>VLOOKUP(C302,'PL MAPPING'!C:E,3,0)</f>
        <v>#N/A</v>
      </c>
      <c r="J302" s="249" t="str">
        <f>VLOOKUP(C302,'[11]Chart of Accounts1'!$A$2:$M$800,13,0)</f>
        <v>90010000</v>
      </c>
    </row>
    <row r="303" spans="1:10">
      <c r="A303" s="4" t="s">
        <v>856</v>
      </c>
      <c r="B303" s="6" t="s">
        <v>60</v>
      </c>
      <c r="C303" s="4" t="s">
        <v>1053</v>
      </c>
      <c r="D303" s="3" t="s">
        <v>1113</v>
      </c>
      <c r="E303" s="245" t="s">
        <v>1168</v>
      </c>
      <c r="H303" s="249" t="e">
        <f>VLOOKUP(C303,'PL MAPPING'!C:E,3,0)</f>
        <v>#N/A</v>
      </c>
      <c r="J303" s="249" t="str">
        <f>VLOOKUP(C303,'[11]Chart of Accounts1'!$A$2:$M$800,13,0)</f>
        <v>90010000</v>
      </c>
    </row>
    <row r="304" spans="1:10">
      <c r="A304" s="4" t="s">
        <v>856</v>
      </c>
      <c r="B304" s="6" t="s">
        <v>60</v>
      </c>
      <c r="C304" s="4" t="s">
        <v>891</v>
      </c>
      <c r="D304" s="3" t="s">
        <v>892</v>
      </c>
      <c r="E304" s="245">
        <v>1937.05</v>
      </c>
      <c r="H304" s="249" t="e">
        <f>VLOOKUP(C304,'PL MAPPING'!C:E,3,0)</f>
        <v>#N/A</v>
      </c>
      <c r="J304" s="249" t="str">
        <f>VLOOKUP(C304,'[11]Chart of Accounts1'!$A$2:$M$800,13,0)</f>
        <v>90010000</v>
      </c>
    </row>
    <row r="305" spans="1:10">
      <c r="A305" s="4" t="s">
        <v>856</v>
      </c>
      <c r="B305" s="6" t="s">
        <v>60</v>
      </c>
      <c r="C305" s="4" t="s">
        <v>893</v>
      </c>
      <c r="D305" s="3" t="s">
        <v>894</v>
      </c>
      <c r="E305" s="245" t="s">
        <v>1168</v>
      </c>
      <c r="H305" s="249" t="e">
        <f>VLOOKUP(C305,'PL MAPPING'!C:E,3,0)</f>
        <v>#N/A</v>
      </c>
      <c r="J305" s="249" t="str">
        <f>VLOOKUP(C305,'[11]Chart of Accounts1'!$A$2:$M$800,13,0)</f>
        <v>90010000</v>
      </c>
    </row>
    <row r="306" spans="1:10">
      <c r="A306" s="4" t="s">
        <v>856</v>
      </c>
      <c r="B306" s="6" t="s">
        <v>60</v>
      </c>
      <c r="C306" s="4" t="s">
        <v>895</v>
      </c>
      <c r="D306" s="3" t="s">
        <v>896</v>
      </c>
      <c r="E306" s="245">
        <v>118</v>
      </c>
      <c r="H306" s="249" t="e">
        <f>VLOOKUP(C306,'PL MAPPING'!C:E,3,0)</f>
        <v>#N/A</v>
      </c>
      <c r="J306" s="249" t="str">
        <f>VLOOKUP(C306,'[11]Chart of Accounts1'!$A$2:$M$800,13,0)</f>
        <v>90010000</v>
      </c>
    </row>
    <row r="307" spans="1:10">
      <c r="A307" s="4" t="s">
        <v>856</v>
      </c>
      <c r="B307" s="6" t="s">
        <v>60</v>
      </c>
      <c r="C307" s="4" t="s">
        <v>897</v>
      </c>
      <c r="D307" s="3" t="s">
        <v>898</v>
      </c>
      <c r="E307" s="245">
        <v>544.5</v>
      </c>
      <c r="H307" s="249" t="e">
        <f>VLOOKUP(C307,'PL MAPPING'!C:E,3,0)</f>
        <v>#N/A</v>
      </c>
      <c r="J307" s="249" t="str">
        <f>VLOOKUP(C307,'[11]Chart of Accounts1'!$A$2:$M$800,13,0)</f>
        <v>90010000</v>
      </c>
    </row>
    <row r="308" spans="1:10">
      <c r="A308" s="4" t="s">
        <v>856</v>
      </c>
      <c r="B308" s="6" t="s">
        <v>60</v>
      </c>
      <c r="C308" s="4" t="s">
        <v>905</v>
      </c>
      <c r="D308" s="3" t="s">
        <v>906</v>
      </c>
      <c r="E308" s="245">
        <v>26016.48</v>
      </c>
      <c r="H308" s="249" t="e">
        <f>VLOOKUP(C308,'PL MAPPING'!C:E,3,0)</f>
        <v>#N/A</v>
      </c>
      <c r="J308" s="249" t="str">
        <f>VLOOKUP(C308,'[11]Chart of Accounts1'!$A$2:$M$800,13,0)</f>
        <v>90010000</v>
      </c>
    </row>
    <row r="309" spans="1:10">
      <c r="A309" s="4" t="s">
        <v>856</v>
      </c>
      <c r="B309" s="6" t="s">
        <v>60</v>
      </c>
      <c r="C309" s="4" t="s">
        <v>899</v>
      </c>
      <c r="D309" s="3" t="s">
        <v>900</v>
      </c>
      <c r="E309" s="245">
        <v>15175.79</v>
      </c>
      <c r="H309" s="249" t="e">
        <f>VLOOKUP(C309,'PL MAPPING'!C:E,3,0)</f>
        <v>#N/A</v>
      </c>
      <c r="J309" s="249" t="str">
        <f>VLOOKUP(C309,'[11]Chart of Accounts1'!$A$2:$M$800,13,0)</f>
        <v>90010000</v>
      </c>
    </row>
    <row r="310" spans="1:10">
      <c r="A310" s="4" t="s">
        <v>856</v>
      </c>
      <c r="B310" s="6" t="s">
        <v>60</v>
      </c>
      <c r="C310" s="4" t="s">
        <v>913</v>
      </c>
      <c r="D310" s="3" t="s">
        <v>914</v>
      </c>
      <c r="E310" s="245">
        <v>579348.76</v>
      </c>
      <c r="H310" s="249" t="e">
        <f>VLOOKUP(C310,'PL MAPPING'!C:E,3,0)</f>
        <v>#N/A</v>
      </c>
      <c r="J310" s="249" t="str">
        <f>VLOOKUP(C310,'[11]Chart of Accounts1'!$A$2:$M$800,13,0)</f>
        <v>90010000</v>
      </c>
    </row>
    <row r="311" spans="1:10">
      <c r="A311" s="4" t="s">
        <v>856</v>
      </c>
      <c r="B311" s="6" t="s">
        <v>60</v>
      </c>
      <c r="C311" s="4" t="s">
        <v>1054</v>
      </c>
      <c r="D311" s="3" t="s">
        <v>1114</v>
      </c>
      <c r="E311" s="245">
        <v>367762</v>
      </c>
      <c r="H311" s="249" t="e">
        <f>VLOOKUP(C311,'PL MAPPING'!C:E,3,0)</f>
        <v>#N/A</v>
      </c>
      <c r="J311" s="249" t="str">
        <f>VLOOKUP(C311,'[11]Chart of Accounts1'!$A$2:$M$800,13,0)</f>
        <v>90010000</v>
      </c>
    </row>
    <row r="312" spans="1:10">
      <c r="A312" s="4" t="s">
        <v>856</v>
      </c>
      <c r="B312" s="6" t="s">
        <v>60</v>
      </c>
      <c r="C312" s="4" t="s">
        <v>1055</v>
      </c>
      <c r="D312" s="3" t="s">
        <v>1115</v>
      </c>
      <c r="E312" s="245">
        <v>155771.35999999999</v>
      </c>
      <c r="H312" s="249" t="e">
        <f>VLOOKUP(C312,'PL MAPPING'!C:E,3,0)</f>
        <v>#N/A</v>
      </c>
      <c r="J312" s="249" t="str">
        <f>VLOOKUP(C312,'[11]Chart of Accounts1'!$A$2:$M$800,13,0)</f>
        <v>90010000</v>
      </c>
    </row>
    <row r="313" spans="1:10">
      <c r="A313" s="4" t="s">
        <v>856</v>
      </c>
      <c r="B313" s="6" t="s">
        <v>60</v>
      </c>
      <c r="C313" s="4" t="s">
        <v>1056</v>
      </c>
      <c r="D313" s="3" t="s">
        <v>1116</v>
      </c>
      <c r="E313" s="245">
        <v>253746.67</v>
      </c>
      <c r="H313" s="249" t="e">
        <f>VLOOKUP(C313,'PL MAPPING'!C:E,3,0)</f>
        <v>#N/A</v>
      </c>
      <c r="J313" s="249" t="str">
        <f>VLOOKUP(C313,'[11]Chart of Accounts1'!$A$2:$M$800,13,0)</f>
        <v>90010000</v>
      </c>
    </row>
    <row r="314" spans="1:10">
      <c r="A314" s="4" t="s">
        <v>856</v>
      </c>
      <c r="B314" s="6" t="s">
        <v>60</v>
      </c>
      <c r="C314" s="4" t="s">
        <v>1057</v>
      </c>
      <c r="D314" s="3" t="s">
        <v>1117</v>
      </c>
      <c r="E314" s="245">
        <v>4868.12</v>
      </c>
      <c r="H314" s="249" t="e">
        <f>VLOOKUP(C314,'PL MAPPING'!C:E,3,0)</f>
        <v>#N/A</v>
      </c>
      <c r="J314" s="249" t="str">
        <f>VLOOKUP(C314,'[11]Chart of Accounts1'!$A$2:$M$800,13,0)</f>
        <v>90010000</v>
      </c>
    </row>
    <row r="315" spans="1:10">
      <c r="A315" s="4" t="s">
        <v>856</v>
      </c>
      <c r="B315" s="6" t="s">
        <v>60</v>
      </c>
      <c r="C315" s="4" t="s">
        <v>1058</v>
      </c>
      <c r="D315" s="3" t="s">
        <v>1118</v>
      </c>
      <c r="E315" s="245">
        <v>2931.94</v>
      </c>
      <c r="H315" s="249" t="e">
        <f>VLOOKUP(C315,'PL MAPPING'!C:E,3,0)</f>
        <v>#N/A</v>
      </c>
      <c r="J315" s="249" t="str">
        <f>VLOOKUP(C315,'[11]Chart of Accounts1'!$A$2:$M$800,13,0)</f>
        <v>90010000</v>
      </c>
    </row>
    <row r="316" spans="1:10">
      <c r="A316" s="4" t="s">
        <v>856</v>
      </c>
      <c r="B316" s="6" t="s">
        <v>60</v>
      </c>
      <c r="C316" s="4" t="s">
        <v>1059</v>
      </c>
      <c r="D316" s="3" t="s">
        <v>1119</v>
      </c>
      <c r="E316" s="245">
        <v>38336.47</v>
      </c>
      <c r="F316" s="258">
        <f>SUM(E311:E316,E298:E303)</f>
        <v>6886960.1399999997</v>
      </c>
      <c r="H316" s="249" t="e">
        <f>VLOOKUP(C316,'PL MAPPING'!C:E,3,0)</f>
        <v>#N/A</v>
      </c>
      <c r="J316" s="249" t="str">
        <f>VLOOKUP(C316,'[11]Chart of Accounts1'!$A$2:$M$800,13,0)</f>
        <v>90010000</v>
      </c>
    </row>
    <row r="317" spans="1:10">
      <c r="A317" s="4" t="s">
        <v>856</v>
      </c>
      <c r="B317" s="6"/>
      <c r="C317" s="4" t="s">
        <v>911</v>
      </c>
      <c r="D317" s="3" t="s">
        <v>912</v>
      </c>
      <c r="E317" s="245" t="s">
        <v>1168</v>
      </c>
      <c r="H317" s="249" t="e">
        <f>VLOOKUP(C317,'PL MAPPING'!C:E,3,0)</f>
        <v>#N/A</v>
      </c>
      <c r="J317" s="249" t="str">
        <f>VLOOKUP(C317,'[11]Chart of Accounts1'!$A$2:$M$800,13,0)</f>
        <v>90010000</v>
      </c>
    </row>
    <row r="318" spans="1:10">
      <c r="A318" s="4" t="s">
        <v>856</v>
      </c>
      <c r="B318" s="6"/>
      <c r="C318" s="4" t="s">
        <v>907</v>
      </c>
      <c r="D318" s="3" t="s">
        <v>908</v>
      </c>
      <c r="E318" s="245" t="s">
        <v>1168</v>
      </c>
      <c r="H318" s="249" t="e">
        <f>VLOOKUP(C318,'PL MAPPING'!C:E,3,0)</f>
        <v>#N/A</v>
      </c>
      <c r="J318" s="249" t="str">
        <f>VLOOKUP(C318,'[11]Chart of Accounts1'!$A$2:$M$800,13,0)</f>
        <v>90010000</v>
      </c>
    </row>
    <row r="319" spans="1:10">
      <c r="A319" s="4" t="s">
        <v>856</v>
      </c>
      <c r="B319" s="6"/>
      <c r="C319" s="4" t="s">
        <v>857</v>
      </c>
      <c r="D319" s="3" t="s">
        <v>858</v>
      </c>
      <c r="E319" s="245" t="s">
        <v>1168</v>
      </c>
      <c r="H319" s="249" t="e">
        <f>VLOOKUP(C319,'PL MAPPING'!C:E,3,0)</f>
        <v>#N/A</v>
      </c>
      <c r="J319" s="249" t="str">
        <f>VLOOKUP(C319,'[11]Chart of Accounts1'!$A$2:$M$800,13,0)</f>
        <v>90010000</v>
      </c>
    </row>
    <row r="320" spans="1:10">
      <c r="A320" s="4" t="s">
        <v>919</v>
      </c>
      <c r="B320" s="6" t="s">
        <v>60</v>
      </c>
      <c r="C320" s="4" t="s">
        <v>930</v>
      </c>
      <c r="D320" s="3" t="s">
        <v>931</v>
      </c>
      <c r="E320" s="245">
        <v>18329207.699999999</v>
      </c>
      <c r="H320" s="249">
        <f>VLOOKUP(C320,'PL MAPPING'!C:E,3,0)</f>
        <v>21031444.879999999</v>
      </c>
      <c r="J320" s="249" t="str">
        <f>VLOOKUP(C320,'[11]Chart of Accounts1'!$A$2:$M$800,13,0)</f>
        <v>94010010</v>
      </c>
    </row>
    <row r="321" spans="1:10">
      <c r="A321" s="4" t="s">
        <v>919</v>
      </c>
      <c r="B321" s="6"/>
      <c r="C321" s="4" t="s">
        <v>924</v>
      </c>
      <c r="D321" s="3" t="s">
        <v>925</v>
      </c>
      <c r="E321" s="245" t="s">
        <v>1168</v>
      </c>
      <c r="H321" s="249">
        <f>VLOOKUP(C321,'PL MAPPING'!C:E,3,0)</f>
        <v>0</v>
      </c>
      <c r="J321" s="249" t="str">
        <f>VLOOKUP(C321,'[11]Chart of Accounts1'!$A$2:$M$800,13,0)</f>
        <v>94010010</v>
      </c>
    </row>
    <row r="322" spans="1:10">
      <c r="A322" s="4" t="s">
        <v>919</v>
      </c>
      <c r="B322" s="6"/>
      <c r="C322" s="4" t="s">
        <v>926</v>
      </c>
      <c r="D322" s="3" t="s">
        <v>927</v>
      </c>
      <c r="E322" s="245" t="s">
        <v>1168</v>
      </c>
      <c r="H322" s="249">
        <f>VLOOKUP(C322,'PL MAPPING'!C:E,3,0)</f>
        <v>0</v>
      </c>
      <c r="J322" s="249" t="str">
        <f>VLOOKUP(C322,'[11]Chart of Accounts1'!$A$2:$M$800,13,0)</f>
        <v>94010010</v>
      </c>
    </row>
    <row r="323" spans="1:10">
      <c r="A323" s="4" t="s">
        <v>919</v>
      </c>
      <c r="B323" s="6" t="s">
        <v>60</v>
      </c>
      <c r="C323" s="4" t="s">
        <v>932</v>
      </c>
      <c r="D323" s="3" t="s">
        <v>933</v>
      </c>
      <c r="E323" s="245" t="s">
        <v>1168</v>
      </c>
      <c r="H323" s="249">
        <f>VLOOKUP(C323,'PL MAPPING'!C:E,3,0)</f>
        <v>0</v>
      </c>
      <c r="J323" s="249" t="str">
        <f>VLOOKUP(C323,'[11]Chart of Accounts1'!$A$2:$M$800,13,0)</f>
        <v>94010010</v>
      </c>
    </row>
    <row r="324" spans="1:10">
      <c r="A324" s="4" t="s">
        <v>919</v>
      </c>
      <c r="B324" s="6" t="s">
        <v>60</v>
      </c>
      <c r="C324" s="4" t="s">
        <v>928</v>
      </c>
      <c r="D324" s="3" t="s">
        <v>929</v>
      </c>
      <c r="E324" s="245">
        <v>12259658.92</v>
      </c>
      <c r="H324" s="249">
        <f>VLOOKUP(C324,'PL MAPPING'!C:E,3,0)</f>
        <v>13134455.880000001</v>
      </c>
      <c r="J324" s="249" t="str">
        <f>VLOOKUP(C324,'[11]Chart of Accounts1'!$A$2:$M$800,13,0)</f>
        <v>94010010</v>
      </c>
    </row>
    <row r="325" spans="1:10">
      <c r="A325" s="3" t="s">
        <v>919</v>
      </c>
      <c r="B325" s="6" t="s">
        <v>60</v>
      </c>
      <c r="C325" s="3" t="s">
        <v>920</v>
      </c>
      <c r="D325" s="3" t="s">
        <v>921</v>
      </c>
      <c r="E325" s="245">
        <v>4300777.7300000004</v>
      </c>
      <c r="H325" s="249">
        <f>VLOOKUP(C325,'PL MAPPING'!C:E,3,0)</f>
        <v>5157930.99</v>
      </c>
      <c r="J325" s="249" t="str">
        <f>VLOOKUP(C325,'[11]Chart of Accounts1'!$A$2:$M$800,13,0)</f>
        <v>94010010</v>
      </c>
    </row>
    <row r="326" spans="1:10">
      <c r="A326" s="3" t="s">
        <v>919</v>
      </c>
      <c r="B326" s="6" t="s">
        <v>60</v>
      </c>
      <c r="C326" s="3" t="s">
        <v>922</v>
      </c>
      <c r="D326" s="3" t="s">
        <v>923</v>
      </c>
      <c r="E326" s="245">
        <v>-16560436.65</v>
      </c>
      <c r="H326" s="249">
        <f>VLOOKUP(C326,'PL MAPPING'!C:E,3,0)</f>
        <v>-18292386.870000001</v>
      </c>
      <c r="J326" s="249" t="str">
        <f>VLOOKUP(C326,'[11]Chart of Accounts1'!$A$2:$M$800,13,0)</f>
        <v>94010010</v>
      </c>
    </row>
    <row r="327" spans="1:10">
      <c r="A327" s="4" t="s">
        <v>934</v>
      </c>
      <c r="B327" s="6" t="s">
        <v>60</v>
      </c>
      <c r="C327" s="4" t="s">
        <v>935</v>
      </c>
      <c r="D327" s="3" t="s">
        <v>209</v>
      </c>
      <c r="E327" s="245" t="s">
        <v>1168</v>
      </c>
      <c r="H327" s="249" t="e">
        <f>VLOOKUP(C327,'PL MAPPING'!C:E,3,0)</f>
        <v>#N/A</v>
      </c>
      <c r="J327" s="249" t="str">
        <f>VLOOKUP(C327,'[11]Chart of Accounts1'!$A$2:$M$800,13,0)</f>
        <v>99010000</v>
      </c>
    </row>
    <row r="328" spans="1:10">
      <c r="A328" s="4" t="s">
        <v>936</v>
      </c>
      <c r="B328" s="6"/>
      <c r="C328" s="4" t="s">
        <v>937</v>
      </c>
      <c r="D328" s="3" t="s">
        <v>938</v>
      </c>
      <c r="E328" s="245" t="s">
        <v>1168</v>
      </c>
      <c r="H328" s="249" t="e">
        <f>VLOOKUP(C328,'PL MAPPING'!C:E,3,0)</f>
        <v>#N/A</v>
      </c>
      <c r="J328" s="249" t="str">
        <f>VLOOKUP(C328,'[11]Chart of Accounts1'!$A$2:$M$800,13,0)</f>
        <v>999999</v>
      </c>
    </row>
    <row r="329" spans="1:10">
      <c r="A329" s="4" t="s">
        <v>936</v>
      </c>
      <c r="B329" s="6"/>
      <c r="C329" s="4" t="s">
        <v>939</v>
      </c>
      <c r="D329" s="3" t="s">
        <v>940</v>
      </c>
      <c r="E329" s="245" t="s">
        <v>1168</v>
      </c>
      <c r="H329" s="249" t="e">
        <f>VLOOKUP(C329,'PL MAPPING'!C:E,3,0)</f>
        <v>#N/A</v>
      </c>
      <c r="J329" s="249" t="str">
        <f>VLOOKUP(C329,'[11]Chart of Accounts1'!$A$2:$M$800,13,0)</f>
        <v>999999</v>
      </c>
    </row>
    <row r="330" spans="1:10">
      <c r="D330" s="241"/>
      <c r="E330" s="245">
        <f>SUM(E2:E329)</f>
        <v>-16507741.150000025</v>
      </c>
      <c r="H330" s="249" t="e">
        <f>VLOOKUP(C330,'PL MAPPING'!C:E,3,0)</f>
        <v>#N/A</v>
      </c>
      <c r="J330" s="249" t="e">
        <f>VLOOKUP(C330,'[11]Chart of Accounts1'!$A$2:$M$800,13,0)</f>
        <v>#N/A</v>
      </c>
    </row>
    <row r="331" spans="1:10">
      <c r="E331" s="74"/>
      <c r="H331" s="249" t="e">
        <f>VLOOKUP(C331,'PL MAPPING'!C:E,3,0)</f>
        <v>#N/A</v>
      </c>
      <c r="J331" s="249" t="e">
        <f>VLOOKUP(C331,'[11]Chart of Accounts1'!$A$2:$M$800,13,0)</f>
        <v>#N/A</v>
      </c>
    </row>
    <row r="332" spans="1:10">
      <c r="E332" s="240"/>
    </row>
  </sheetData>
  <mergeCells count="2">
    <mergeCell ref="A1:B1"/>
    <mergeCell ref="C1:D1"/>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4"/>
  <sheetViews>
    <sheetView topLeftCell="B1" workbookViewId="0">
      <pane ySplit="2" topLeftCell="A25" activePane="bottomLeft" state="frozen"/>
      <selection pane="bottomLeft" activeCell="G41" sqref="G41"/>
    </sheetView>
  </sheetViews>
  <sheetFormatPr defaultColWidth="9.109375" defaultRowHeight="13.15" outlineLevelRow="1"/>
  <cols>
    <col min="1" max="1" width="43.21875" style="253" customWidth="1"/>
    <col min="2" max="2" width="16" style="253" customWidth="1"/>
    <col min="3" max="3" width="14" style="76" customWidth="1"/>
    <col min="4" max="4" width="41.6640625" style="76" customWidth="1"/>
    <col min="5" max="5" width="18.109375" style="76" bestFit="1" customWidth="1"/>
    <col min="6" max="6" width="15.21875" style="76" customWidth="1"/>
    <col min="7" max="7" width="34.88671875" style="87" bestFit="1" customWidth="1"/>
    <col min="8" max="8" width="15.33203125" style="76" bestFit="1" customWidth="1"/>
    <col min="9" max="9" width="15.21875" style="76" customWidth="1"/>
    <col min="10" max="10" width="15.33203125" style="76" bestFit="1" customWidth="1"/>
    <col min="11" max="16384" width="9.109375" style="87"/>
  </cols>
  <sheetData>
    <row r="1" spans="1:11">
      <c r="A1" s="332" t="s">
        <v>1259</v>
      </c>
      <c r="B1" s="332"/>
      <c r="C1" s="331" t="s">
        <v>1233</v>
      </c>
      <c r="D1" s="331"/>
      <c r="E1" s="331"/>
      <c r="F1" s="254" t="s">
        <v>964</v>
      </c>
      <c r="H1" s="320" t="s">
        <v>1421</v>
      </c>
      <c r="I1" s="321" t="s">
        <v>1423</v>
      </c>
      <c r="J1" s="320" t="s">
        <v>1422</v>
      </c>
      <c r="K1" s="320" t="s">
        <v>1424</v>
      </c>
    </row>
    <row r="2" spans="1:11" s="76" customFormat="1">
      <c r="A2" s="252" t="s">
        <v>941</v>
      </c>
      <c r="B2" s="252" t="s">
        <v>943</v>
      </c>
      <c r="C2" s="254" t="s">
        <v>1261</v>
      </c>
      <c r="D2" s="254" t="s">
        <v>1260</v>
      </c>
      <c r="E2" s="254" t="s">
        <v>943</v>
      </c>
      <c r="F2" s="254"/>
      <c r="H2" s="254"/>
      <c r="I2" s="254"/>
      <c r="J2" s="254"/>
    </row>
    <row r="3" spans="1:11" s="76" customFormat="1">
      <c r="A3" s="252" t="s">
        <v>1232</v>
      </c>
      <c r="B3" s="252">
        <v>369791.01597247459</v>
      </c>
      <c r="C3" s="4" t="s">
        <v>807</v>
      </c>
      <c r="D3" s="3" t="s">
        <v>808</v>
      </c>
      <c r="E3" s="74">
        <v>-58235207.270000003</v>
      </c>
      <c r="F3" s="74">
        <f>B3+SUM(E3:E15)/1000</f>
        <v>-9.2237525386735797E-2</v>
      </c>
      <c r="H3" s="74">
        <v>-59672400.770000003</v>
      </c>
      <c r="I3" s="74">
        <f>B3+SUM(H3:H15)/1000</f>
        <v>62896.45752247452</v>
      </c>
      <c r="J3" s="74">
        <f t="shared" ref="J3:J66" si="0">E3-H3</f>
        <v>1437193.5</v>
      </c>
      <c r="K3" s="322">
        <f>IFERROR(J3/H3,"n/a")</f>
        <v>-2.4084727301981485E-2</v>
      </c>
    </row>
    <row r="4" spans="1:11" s="76" customFormat="1" hidden="1" outlineLevel="1">
      <c r="A4" s="252"/>
      <c r="B4" s="252"/>
      <c r="C4" s="4" t="s">
        <v>809</v>
      </c>
      <c r="D4" s="3" t="s">
        <v>810</v>
      </c>
      <c r="E4" s="74">
        <v>-28937107.510000002</v>
      </c>
      <c r="F4" s="74"/>
      <c r="H4" s="74">
        <v>-2036563.64</v>
      </c>
      <c r="I4" s="74"/>
      <c r="J4" s="74">
        <f t="shared" si="0"/>
        <v>-26900543.870000001</v>
      </c>
      <c r="K4" s="322">
        <f t="shared" ref="K4:K67" si="1">IFERROR(J4/H4,"n/a")</f>
        <v>13.208791192010088</v>
      </c>
    </row>
    <row r="5" spans="1:11" s="76" customFormat="1" hidden="1" outlineLevel="1">
      <c r="A5" s="252"/>
      <c r="B5" s="252"/>
      <c r="C5" s="4" t="s">
        <v>805</v>
      </c>
      <c r="D5" s="3" t="s">
        <v>806</v>
      </c>
      <c r="E5" s="74">
        <v>0</v>
      </c>
      <c r="F5" s="74"/>
      <c r="H5" s="74">
        <v>-6727971.4800000004</v>
      </c>
      <c r="I5" s="74"/>
      <c r="J5" s="74">
        <f t="shared" si="0"/>
        <v>6727971.4800000004</v>
      </c>
      <c r="K5" s="322">
        <f t="shared" si="1"/>
        <v>-1</v>
      </c>
    </row>
    <row r="6" spans="1:11" s="76" customFormat="1" hidden="1" outlineLevel="1">
      <c r="A6" s="252"/>
      <c r="B6" s="252"/>
      <c r="C6" s="4" t="s">
        <v>801</v>
      </c>
      <c r="D6" s="3" t="s">
        <v>802</v>
      </c>
      <c r="E6" s="74">
        <v>-200404309.75999999</v>
      </c>
      <c r="F6" s="74"/>
      <c r="H6" s="74">
        <v>-165178085.56</v>
      </c>
      <c r="I6" s="74"/>
      <c r="J6" s="74">
        <f t="shared" si="0"/>
        <v>-35226224.199999988</v>
      </c>
      <c r="K6" s="322">
        <f t="shared" si="1"/>
        <v>0.21326209273205471</v>
      </c>
    </row>
    <row r="7" spans="1:11" s="76" customFormat="1" hidden="1" outlineLevel="1">
      <c r="A7" s="252"/>
      <c r="B7" s="252"/>
      <c r="C7" s="4" t="s">
        <v>803</v>
      </c>
      <c r="D7" s="3" t="s">
        <v>804</v>
      </c>
      <c r="E7" s="74">
        <v>-57714652.920000002</v>
      </c>
      <c r="F7" s="74"/>
      <c r="H7" s="74">
        <v>-36244507.18</v>
      </c>
      <c r="I7" s="74"/>
      <c r="J7" s="74">
        <f t="shared" si="0"/>
        <v>-21470145.740000002</v>
      </c>
      <c r="K7" s="322">
        <f t="shared" si="1"/>
        <v>0.59236964192597419</v>
      </c>
    </row>
    <row r="8" spans="1:11" s="76" customFormat="1" hidden="1" outlineLevel="1">
      <c r="A8" s="252"/>
      <c r="B8" s="252"/>
      <c r="C8" s="4" t="s">
        <v>823</v>
      </c>
      <c r="D8" s="3" t="s">
        <v>824</v>
      </c>
      <c r="E8" s="74">
        <v>0</v>
      </c>
      <c r="F8" s="74"/>
      <c r="H8" s="74">
        <v>0</v>
      </c>
      <c r="I8" s="74"/>
      <c r="J8" s="74">
        <f t="shared" si="0"/>
        <v>0</v>
      </c>
      <c r="K8" s="322" t="str">
        <f t="shared" si="1"/>
        <v>n/a</v>
      </c>
    </row>
    <row r="9" spans="1:11" s="76" customFormat="1" hidden="1" outlineLevel="1">
      <c r="A9" s="252"/>
      <c r="B9" s="252"/>
      <c r="C9" s="4" t="s">
        <v>819</v>
      </c>
      <c r="D9" s="3" t="s">
        <v>820</v>
      </c>
      <c r="E9" s="74">
        <v>-7841236.9000000004</v>
      </c>
      <c r="F9" s="74"/>
      <c r="H9" s="74">
        <v>-26042885.469999999</v>
      </c>
      <c r="I9" s="74"/>
      <c r="J9" s="74">
        <f t="shared" si="0"/>
        <v>18201648.57</v>
      </c>
      <c r="K9" s="322">
        <f t="shared" si="1"/>
        <v>-0.69891059464080196</v>
      </c>
    </row>
    <row r="10" spans="1:11" s="76" customFormat="1" hidden="1" outlineLevel="1">
      <c r="A10" s="252"/>
      <c r="B10" s="252"/>
      <c r="C10" s="4" t="s">
        <v>821</v>
      </c>
      <c r="D10" s="3" t="s">
        <v>822</v>
      </c>
      <c r="E10" s="74">
        <v>-33644.239999999998</v>
      </c>
      <c r="F10" s="74"/>
      <c r="H10" s="74">
        <v>-219428.73</v>
      </c>
      <c r="I10" s="74"/>
      <c r="J10" s="74">
        <f t="shared" si="0"/>
        <v>185784.49000000002</v>
      </c>
      <c r="K10" s="322">
        <f t="shared" si="1"/>
        <v>-0.84667349621902299</v>
      </c>
    </row>
    <row r="11" spans="1:11" s="76" customFormat="1" hidden="1" outlineLevel="1">
      <c r="A11" s="252"/>
      <c r="B11" s="252"/>
      <c r="C11" s="4" t="s">
        <v>811</v>
      </c>
      <c r="D11" s="3" t="s">
        <v>812</v>
      </c>
      <c r="E11" s="74">
        <v>0</v>
      </c>
      <c r="F11" s="74"/>
      <c r="H11" s="74">
        <v>0</v>
      </c>
      <c r="I11" s="74"/>
      <c r="J11" s="74">
        <f t="shared" si="0"/>
        <v>0</v>
      </c>
      <c r="K11" s="322" t="str">
        <f t="shared" si="1"/>
        <v>n/a</v>
      </c>
    </row>
    <row r="12" spans="1:11" s="76" customFormat="1" hidden="1" outlineLevel="1">
      <c r="A12" s="252"/>
      <c r="B12" s="252"/>
      <c r="C12" s="4" t="s">
        <v>817</v>
      </c>
      <c r="D12" s="3" t="s">
        <v>818</v>
      </c>
      <c r="E12" s="74">
        <v>0</v>
      </c>
      <c r="F12" s="74"/>
      <c r="H12" s="74">
        <v>0</v>
      </c>
      <c r="I12" s="74"/>
      <c r="J12" s="74">
        <f t="shared" si="0"/>
        <v>0</v>
      </c>
      <c r="K12" s="322" t="str">
        <f t="shared" si="1"/>
        <v>n/a</v>
      </c>
    </row>
    <row r="13" spans="1:11" s="76" customFormat="1" hidden="1" outlineLevel="1">
      <c r="A13" s="252"/>
      <c r="B13" s="252"/>
      <c r="C13" s="4" t="s">
        <v>813</v>
      </c>
      <c r="D13" s="3" t="s">
        <v>814</v>
      </c>
      <c r="E13" s="74">
        <v>-11472312.85</v>
      </c>
      <c r="F13" s="74"/>
      <c r="H13" s="74">
        <v>-9638016.5800000001</v>
      </c>
      <c r="I13" s="74"/>
      <c r="J13" s="74">
        <f t="shared" si="0"/>
        <v>-1834296.2699999996</v>
      </c>
      <c r="K13" s="322">
        <f t="shared" si="1"/>
        <v>0.19031885396486831</v>
      </c>
    </row>
    <row r="14" spans="1:11" s="76" customFormat="1" hidden="1" outlineLevel="1">
      <c r="A14" s="252"/>
      <c r="B14" s="252"/>
      <c r="C14" s="4" t="s">
        <v>815</v>
      </c>
      <c r="D14" s="3" t="s">
        <v>816</v>
      </c>
      <c r="E14" s="74">
        <v>-5315173.28</v>
      </c>
      <c r="F14" s="74"/>
      <c r="H14" s="74">
        <v>-1134699.04</v>
      </c>
      <c r="I14" s="74"/>
      <c r="J14" s="74">
        <f t="shared" si="0"/>
        <v>-4180474.24</v>
      </c>
      <c r="K14" s="322">
        <f t="shared" si="1"/>
        <v>3.6842141331149802</v>
      </c>
    </row>
    <row r="15" spans="1:11" s="76" customFormat="1" hidden="1" outlineLevel="1">
      <c r="A15" s="252"/>
      <c r="B15" s="252"/>
      <c r="C15" s="4" t="s">
        <v>1234</v>
      </c>
      <c r="D15" s="3" t="s">
        <v>1235</v>
      </c>
      <c r="E15" s="74">
        <v>162536.51999999999</v>
      </c>
      <c r="F15" s="74"/>
      <c r="H15" s="74">
        <v>0</v>
      </c>
      <c r="I15" s="74"/>
      <c r="J15" s="74">
        <f t="shared" si="0"/>
        <v>162536.51999999999</v>
      </c>
      <c r="K15" s="322" t="str">
        <f t="shared" si="1"/>
        <v>n/a</v>
      </c>
    </row>
    <row r="16" spans="1:11" s="76" customFormat="1" collapsed="1">
      <c r="A16" s="252" t="s">
        <v>1236</v>
      </c>
      <c r="B16" s="252">
        <v>-4253.7287522652223</v>
      </c>
      <c r="C16" s="4" t="s">
        <v>827</v>
      </c>
      <c r="D16" s="3" t="s">
        <v>828</v>
      </c>
      <c r="E16" s="74">
        <v>4253720.58</v>
      </c>
      <c r="F16" s="74">
        <f>B16+SUM(E16)/1000</f>
        <v>-8.1722652221287717E-3</v>
      </c>
      <c r="H16" s="74">
        <v>54004672.990000002</v>
      </c>
      <c r="I16" s="74">
        <f>B16+SUM(H16)/1000</f>
        <v>49750.944237734773</v>
      </c>
      <c r="J16" s="74">
        <f t="shared" si="0"/>
        <v>-49750952.410000004</v>
      </c>
      <c r="K16" s="322">
        <f t="shared" si="1"/>
        <v>-0.92123421280992379</v>
      </c>
    </row>
    <row r="17" spans="1:11" s="76" customFormat="1">
      <c r="A17" s="252" t="s">
        <v>1237</v>
      </c>
      <c r="B17" s="252">
        <v>-149333.37622945104</v>
      </c>
      <c r="C17" s="4" t="s">
        <v>331</v>
      </c>
      <c r="D17" s="3" t="s">
        <v>332</v>
      </c>
      <c r="E17" s="74">
        <v>0</v>
      </c>
      <c r="F17" s="333">
        <f>SUM(B17:B28)+SUM(E17:E28)/1000</f>
        <v>4266.10648789673</v>
      </c>
      <c r="H17" s="74">
        <v>0</v>
      </c>
      <c r="I17" s="333">
        <f>SUM(B17:B26)+SUM(H17:H26)/1000</f>
        <v>-76792.46945210328</v>
      </c>
      <c r="J17" s="74">
        <f t="shared" si="0"/>
        <v>0</v>
      </c>
      <c r="K17" s="322" t="str">
        <f t="shared" si="1"/>
        <v>n/a</v>
      </c>
    </row>
    <row r="18" spans="1:11" s="76" customFormat="1">
      <c r="A18" s="252" t="s">
        <v>1410</v>
      </c>
      <c r="B18" s="252">
        <v>-73327.047522652225</v>
      </c>
      <c r="C18" s="4" t="s">
        <v>327</v>
      </c>
      <c r="D18" s="3" t="s">
        <v>328</v>
      </c>
      <c r="E18" s="74">
        <v>215147669.41999999</v>
      </c>
      <c r="F18" s="333"/>
      <c r="H18" s="74">
        <v>132337087.38</v>
      </c>
      <c r="I18" s="333"/>
      <c r="J18" s="74">
        <f t="shared" si="0"/>
        <v>82810582.039999992</v>
      </c>
      <c r="K18" s="322">
        <f t="shared" si="1"/>
        <v>0.62575490876728401</v>
      </c>
    </row>
    <row r="19" spans="1:11" s="76" customFormat="1">
      <c r="A19" s="252" t="s">
        <v>1411</v>
      </c>
      <c r="B19" s="252">
        <v>-10869.27</v>
      </c>
      <c r="C19" s="4" t="s">
        <v>329</v>
      </c>
      <c r="D19" s="3" t="s">
        <v>330</v>
      </c>
      <c r="E19" s="74">
        <v>0</v>
      </c>
      <c r="F19" s="333"/>
      <c r="H19" s="74">
        <v>0</v>
      </c>
      <c r="I19" s="333"/>
      <c r="J19" s="74">
        <f t="shared" si="0"/>
        <v>0</v>
      </c>
      <c r="K19" s="322" t="str">
        <f t="shared" si="1"/>
        <v>n/a</v>
      </c>
    </row>
    <row r="20" spans="1:11" s="76" customFormat="1">
      <c r="A20" s="252"/>
      <c r="B20" s="252"/>
      <c r="C20" s="4" t="s">
        <v>930</v>
      </c>
      <c r="D20" s="3" t="s">
        <v>1258</v>
      </c>
      <c r="E20" s="74">
        <v>21031444.879999999</v>
      </c>
      <c r="F20" s="333"/>
      <c r="H20" s="74">
        <v>17740853.350000001</v>
      </c>
      <c r="I20" s="333"/>
      <c r="J20" s="74">
        <f t="shared" si="0"/>
        <v>3290591.5299999975</v>
      </c>
      <c r="K20" s="322">
        <f t="shared" si="1"/>
        <v>0.1854810174618797</v>
      </c>
    </row>
    <row r="21" spans="1:11" s="76" customFormat="1">
      <c r="A21" s="252"/>
      <c r="B21" s="252"/>
      <c r="C21" s="4" t="s">
        <v>924</v>
      </c>
      <c r="D21" s="3" t="s">
        <v>925</v>
      </c>
      <c r="E21" s="74">
        <v>0</v>
      </c>
      <c r="F21" s="333"/>
      <c r="H21" s="74">
        <v>0</v>
      </c>
      <c r="I21" s="333"/>
      <c r="J21" s="74">
        <f t="shared" si="0"/>
        <v>0</v>
      </c>
      <c r="K21" s="322" t="str">
        <f t="shared" si="1"/>
        <v>n/a</v>
      </c>
    </row>
    <row r="22" spans="1:11" s="76" customFormat="1">
      <c r="A22" s="252"/>
      <c r="B22" s="252"/>
      <c r="C22" s="4" t="s">
        <v>926</v>
      </c>
      <c r="D22" s="3" t="s">
        <v>927</v>
      </c>
      <c r="E22" s="74">
        <v>0</v>
      </c>
      <c r="F22" s="333"/>
      <c r="H22" s="74">
        <v>0</v>
      </c>
      <c r="I22" s="333"/>
      <c r="J22" s="74">
        <f t="shared" si="0"/>
        <v>0</v>
      </c>
      <c r="K22" s="322" t="str">
        <f t="shared" si="1"/>
        <v>n/a</v>
      </c>
    </row>
    <row r="23" spans="1:11" s="76" customFormat="1">
      <c r="A23" s="252"/>
      <c r="B23" s="252"/>
      <c r="C23" s="4" t="s">
        <v>932</v>
      </c>
      <c r="D23" s="3" t="s">
        <v>933</v>
      </c>
      <c r="E23" s="74">
        <v>0</v>
      </c>
      <c r="F23" s="333"/>
      <c r="H23" s="74">
        <v>6659283.5700000003</v>
      </c>
      <c r="I23" s="333"/>
      <c r="J23" s="74">
        <f t="shared" si="0"/>
        <v>-6659283.5700000003</v>
      </c>
      <c r="K23" s="322">
        <f t="shared" si="1"/>
        <v>-1</v>
      </c>
    </row>
    <row r="24" spans="1:11" s="76" customFormat="1">
      <c r="A24" s="252"/>
      <c r="B24" s="252"/>
      <c r="C24" s="4" t="s">
        <v>928</v>
      </c>
      <c r="D24" s="3" t="s">
        <v>929</v>
      </c>
      <c r="E24" s="74">
        <v>13134455.880000001</v>
      </c>
      <c r="F24" s="333"/>
      <c r="H24" s="74">
        <v>14744959.619999999</v>
      </c>
      <c r="I24" s="333"/>
      <c r="J24" s="74">
        <f t="shared" si="0"/>
        <v>-1610503.7399999984</v>
      </c>
      <c r="K24" s="322">
        <f t="shared" si="1"/>
        <v>-0.10922401834288635</v>
      </c>
    </row>
    <row r="25" spans="1:11" s="76" customFormat="1">
      <c r="A25" s="252"/>
      <c r="B25" s="252"/>
      <c r="C25" s="3" t="s">
        <v>920</v>
      </c>
      <c r="D25" s="3" t="s">
        <v>921</v>
      </c>
      <c r="E25" s="74">
        <v>5157930.99</v>
      </c>
      <c r="F25" s="333"/>
      <c r="H25" s="74">
        <v>5174359.97</v>
      </c>
      <c r="I25" s="333"/>
      <c r="J25" s="74">
        <f t="shared" si="0"/>
        <v>-16428.979999999516</v>
      </c>
      <c r="K25" s="322">
        <f t="shared" si="1"/>
        <v>-3.1750748102667308E-3</v>
      </c>
    </row>
    <row r="26" spans="1:11" s="76" customFormat="1">
      <c r="A26" s="252"/>
      <c r="B26" s="252"/>
      <c r="C26" s="3" t="s">
        <v>922</v>
      </c>
      <c r="D26" s="3" t="s">
        <v>923</v>
      </c>
      <c r="E26" s="74">
        <v>-18292386.870000001</v>
      </c>
      <c r="F26" s="333"/>
      <c r="H26" s="74">
        <v>-19919319.59</v>
      </c>
      <c r="I26" s="333"/>
      <c r="J26" s="74">
        <f t="shared" si="0"/>
        <v>1626932.7199999988</v>
      </c>
      <c r="K26" s="322">
        <f t="shared" si="1"/>
        <v>-8.1676119138966982E-2</v>
      </c>
    </row>
    <row r="27" spans="1:11" s="76" customFormat="1">
      <c r="A27" s="252"/>
      <c r="B27" s="252"/>
      <c r="C27" s="4" t="s">
        <v>701</v>
      </c>
      <c r="D27" s="3" t="s">
        <v>702</v>
      </c>
      <c r="E27" s="74">
        <v>-14849.32</v>
      </c>
      <c r="F27" s="333"/>
      <c r="H27" s="74">
        <v>0</v>
      </c>
      <c r="I27" s="74">
        <f>SUM(B32)+SUM(H27)/1000</f>
        <v>-1561.9499999999998</v>
      </c>
      <c r="J27" s="74">
        <f>E32-H27</f>
        <v>0</v>
      </c>
      <c r="K27" s="322" t="str">
        <f>IFERROR(J27/H27,"n/a")</f>
        <v>n/a</v>
      </c>
    </row>
    <row r="28" spans="1:11" s="76" customFormat="1">
      <c r="A28" s="252"/>
      <c r="B28" s="252"/>
      <c r="C28" s="4" t="s">
        <v>747</v>
      </c>
      <c r="D28" s="3" t="s">
        <v>748</v>
      </c>
      <c r="E28" s="74">
        <v>1631535.26</v>
      </c>
      <c r="F28" s="333"/>
      <c r="H28" s="74">
        <v>-9198.61</v>
      </c>
      <c r="I28" s="74" t="e">
        <f>SUM(#REF!)+SUM(H28:H32)/1000</f>
        <v>#REF!</v>
      </c>
      <c r="J28" s="74">
        <f>E27-H28</f>
        <v>-5650.7099999999991</v>
      </c>
      <c r="K28" s="322">
        <f>IFERROR(J28/H28,"n/a")</f>
        <v>0.61430042147672304</v>
      </c>
    </row>
    <row r="29" spans="1:11" s="76" customFormat="1">
      <c r="A29" s="252" t="s">
        <v>1253</v>
      </c>
      <c r="B29" s="252">
        <v>-2717.09</v>
      </c>
      <c r="C29" s="4"/>
      <c r="D29" s="3"/>
      <c r="E29" s="74">
        <v>0</v>
      </c>
      <c r="F29" s="74">
        <f>SUM(B29:B29)+SUM(E29:E29)/1000</f>
        <v>-2717.09</v>
      </c>
      <c r="H29" s="74">
        <v>0</v>
      </c>
      <c r="I29" s="74">
        <f>SUM(B29:B29)+SUM(H29:H29)/1000</f>
        <v>-2717.09</v>
      </c>
      <c r="J29" s="74">
        <f t="shared" si="0"/>
        <v>0</v>
      </c>
      <c r="K29" s="322" t="str">
        <f t="shared" si="1"/>
        <v>n/a</v>
      </c>
    </row>
    <row r="30" spans="1:11" s="76" customFormat="1">
      <c r="A30" s="252" t="s">
        <v>1414</v>
      </c>
      <c r="B30" s="252">
        <v>-4279.04</v>
      </c>
      <c r="C30" s="4"/>
      <c r="D30" s="3"/>
      <c r="E30" s="74">
        <v>0</v>
      </c>
      <c r="F30" s="74"/>
      <c r="H30" s="74">
        <v>0</v>
      </c>
      <c r="I30" s="74"/>
      <c r="J30" s="74">
        <f t="shared" si="0"/>
        <v>0</v>
      </c>
      <c r="K30" s="322" t="str">
        <f t="shared" si="1"/>
        <v>n/a</v>
      </c>
    </row>
    <row r="31" spans="1:11" s="76" customFormat="1">
      <c r="A31" s="252" t="s">
        <v>1415</v>
      </c>
      <c r="B31" s="252">
        <v>2717.09</v>
      </c>
      <c r="C31" s="4"/>
      <c r="D31" s="3"/>
      <c r="E31" s="74">
        <v>0</v>
      </c>
      <c r="F31" s="74"/>
      <c r="H31" s="74">
        <v>0</v>
      </c>
      <c r="I31" s="74"/>
      <c r="J31" s="74">
        <f t="shared" si="0"/>
        <v>0</v>
      </c>
      <c r="K31" s="322" t="str">
        <f t="shared" si="1"/>
        <v>n/a</v>
      </c>
    </row>
    <row r="32" spans="1:11" s="76" customFormat="1">
      <c r="A32" s="252" t="s">
        <v>1241</v>
      </c>
      <c r="B32" s="252">
        <f>SUBTOTAL(9,B30:B31)</f>
        <v>-1561.9499999999998</v>
      </c>
      <c r="C32" s="4"/>
      <c r="D32" s="3"/>
      <c r="E32" s="74">
        <v>0</v>
      </c>
      <c r="F32" s="74">
        <f>SUM(B32)+SUM(E32)/1000</f>
        <v>-1561.9499999999998</v>
      </c>
    </row>
    <row r="33" spans="1:11" s="76" customFormat="1">
      <c r="A33" s="252" t="s">
        <v>1238</v>
      </c>
      <c r="B33" s="252">
        <v>834.34666666666692</v>
      </c>
      <c r="C33" s="4" t="s">
        <v>347</v>
      </c>
      <c r="D33" s="3" t="s">
        <v>348</v>
      </c>
      <c r="E33" s="74">
        <v>-834332.98</v>
      </c>
      <c r="F33" s="74">
        <f>SUM(B33:B35)+SUM(E33:E35)/1000</f>
        <v>1.3686666666899328E-2</v>
      </c>
      <c r="H33" s="74">
        <v>-1764214.58</v>
      </c>
      <c r="I33" s="74">
        <f>SUM(B33:B35)+SUM(H33:H35)/1000</f>
        <v>-929.86791333333315</v>
      </c>
      <c r="J33" s="74">
        <f t="shared" si="0"/>
        <v>929881.60000000009</v>
      </c>
      <c r="K33" s="322">
        <f t="shared" si="1"/>
        <v>-0.52707964810040286</v>
      </c>
    </row>
    <row r="34" spans="1:11" s="76" customFormat="1" hidden="1" outlineLevel="1">
      <c r="A34" s="252"/>
      <c r="B34" s="252"/>
      <c r="C34" s="4" t="s">
        <v>349</v>
      </c>
      <c r="D34" s="3" t="s">
        <v>350</v>
      </c>
      <c r="E34" s="74">
        <v>0</v>
      </c>
      <c r="F34" s="74"/>
      <c r="H34" s="74">
        <v>0</v>
      </c>
      <c r="I34" s="74"/>
      <c r="J34" s="74">
        <f t="shared" si="0"/>
        <v>0</v>
      </c>
      <c r="K34" s="322" t="str">
        <f t="shared" si="1"/>
        <v>n/a</v>
      </c>
    </row>
    <row r="35" spans="1:11" s="76" customFormat="1" hidden="1" outlineLevel="1">
      <c r="A35" s="252"/>
      <c r="B35" s="252"/>
      <c r="C35" s="4" t="s">
        <v>352</v>
      </c>
      <c r="D35" s="3" t="s">
        <v>353</v>
      </c>
      <c r="E35" s="74">
        <v>0</v>
      </c>
      <c r="F35" s="74"/>
      <c r="H35" s="74">
        <v>0</v>
      </c>
      <c r="I35" s="74"/>
      <c r="J35" s="74">
        <f t="shared" si="0"/>
        <v>0</v>
      </c>
      <c r="K35" s="322" t="str">
        <f t="shared" si="1"/>
        <v>n/a</v>
      </c>
    </row>
    <row r="36" spans="1:11" s="76" customFormat="1" collapsed="1">
      <c r="A36" s="252" t="s">
        <v>1239</v>
      </c>
      <c r="B36" s="252">
        <v>-1113.2733333333333</v>
      </c>
      <c r="C36" s="3" t="s">
        <v>356</v>
      </c>
      <c r="D36" s="3" t="s">
        <v>357</v>
      </c>
      <c r="E36" s="74">
        <v>1716450.51</v>
      </c>
      <c r="F36" s="74">
        <f>SUM(B36:B40)+SUM(E36:E40)/1000</f>
        <v>-9.5533333333150949E-3</v>
      </c>
      <c r="H36" s="74">
        <v>1117590.8700000001</v>
      </c>
      <c r="I36" s="74">
        <f>SUM(B36:B40)+SUM(H36:H40)/1000</f>
        <v>943.22835666666674</v>
      </c>
      <c r="J36" s="74">
        <f t="shared" si="0"/>
        <v>598859.6399999999</v>
      </c>
      <c r="K36" s="322">
        <f t="shared" si="1"/>
        <v>0.53584872252938132</v>
      </c>
    </row>
    <row r="37" spans="1:11" s="76" customFormat="1" hidden="1" outlineLevel="1">
      <c r="A37" s="252"/>
      <c r="B37" s="252"/>
      <c r="C37" s="4" t="s">
        <v>358</v>
      </c>
      <c r="D37" s="3" t="s">
        <v>359</v>
      </c>
      <c r="E37" s="74">
        <v>-916643.22</v>
      </c>
      <c r="F37" s="74"/>
      <c r="H37" s="74">
        <v>-465840.15</v>
      </c>
      <c r="I37" s="74"/>
      <c r="J37" s="74">
        <f t="shared" si="0"/>
        <v>-450803.06999999995</v>
      </c>
      <c r="K37" s="322">
        <f t="shared" si="1"/>
        <v>0.96772051528834502</v>
      </c>
    </row>
    <row r="38" spans="1:11" s="76" customFormat="1" hidden="1" outlineLevel="1">
      <c r="A38" s="252"/>
      <c r="B38" s="252"/>
      <c r="C38" s="4" t="s">
        <v>362</v>
      </c>
      <c r="D38" s="3" t="s">
        <v>363</v>
      </c>
      <c r="E38" s="74">
        <v>-1376524.85</v>
      </c>
      <c r="F38" s="74"/>
      <c r="H38" s="74">
        <v>475216.52</v>
      </c>
      <c r="I38" s="74"/>
      <c r="J38" s="74">
        <f t="shared" si="0"/>
        <v>-1851741.37</v>
      </c>
      <c r="K38" s="322">
        <f t="shared" si="1"/>
        <v>-3.8966266787189974</v>
      </c>
    </row>
    <row r="39" spans="1:11" s="76" customFormat="1" hidden="1" outlineLevel="1">
      <c r="A39" s="252"/>
      <c r="B39" s="252"/>
      <c r="C39" s="4" t="s">
        <v>364</v>
      </c>
      <c r="D39" s="3" t="s">
        <v>365</v>
      </c>
      <c r="E39" s="74">
        <v>0</v>
      </c>
      <c r="F39" s="74"/>
      <c r="H39" s="74">
        <v>0</v>
      </c>
      <c r="I39" s="74"/>
      <c r="J39" s="74">
        <f t="shared" si="0"/>
        <v>0</v>
      </c>
      <c r="K39" s="322" t="str">
        <f t="shared" si="1"/>
        <v>n/a</v>
      </c>
    </row>
    <row r="40" spans="1:11" s="76" customFormat="1" hidden="1" outlineLevel="1">
      <c r="A40" s="252"/>
      <c r="B40" s="252"/>
      <c r="C40" s="4" t="s">
        <v>368</v>
      </c>
      <c r="D40" s="3" t="s">
        <v>369</v>
      </c>
      <c r="E40" s="74">
        <v>1689981.34</v>
      </c>
      <c r="F40" s="74"/>
      <c r="H40" s="74">
        <v>929534.45</v>
      </c>
      <c r="I40" s="74"/>
      <c r="J40" s="74">
        <f t="shared" si="0"/>
        <v>760446.89000000013</v>
      </c>
      <c r="K40" s="322">
        <f t="shared" si="1"/>
        <v>0.81809435895571181</v>
      </c>
    </row>
    <row r="41" spans="1:11" s="76" customFormat="1" collapsed="1">
      <c r="A41" s="252" t="s">
        <v>1240</v>
      </c>
      <c r="B41" s="252">
        <v>-14641.36</v>
      </c>
      <c r="C41" s="4" t="s">
        <v>371</v>
      </c>
      <c r="D41" s="3" t="s">
        <v>372</v>
      </c>
      <c r="E41" s="74">
        <v>-196638.8</v>
      </c>
      <c r="F41" s="74">
        <f>SUM(B41:B42)+SUM(E41:E42)/1000</f>
        <v>1.1999999987892807E-3</v>
      </c>
      <c r="H41" s="74">
        <v>0</v>
      </c>
      <c r="I41" s="74">
        <f>SUM(B41:B42)+SUM(H41:H42)/1000</f>
        <v>-11388.36</v>
      </c>
      <c r="J41" s="74">
        <f t="shared" si="0"/>
        <v>-196638.8</v>
      </c>
      <c r="K41" s="322" t="str">
        <f t="shared" si="1"/>
        <v>n/a</v>
      </c>
    </row>
    <row r="42" spans="1:11" s="76" customFormat="1" hidden="1" outlineLevel="1">
      <c r="A42" s="252"/>
      <c r="B42" s="252"/>
      <c r="C42" s="4" t="s">
        <v>779</v>
      </c>
      <c r="D42" s="3" t="s">
        <v>780</v>
      </c>
      <c r="E42" s="74">
        <v>14838000</v>
      </c>
      <c r="F42" s="74"/>
      <c r="H42" s="74">
        <v>3253000</v>
      </c>
      <c r="I42" s="74"/>
      <c r="J42" s="74">
        <f t="shared" si="0"/>
        <v>11585000</v>
      </c>
      <c r="K42" s="322">
        <f t="shared" si="1"/>
        <v>3.5613280049185367</v>
      </c>
    </row>
    <row r="43" spans="1:11" s="76" customFormat="1" collapsed="1">
      <c r="A43" s="252" t="s">
        <v>1242</v>
      </c>
      <c r="B43" s="252">
        <v>-10607.483183416694</v>
      </c>
      <c r="C43" s="3" t="s">
        <v>374</v>
      </c>
      <c r="D43" s="3" t="s">
        <v>375</v>
      </c>
      <c r="E43" s="74">
        <v>9555909.9800000004</v>
      </c>
      <c r="F43" s="74">
        <f>SUM(B43:B46)+SUM(E43:E46)/1000</f>
        <v>-0.57068341669400979</v>
      </c>
      <c r="H43" s="74">
        <v>4818609.32</v>
      </c>
      <c r="I43" s="74">
        <f>SUM(B43:B46)+SUM(H43:H46)/1000</f>
        <v>-3593.3858034166942</v>
      </c>
      <c r="J43" s="74">
        <f t="shared" si="0"/>
        <v>4737300.66</v>
      </c>
      <c r="K43" s="322">
        <f t="shared" si="1"/>
        <v>0.98312611490155</v>
      </c>
    </row>
    <row r="44" spans="1:11" s="76" customFormat="1" hidden="1" outlineLevel="1">
      <c r="A44" s="252"/>
      <c r="B44" s="252"/>
      <c r="C44" s="4" t="s">
        <v>377</v>
      </c>
      <c r="D44" s="3" t="s">
        <v>378</v>
      </c>
      <c r="E44" s="74">
        <v>975177.52</v>
      </c>
      <c r="F44" s="74"/>
      <c r="H44" s="74">
        <v>1277813.25</v>
      </c>
      <c r="I44" s="74"/>
      <c r="J44" s="74">
        <f t="shared" si="0"/>
        <v>-302635.73</v>
      </c>
      <c r="K44" s="322">
        <f t="shared" si="1"/>
        <v>-0.23683877906258993</v>
      </c>
    </row>
    <row r="45" spans="1:11" s="76" customFormat="1" hidden="1" outlineLevel="1">
      <c r="A45" s="252"/>
      <c r="B45" s="252"/>
      <c r="C45" s="3" t="s">
        <v>380</v>
      </c>
      <c r="D45" s="3" t="s">
        <v>381</v>
      </c>
      <c r="E45" s="74">
        <v>0</v>
      </c>
      <c r="F45" s="74"/>
      <c r="H45" s="74">
        <v>837743.35</v>
      </c>
      <c r="I45" s="74"/>
      <c r="J45" s="74">
        <f t="shared" si="0"/>
        <v>-837743.35</v>
      </c>
      <c r="K45" s="322">
        <f t="shared" si="1"/>
        <v>-1</v>
      </c>
    </row>
    <row r="46" spans="1:11" s="76" customFormat="1" hidden="1" outlineLevel="1">
      <c r="A46" s="252"/>
      <c r="B46" s="252"/>
      <c r="C46" s="4" t="s">
        <v>384</v>
      </c>
      <c r="D46" s="3" t="s">
        <v>385</v>
      </c>
      <c r="E46" s="74">
        <v>75825</v>
      </c>
      <c r="F46" s="74"/>
      <c r="H46" s="74">
        <v>79931.460000000006</v>
      </c>
      <c r="I46" s="74"/>
      <c r="J46" s="74">
        <f t="shared" si="0"/>
        <v>-4106.4600000000064</v>
      </c>
      <c r="K46" s="322">
        <f t="shared" si="1"/>
        <v>-5.137476533019672E-2</v>
      </c>
    </row>
    <row r="47" spans="1:11" s="76" customFormat="1" collapsed="1">
      <c r="A47" s="252" t="s">
        <v>1427</v>
      </c>
      <c r="B47" s="252">
        <v>3738.2599999999998</v>
      </c>
      <c r="C47" s="4" t="s">
        <v>393</v>
      </c>
      <c r="D47" s="3" t="s">
        <v>394</v>
      </c>
      <c r="E47" s="74">
        <v>-100561.11</v>
      </c>
      <c r="F47" s="74">
        <f>SUM(B47:B48)+SUM(E47:E48)/1000</f>
        <v>-3240.0072100000002</v>
      </c>
      <c r="G47" s="76" t="s">
        <v>1432</v>
      </c>
      <c r="H47" s="74">
        <v>0</v>
      </c>
      <c r="I47" s="74">
        <f>SUM(B47:B48)+SUM(H47:H48)/1000</f>
        <v>-380.23050999999987</v>
      </c>
      <c r="J47" s="74">
        <f t="shared" si="0"/>
        <v>-100561.11</v>
      </c>
      <c r="K47" s="322" t="str">
        <f t="shared" si="1"/>
        <v>n/a</v>
      </c>
    </row>
    <row r="48" spans="1:11" s="76" customFormat="1" hidden="1" outlineLevel="1">
      <c r="A48" s="252"/>
      <c r="B48" s="252"/>
      <c r="C48" s="4" t="s">
        <v>391</v>
      </c>
      <c r="D48" s="3" t="s">
        <v>392</v>
      </c>
      <c r="E48" s="74">
        <v>-6877706.0999999996</v>
      </c>
      <c r="F48" s="74"/>
      <c r="H48" s="74">
        <v>-4118490.51</v>
      </c>
      <c r="I48" s="74"/>
      <c r="J48" s="74">
        <f t="shared" si="0"/>
        <v>-2759215.59</v>
      </c>
      <c r="K48" s="322">
        <f t="shared" si="1"/>
        <v>0.66995798176550858</v>
      </c>
    </row>
    <row r="49" spans="1:11" s="76" customFormat="1" collapsed="1">
      <c r="A49" s="252" t="s">
        <v>1243</v>
      </c>
      <c r="B49" s="252">
        <v>-14433.456666666669</v>
      </c>
      <c r="C49" s="4" t="s">
        <v>755</v>
      </c>
      <c r="D49" s="3" t="s">
        <v>756</v>
      </c>
      <c r="E49" s="74">
        <v>6695516.8899999997</v>
      </c>
      <c r="F49" s="74">
        <f>SUM(B49:B56)+SUM(E49:E56)/1000</f>
        <v>-325.77773666666872</v>
      </c>
      <c r="G49" s="76" t="s">
        <v>1434</v>
      </c>
      <c r="H49" s="74">
        <v>6797100.9199999999</v>
      </c>
      <c r="I49" s="74">
        <f>SUM(B49:B56)+SUM(H49:H56)/1000</f>
        <v>-350.75466666666944</v>
      </c>
      <c r="J49" s="74">
        <f t="shared" si="0"/>
        <v>-101584.03000000026</v>
      </c>
      <c r="K49" s="322">
        <f t="shared" si="1"/>
        <v>-1.4945199607246712E-2</v>
      </c>
    </row>
    <row r="50" spans="1:11" s="76" customFormat="1" hidden="1" outlineLevel="1">
      <c r="A50" s="252"/>
      <c r="B50" s="252"/>
      <c r="C50" s="4" t="s">
        <v>759</v>
      </c>
      <c r="D50" s="3" t="s">
        <v>760</v>
      </c>
      <c r="E50" s="74">
        <v>6722854.3600000003</v>
      </c>
      <c r="F50" s="74"/>
      <c r="H50" s="74">
        <v>6611323.25</v>
      </c>
      <c r="I50" s="74"/>
      <c r="J50" s="74">
        <f t="shared" si="0"/>
        <v>111531.11000000034</v>
      </c>
      <c r="K50" s="322">
        <f t="shared" si="1"/>
        <v>1.686971061352965E-2</v>
      </c>
    </row>
    <row r="51" spans="1:11" s="76" customFormat="1" hidden="1" outlineLevel="1">
      <c r="A51" s="252"/>
      <c r="B51" s="252"/>
      <c r="C51" s="4" t="s">
        <v>761</v>
      </c>
      <c r="D51" s="3" t="s">
        <v>762</v>
      </c>
      <c r="E51" s="74">
        <v>102608</v>
      </c>
      <c r="F51" s="74"/>
      <c r="H51" s="74">
        <v>87578.15</v>
      </c>
      <c r="I51" s="74"/>
      <c r="J51" s="74">
        <f t="shared" si="0"/>
        <v>15029.850000000006</v>
      </c>
      <c r="K51" s="322">
        <f t="shared" si="1"/>
        <v>0.17161643629147233</v>
      </c>
    </row>
    <row r="52" spans="1:11" s="76" customFormat="1" hidden="1" outlineLevel="1">
      <c r="A52" s="252"/>
      <c r="B52" s="252"/>
      <c r="C52" s="4" t="s">
        <v>757</v>
      </c>
      <c r="D52" s="3" t="s">
        <v>758</v>
      </c>
      <c r="E52" s="74">
        <v>0</v>
      </c>
      <c r="F52" s="74"/>
      <c r="H52" s="74">
        <v>0</v>
      </c>
      <c r="I52" s="74"/>
      <c r="J52" s="74">
        <f t="shared" si="0"/>
        <v>0</v>
      </c>
      <c r="K52" s="322" t="str">
        <f t="shared" si="1"/>
        <v>n/a</v>
      </c>
    </row>
    <row r="53" spans="1:11" s="76" customFormat="1" hidden="1" outlineLevel="1">
      <c r="A53" s="252"/>
      <c r="B53" s="252"/>
      <c r="C53" s="4" t="s">
        <v>767</v>
      </c>
      <c r="D53" s="3" t="s">
        <v>768</v>
      </c>
      <c r="E53" s="74">
        <v>0</v>
      </c>
      <c r="F53" s="74"/>
      <c r="H53" s="74">
        <v>0</v>
      </c>
      <c r="I53" s="74"/>
      <c r="J53" s="74">
        <f t="shared" si="0"/>
        <v>0</v>
      </c>
      <c r="K53" s="322" t="str">
        <f t="shared" si="1"/>
        <v>n/a</v>
      </c>
    </row>
    <row r="54" spans="1:11" s="76" customFormat="1" hidden="1" outlineLevel="1">
      <c r="A54" s="252"/>
      <c r="B54" s="252"/>
      <c r="C54" s="4" t="s">
        <v>765</v>
      </c>
      <c r="D54" s="3" t="s">
        <v>766</v>
      </c>
      <c r="E54" s="74">
        <v>554460.66</v>
      </c>
      <c r="F54" s="74"/>
      <c r="H54" s="74">
        <v>554460.66</v>
      </c>
      <c r="I54" s="74"/>
      <c r="J54" s="74">
        <f t="shared" si="0"/>
        <v>0</v>
      </c>
      <c r="K54" s="322">
        <f t="shared" si="1"/>
        <v>0</v>
      </c>
    </row>
    <row r="55" spans="1:11" s="76" customFormat="1" hidden="1" outlineLevel="1">
      <c r="A55" s="252"/>
      <c r="B55" s="252"/>
      <c r="C55" s="4" t="s">
        <v>769</v>
      </c>
      <c r="D55" s="3" t="s">
        <v>770</v>
      </c>
      <c r="E55" s="74">
        <v>32239.02</v>
      </c>
      <c r="F55" s="74"/>
      <c r="H55" s="74">
        <v>32239.02</v>
      </c>
      <c r="I55" s="74"/>
      <c r="J55" s="74">
        <f t="shared" si="0"/>
        <v>0</v>
      </c>
      <c r="K55" s="322">
        <f t="shared" si="1"/>
        <v>0</v>
      </c>
    </row>
    <row r="56" spans="1:11" s="76" customFormat="1" hidden="1" outlineLevel="1">
      <c r="A56" s="252"/>
      <c r="B56" s="252"/>
      <c r="C56" s="4" t="s">
        <v>775</v>
      </c>
      <c r="D56" s="3" t="s">
        <v>776</v>
      </c>
      <c r="E56" s="74">
        <v>0</v>
      </c>
      <c r="F56" s="74"/>
      <c r="H56" s="74">
        <v>0</v>
      </c>
      <c r="I56" s="74"/>
      <c r="J56" s="74">
        <f t="shared" si="0"/>
        <v>0</v>
      </c>
      <c r="K56" s="322" t="str">
        <f t="shared" si="1"/>
        <v>n/a</v>
      </c>
    </row>
    <row r="57" spans="1:11" s="76" customFormat="1" collapsed="1">
      <c r="A57" s="252" t="s">
        <v>1244</v>
      </c>
      <c r="B57" s="252">
        <v>-18193.807431982434</v>
      </c>
      <c r="C57" s="4" t="s">
        <v>453</v>
      </c>
      <c r="D57" s="3" t="s">
        <v>454</v>
      </c>
      <c r="E57" s="74">
        <v>0</v>
      </c>
      <c r="F57" s="74">
        <f>SUM(B57:B121)+SUM(E57:E121)/1000</f>
        <v>-1755.4301819824323</v>
      </c>
      <c r="H57" s="74">
        <v>0</v>
      </c>
      <c r="I57" s="74">
        <f>SUM(B57:B121)+SUM(H57:H121)/1000</f>
        <v>-723.97147198243692</v>
      </c>
      <c r="J57" s="74">
        <f t="shared" si="0"/>
        <v>0</v>
      </c>
      <c r="K57" s="322" t="str">
        <f t="shared" si="1"/>
        <v>n/a</v>
      </c>
    </row>
    <row r="58" spans="1:11" s="76" customFormat="1" hidden="1" outlineLevel="1">
      <c r="A58" s="252"/>
      <c r="B58" s="252"/>
      <c r="C58" s="4" t="s">
        <v>461</v>
      </c>
      <c r="D58" s="3" t="s">
        <v>462</v>
      </c>
      <c r="E58" s="74">
        <v>126273</v>
      </c>
      <c r="F58" s="74"/>
      <c r="H58" s="74">
        <v>101788.4</v>
      </c>
      <c r="I58" s="74"/>
      <c r="J58" s="74">
        <f t="shared" si="0"/>
        <v>24484.600000000006</v>
      </c>
      <c r="K58" s="322">
        <f t="shared" si="1"/>
        <v>0.240544109151927</v>
      </c>
    </row>
    <row r="59" spans="1:11" s="76" customFormat="1" hidden="1" outlineLevel="1">
      <c r="A59" s="252"/>
      <c r="B59" s="252"/>
      <c r="C59" s="4" t="s">
        <v>457</v>
      </c>
      <c r="D59" s="3" t="s">
        <v>458</v>
      </c>
      <c r="E59" s="74">
        <v>412502.25</v>
      </c>
      <c r="F59" s="74"/>
      <c r="H59" s="74">
        <v>337501.35</v>
      </c>
      <c r="I59" s="74"/>
      <c r="J59" s="74">
        <f t="shared" si="0"/>
        <v>75000.900000000023</v>
      </c>
      <c r="K59" s="322">
        <f t="shared" si="1"/>
        <v>0.222223999992889</v>
      </c>
    </row>
    <row r="60" spans="1:11" s="76" customFormat="1" hidden="1" outlineLevel="1">
      <c r="A60" s="252"/>
      <c r="B60" s="252"/>
      <c r="C60" s="4" t="s">
        <v>455</v>
      </c>
      <c r="D60" s="3" t="s">
        <v>456</v>
      </c>
      <c r="E60" s="74">
        <v>1505399.13</v>
      </c>
      <c r="F60" s="74"/>
      <c r="H60" s="74">
        <v>827508.05</v>
      </c>
      <c r="I60" s="74"/>
      <c r="J60" s="74">
        <f t="shared" si="0"/>
        <v>677891.07999999984</v>
      </c>
      <c r="K60" s="322">
        <f t="shared" si="1"/>
        <v>0.81919575283889967</v>
      </c>
    </row>
    <row r="61" spans="1:11" s="76" customFormat="1" hidden="1" outlineLevel="1">
      <c r="A61" s="252"/>
      <c r="B61" s="252"/>
      <c r="C61" s="4" t="s">
        <v>459</v>
      </c>
      <c r="D61" s="3" t="s">
        <v>460</v>
      </c>
      <c r="E61" s="74">
        <v>1174131.25</v>
      </c>
      <c r="F61" s="74"/>
      <c r="H61" s="74">
        <v>1178141.8</v>
      </c>
      <c r="I61" s="74"/>
      <c r="J61" s="74">
        <f t="shared" si="0"/>
        <v>-4010.5500000000466</v>
      </c>
      <c r="K61" s="322">
        <f t="shared" si="1"/>
        <v>-3.4041318286135392E-3</v>
      </c>
    </row>
    <row r="62" spans="1:11" s="76" customFormat="1" hidden="1" outlineLevel="1">
      <c r="A62" s="252"/>
      <c r="B62" s="252"/>
      <c r="C62" s="4" t="s">
        <v>469</v>
      </c>
      <c r="D62" s="3" t="s">
        <v>470</v>
      </c>
      <c r="E62" s="74">
        <v>0</v>
      </c>
      <c r="F62" s="74"/>
      <c r="H62" s="74">
        <v>0</v>
      </c>
      <c r="I62" s="74"/>
      <c r="J62" s="74">
        <f t="shared" si="0"/>
        <v>0</v>
      </c>
      <c r="K62" s="322" t="str">
        <f t="shared" si="1"/>
        <v>n/a</v>
      </c>
    </row>
    <row r="63" spans="1:11" s="76" customFormat="1" hidden="1" outlineLevel="1">
      <c r="A63" s="252"/>
      <c r="B63" s="252"/>
      <c r="C63" s="4" t="s">
        <v>463</v>
      </c>
      <c r="D63" s="3" t="s">
        <v>464</v>
      </c>
      <c r="E63" s="74">
        <v>0</v>
      </c>
      <c r="F63" s="74"/>
      <c r="H63" s="74">
        <v>215078.3</v>
      </c>
      <c r="I63" s="74"/>
      <c r="J63" s="74">
        <f t="shared" si="0"/>
        <v>-215078.3</v>
      </c>
      <c r="K63" s="322">
        <f t="shared" si="1"/>
        <v>-1</v>
      </c>
    </row>
    <row r="64" spans="1:11" s="76" customFormat="1" hidden="1" outlineLevel="1">
      <c r="A64" s="252"/>
      <c r="B64" s="252"/>
      <c r="C64" s="4" t="s">
        <v>465</v>
      </c>
      <c r="D64" s="3" t="s">
        <v>466</v>
      </c>
      <c r="E64" s="74">
        <v>85615.74</v>
      </c>
      <c r="F64" s="74"/>
      <c r="H64" s="74">
        <v>64858.44</v>
      </c>
      <c r="I64" s="74"/>
      <c r="J64" s="74">
        <f t="shared" si="0"/>
        <v>20757.300000000003</v>
      </c>
      <c r="K64" s="322">
        <f t="shared" si="1"/>
        <v>0.32004007496942577</v>
      </c>
    </row>
    <row r="65" spans="1:11" s="76" customFormat="1" hidden="1" outlineLevel="1">
      <c r="A65" s="252"/>
      <c r="B65" s="252"/>
      <c r="C65" s="4" t="s">
        <v>497</v>
      </c>
      <c r="D65" s="3" t="s">
        <v>498</v>
      </c>
      <c r="E65" s="74">
        <v>0</v>
      </c>
      <c r="F65" s="74"/>
      <c r="H65" s="74">
        <v>0</v>
      </c>
      <c r="I65" s="74"/>
      <c r="J65" s="74">
        <f t="shared" si="0"/>
        <v>0</v>
      </c>
      <c r="K65" s="322" t="str">
        <f t="shared" si="1"/>
        <v>n/a</v>
      </c>
    </row>
    <row r="66" spans="1:11" s="76" customFormat="1" hidden="1" outlineLevel="1">
      <c r="A66" s="252"/>
      <c r="B66" s="252"/>
      <c r="C66" s="4" t="s">
        <v>481</v>
      </c>
      <c r="D66" s="3" t="s">
        <v>482</v>
      </c>
      <c r="E66" s="74">
        <v>0</v>
      </c>
      <c r="F66" s="74"/>
      <c r="H66" s="74">
        <v>0</v>
      </c>
      <c r="I66" s="74"/>
      <c r="J66" s="74">
        <f t="shared" si="0"/>
        <v>0</v>
      </c>
      <c r="K66" s="322" t="str">
        <f t="shared" si="1"/>
        <v>n/a</v>
      </c>
    </row>
    <row r="67" spans="1:11" s="76" customFormat="1" hidden="1" outlineLevel="1">
      <c r="A67" s="252"/>
      <c r="B67" s="252"/>
      <c r="C67" s="4" t="s">
        <v>477</v>
      </c>
      <c r="D67" s="3" t="s">
        <v>478</v>
      </c>
      <c r="E67" s="74">
        <v>0</v>
      </c>
      <c r="F67" s="74"/>
      <c r="H67" s="74">
        <v>0</v>
      </c>
      <c r="I67" s="74"/>
      <c r="J67" s="74">
        <f t="shared" ref="J67:J130" si="2">E67-H67</f>
        <v>0</v>
      </c>
      <c r="K67" s="322" t="str">
        <f t="shared" si="1"/>
        <v>n/a</v>
      </c>
    </row>
    <row r="68" spans="1:11" s="76" customFormat="1" hidden="1" outlineLevel="1">
      <c r="A68" s="252"/>
      <c r="B68" s="252"/>
      <c r="C68" s="4" t="s">
        <v>501</v>
      </c>
      <c r="D68" s="3" t="s">
        <v>502</v>
      </c>
      <c r="E68" s="74">
        <v>0</v>
      </c>
      <c r="F68" s="74"/>
      <c r="H68" s="74">
        <v>0</v>
      </c>
      <c r="I68" s="74"/>
      <c r="J68" s="74">
        <f t="shared" si="2"/>
        <v>0</v>
      </c>
      <c r="K68" s="322" t="str">
        <f t="shared" ref="K68:K131" si="3">IFERROR(J68/H68,"n/a")</f>
        <v>n/a</v>
      </c>
    </row>
    <row r="69" spans="1:11" s="76" customFormat="1" hidden="1" outlineLevel="1">
      <c r="A69" s="252"/>
      <c r="B69" s="252"/>
      <c r="C69" s="4" t="s">
        <v>485</v>
      </c>
      <c r="D69" s="3" t="s">
        <v>486</v>
      </c>
      <c r="E69" s="74">
        <v>0</v>
      </c>
      <c r="F69" s="74"/>
      <c r="H69" s="74">
        <v>0</v>
      </c>
      <c r="I69" s="74"/>
      <c r="J69" s="74">
        <f t="shared" si="2"/>
        <v>0</v>
      </c>
      <c r="K69" s="322" t="str">
        <f t="shared" si="3"/>
        <v>n/a</v>
      </c>
    </row>
    <row r="70" spans="1:11" s="76" customFormat="1" hidden="1" outlineLevel="1">
      <c r="A70" s="252"/>
      <c r="B70" s="252"/>
      <c r="C70" s="4" t="s">
        <v>483</v>
      </c>
      <c r="D70" s="3" t="s">
        <v>484</v>
      </c>
      <c r="E70" s="74">
        <v>0</v>
      </c>
      <c r="F70" s="74"/>
      <c r="H70" s="74">
        <v>0</v>
      </c>
      <c r="I70" s="74"/>
      <c r="J70" s="74">
        <f t="shared" si="2"/>
        <v>0</v>
      </c>
      <c r="K70" s="322" t="str">
        <f t="shared" si="3"/>
        <v>n/a</v>
      </c>
    </row>
    <row r="71" spans="1:11" s="76" customFormat="1" hidden="1" outlineLevel="1">
      <c r="A71" s="252"/>
      <c r="B71" s="252"/>
      <c r="C71" s="4" t="s">
        <v>491</v>
      </c>
      <c r="D71" s="3" t="s">
        <v>492</v>
      </c>
      <c r="E71" s="74">
        <v>0</v>
      </c>
      <c r="F71" s="74"/>
      <c r="H71" s="74">
        <v>0</v>
      </c>
      <c r="I71" s="74"/>
      <c r="J71" s="74">
        <f t="shared" si="2"/>
        <v>0</v>
      </c>
      <c r="K71" s="322" t="str">
        <f t="shared" si="3"/>
        <v>n/a</v>
      </c>
    </row>
    <row r="72" spans="1:11" s="76" customFormat="1" hidden="1" outlineLevel="1">
      <c r="A72" s="252"/>
      <c r="B72" s="252"/>
      <c r="C72" s="4" t="s">
        <v>473</v>
      </c>
      <c r="D72" s="3" t="s">
        <v>474</v>
      </c>
      <c r="E72" s="74">
        <v>0</v>
      </c>
      <c r="F72" s="74"/>
      <c r="H72" s="74">
        <v>0</v>
      </c>
      <c r="I72" s="74"/>
      <c r="J72" s="74">
        <f t="shared" si="2"/>
        <v>0</v>
      </c>
      <c r="K72" s="322" t="str">
        <f t="shared" si="3"/>
        <v>n/a</v>
      </c>
    </row>
    <row r="73" spans="1:11" s="76" customFormat="1" hidden="1" outlineLevel="1">
      <c r="A73" s="252"/>
      <c r="B73" s="252"/>
      <c r="C73" s="4" t="s">
        <v>471</v>
      </c>
      <c r="D73" s="3" t="s">
        <v>472</v>
      </c>
      <c r="E73" s="74">
        <v>0</v>
      </c>
      <c r="F73" s="74"/>
      <c r="H73" s="74">
        <v>0</v>
      </c>
      <c r="I73" s="74"/>
      <c r="J73" s="74">
        <f t="shared" si="2"/>
        <v>0</v>
      </c>
      <c r="K73" s="322" t="str">
        <f t="shared" si="3"/>
        <v>n/a</v>
      </c>
    </row>
    <row r="74" spans="1:11" s="76" customFormat="1" hidden="1" outlineLevel="1">
      <c r="A74" s="252"/>
      <c r="B74" s="252"/>
      <c r="C74" s="4" t="s">
        <v>487</v>
      </c>
      <c r="D74" s="3" t="s">
        <v>488</v>
      </c>
      <c r="E74" s="74">
        <v>0</v>
      </c>
      <c r="F74" s="74"/>
      <c r="H74" s="74">
        <v>0</v>
      </c>
      <c r="I74" s="74"/>
      <c r="J74" s="74">
        <f t="shared" si="2"/>
        <v>0</v>
      </c>
      <c r="K74" s="322" t="str">
        <f t="shared" si="3"/>
        <v>n/a</v>
      </c>
    </row>
    <row r="75" spans="1:11" s="76" customFormat="1" hidden="1" outlineLevel="1">
      <c r="A75" s="252"/>
      <c r="B75" s="252"/>
      <c r="C75" s="4" t="s">
        <v>493</v>
      </c>
      <c r="D75" s="3" t="s">
        <v>494</v>
      </c>
      <c r="E75" s="74">
        <v>0</v>
      </c>
      <c r="F75" s="74"/>
      <c r="H75" s="74">
        <v>0</v>
      </c>
      <c r="I75" s="74"/>
      <c r="J75" s="74">
        <f t="shared" si="2"/>
        <v>0</v>
      </c>
      <c r="K75" s="322" t="str">
        <f t="shared" si="3"/>
        <v>n/a</v>
      </c>
    </row>
    <row r="76" spans="1:11" s="76" customFormat="1" hidden="1" outlineLevel="1">
      <c r="A76" s="252"/>
      <c r="B76" s="252"/>
      <c r="C76" s="4" t="s">
        <v>499</v>
      </c>
      <c r="D76" s="3" t="s">
        <v>500</v>
      </c>
      <c r="E76" s="74">
        <v>0</v>
      </c>
      <c r="F76" s="74"/>
      <c r="H76" s="74">
        <v>0</v>
      </c>
      <c r="I76" s="74"/>
      <c r="J76" s="74">
        <f t="shared" si="2"/>
        <v>0</v>
      </c>
      <c r="K76" s="322" t="str">
        <f t="shared" si="3"/>
        <v>n/a</v>
      </c>
    </row>
    <row r="77" spans="1:11" s="76" customFormat="1" hidden="1" outlineLevel="1">
      <c r="A77" s="252"/>
      <c r="B77" s="252"/>
      <c r="C77" s="3" t="s">
        <v>495</v>
      </c>
      <c r="D77" s="3" t="s">
        <v>496</v>
      </c>
      <c r="E77" s="74">
        <v>0</v>
      </c>
      <c r="F77" s="74"/>
      <c r="H77" s="74">
        <v>0</v>
      </c>
      <c r="I77" s="74"/>
      <c r="J77" s="74">
        <f t="shared" si="2"/>
        <v>0</v>
      </c>
      <c r="K77" s="322" t="str">
        <f t="shared" si="3"/>
        <v>n/a</v>
      </c>
    </row>
    <row r="78" spans="1:11" s="76" customFormat="1" hidden="1" outlineLevel="1">
      <c r="A78" s="252"/>
      <c r="B78" s="252"/>
      <c r="C78" s="4" t="s">
        <v>479</v>
      </c>
      <c r="D78" s="3" t="s">
        <v>480</v>
      </c>
      <c r="E78" s="74">
        <v>0</v>
      </c>
      <c r="F78" s="74"/>
      <c r="H78" s="74">
        <v>0</v>
      </c>
      <c r="I78" s="74"/>
      <c r="J78" s="74">
        <f t="shared" si="2"/>
        <v>0</v>
      </c>
      <c r="K78" s="322" t="str">
        <f t="shared" si="3"/>
        <v>n/a</v>
      </c>
    </row>
    <row r="79" spans="1:11" s="76" customFormat="1" hidden="1" outlineLevel="1">
      <c r="A79" s="252"/>
      <c r="B79" s="252"/>
      <c r="C79" s="4" t="s">
        <v>475</v>
      </c>
      <c r="D79" s="3" t="s">
        <v>476</v>
      </c>
      <c r="E79" s="74">
        <v>0</v>
      </c>
      <c r="F79" s="74"/>
      <c r="H79" s="74">
        <v>0</v>
      </c>
      <c r="I79" s="74"/>
      <c r="J79" s="74">
        <f t="shared" si="2"/>
        <v>0</v>
      </c>
      <c r="K79" s="322" t="str">
        <f t="shared" si="3"/>
        <v>n/a</v>
      </c>
    </row>
    <row r="80" spans="1:11" s="76" customFormat="1" hidden="1" outlineLevel="1">
      <c r="A80" s="252"/>
      <c r="B80" s="252"/>
      <c r="C80" s="4" t="s">
        <v>489</v>
      </c>
      <c r="D80" s="3" t="s">
        <v>490</v>
      </c>
      <c r="E80" s="74">
        <v>0</v>
      </c>
      <c r="F80" s="74"/>
      <c r="H80" s="74">
        <v>0</v>
      </c>
      <c r="I80" s="74"/>
      <c r="J80" s="74">
        <f t="shared" si="2"/>
        <v>0</v>
      </c>
      <c r="K80" s="322" t="str">
        <f t="shared" si="3"/>
        <v>n/a</v>
      </c>
    </row>
    <row r="81" spans="1:11" s="76" customFormat="1" hidden="1" outlineLevel="1">
      <c r="A81" s="252"/>
      <c r="B81" s="252"/>
      <c r="C81" s="3" t="s">
        <v>449</v>
      </c>
      <c r="D81" s="3" t="s">
        <v>450</v>
      </c>
      <c r="E81" s="74">
        <v>70264.17</v>
      </c>
      <c r="F81" s="74"/>
      <c r="H81" s="74">
        <v>92593.21</v>
      </c>
      <c r="I81" s="74"/>
      <c r="J81" s="74">
        <f t="shared" si="2"/>
        <v>-22329.040000000008</v>
      </c>
      <c r="K81" s="322">
        <f t="shared" si="3"/>
        <v>-0.24115202399830404</v>
      </c>
    </row>
    <row r="82" spans="1:11" s="76" customFormat="1" hidden="1" outlineLevel="1">
      <c r="A82" s="252"/>
      <c r="B82" s="252"/>
      <c r="C82" s="3" t="s">
        <v>443</v>
      </c>
      <c r="D82" s="3" t="s">
        <v>444</v>
      </c>
      <c r="E82" s="74">
        <v>-7058.2</v>
      </c>
      <c r="F82" s="74"/>
      <c r="H82" s="74">
        <v>1600814.94</v>
      </c>
      <c r="I82" s="74"/>
      <c r="J82" s="74">
        <f t="shared" si="2"/>
        <v>-1607873.14</v>
      </c>
      <c r="K82" s="322">
        <f t="shared" si="3"/>
        <v>-1.0044091292651229</v>
      </c>
    </row>
    <row r="83" spans="1:11" s="76" customFormat="1" hidden="1" outlineLevel="1">
      <c r="A83" s="252"/>
      <c r="B83" s="252"/>
      <c r="C83" s="3" t="s">
        <v>445</v>
      </c>
      <c r="D83" s="3" t="s">
        <v>446</v>
      </c>
      <c r="E83" s="74">
        <v>14438.02</v>
      </c>
      <c r="F83" s="74"/>
      <c r="H83" s="74">
        <v>119437.43</v>
      </c>
      <c r="I83" s="74"/>
      <c r="J83" s="74">
        <f t="shared" si="2"/>
        <v>-104999.40999999999</v>
      </c>
      <c r="K83" s="322">
        <f t="shared" si="3"/>
        <v>-0.87911645453188325</v>
      </c>
    </row>
    <row r="84" spans="1:11" s="76" customFormat="1" hidden="1" outlineLevel="1">
      <c r="A84" s="252"/>
      <c r="B84" s="252"/>
      <c r="C84" s="3" t="s">
        <v>447</v>
      </c>
      <c r="D84" s="3" t="s">
        <v>448</v>
      </c>
      <c r="E84" s="74">
        <v>289261.33</v>
      </c>
      <c r="F84" s="74"/>
      <c r="H84" s="74">
        <v>276950.67</v>
      </c>
      <c r="I84" s="74"/>
      <c r="J84" s="74">
        <f t="shared" si="2"/>
        <v>12310.660000000033</v>
      </c>
      <c r="K84" s="322">
        <f t="shared" si="3"/>
        <v>4.4450731966093573E-2</v>
      </c>
    </row>
    <row r="85" spans="1:11" s="76" customFormat="1" hidden="1" outlineLevel="1">
      <c r="A85" s="252"/>
      <c r="B85" s="252"/>
      <c r="C85" s="3" t="s">
        <v>1420</v>
      </c>
      <c r="D85" s="3" t="s">
        <v>1412</v>
      </c>
      <c r="E85" s="74">
        <v>1155690.79</v>
      </c>
      <c r="F85" s="74"/>
      <c r="H85" s="74">
        <v>0</v>
      </c>
      <c r="I85" s="74"/>
      <c r="J85" s="74">
        <f t="shared" si="2"/>
        <v>1155690.79</v>
      </c>
      <c r="K85" s="322" t="str">
        <f t="shared" si="3"/>
        <v>n/a</v>
      </c>
    </row>
    <row r="86" spans="1:11" s="76" customFormat="1" hidden="1" outlineLevel="1">
      <c r="A86" s="252"/>
      <c r="B86" s="252"/>
      <c r="C86" s="3" t="s">
        <v>435</v>
      </c>
      <c r="D86" s="3" t="s">
        <v>436</v>
      </c>
      <c r="E86" s="74">
        <v>19518.259999999998</v>
      </c>
      <c r="F86" s="74"/>
      <c r="H86" s="74">
        <v>5592.8</v>
      </c>
      <c r="I86" s="74"/>
      <c r="J86" s="74">
        <f t="shared" si="2"/>
        <v>13925.46</v>
      </c>
      <c r="K86" s="322">
        <f t="shared" si="3"/>
        <v>2.4898905735946215</v>
      </c>
    </row>
    <row r="87" spans="1:11" s="76" customFormat="1" hidden="1" outlineLevel="1">
      <c r="A87" s="252"/>
      <c r="B87" s="252"/>
      <c r="C87" s="3" t="s">
        <v>441</v>
      </c>
      <c r="D87" s="3" t="s">
        <v>442</v>
      </c>
      <c r="E87" s="74">
        <v>-11387.71</v>
      </c>
      <c r="F87" s="74"/>
      <c r="H87" s="74">
        <v>652978.91</v>
      </c>
      <c r="I87" s="74"/>
      <c r="J87" s="74">
        <f t="shared" si="2"/>
        <v>-664366.62</v>
      </c>
      <c r="K87" s="322">
        <f t="shared" si="3"/>
        <v>-1.0174396290992</v>
      </c>
    </row>
    <row r="88" spans="1:11" s="76" customFormat="1" hidden="1" outlineLevel="1">
      <c r="A88" s="252"/>
      <c r="B88" s="252"/>
      <c r="C88" s="3" t="s">
        <v>417</v>
      </c>
      <c r="D88" s="3" t="s">
        <v>418</v>
      </c>
      <c r="E88" s="74">
        <v>0</v>
      </c>
      <c r="F88" s="74"/>
      <c r="H88" s="74">
        <v>0</v>
      </c>
      <c r="I88" s="74"/>
      <c r="J88" s="74">
        <f t="shared" si="2"/>
        <v>0</v>
      </c>
      <c r="K88" s="322" t="str">
        <f t="shared" si="3"/>
        <v>n/a</v>
      </c>
    </row>
    <row r="89" spans="1:11" s="76" customFormat="1" hidden="1" outlineLevel="1">
      <c r="A89" s="252"/>
      <c r="B89" s="252"/>
      <c r="C89" s="3" t="s">
        <v>413</v>
      </c>
      <c r="D89" s="3" t="s">
        <v>414</v>
      </c>
      <c r="E89" s="74">
        <v>88574.2</v>
      </c>
      <c r="F89" s="74"/>
      <c r="H89" s="74">
        <v>522582.03</v>
      </c>
      <c r="I89" s="74"/>
      <c r="J89" s="74">
        <f t="shared" si="2"/>
        <v>-434007.83</v>
      </c>
      <c r="K89" s="322">
        <f t="shared" si="3"/>
        <v>-0.83050660965131162</v>
      </c>
    </row>
    <row r="90" spans="1:11" s="76" customFormat="1" hidden="1" outlineLevel="1">
      <c r="A90" s="252"/>
      <c r="B90" s="252"/>
      <c r="C90" s="3" t="s">
        <v>411</v>
      </c>
      <c r="D90" s="3" t="s">
        <v>412</v>
      </c>
      <c r="E90" s="74">
        <v>349444.83</v>
      </c>
      <c r="F90" s="74"/>
      <c r="H90" s="74">
        <v>511234.13</v>
      </c>
      <c r="I90" s="74"/>
      <c r="J90" s="74">
        <f t="shared" si="2"/>
        <v>-161789.29999999999</v>
      </c>
      <c r="K90" s="322">
        <f t="shared" si="3"/>
        <v>-0.31646811217396614</v>
      </c>
    </row>
    <row r="91" spans="1:11" s="76" customFormat="1" hidden="1" outlineLevel="1">
      <c r="A91" s="252"/>
      <c r="B91" s="252"/>
      <c r="C91" s="3" t="s">
        <v>405</v>
      </c>
      <c r="D91" s="3" t="s">
        <v>406</v>
      </c>
      <c r="E91" s="74">
        <v>70694.679999999993</v>
      </c>
      <c r="F91" s="74"/>
      <c r="H91" s="74">
        <v>-5350</v>
      </c>
      <c r="I91" s="74"/>
      <c r="J91" s="74">
        <f t="shared" si="2"/>
        <v>76044.679999999993</v>
      </c>
      <c r="K91" s="322">
        <f t="shared" si="3"/>
        <v>-14.213958878504672</v>
      </c>
    </row>
    <row r="92" spans="1:11" s="76" customFormat="1" hidden="1" outlineLevel="1">
      <c r="A92" s="252"/>
      <c r="B92" s="252"/>
      <c r="C92" s="3" t="s">
        <v>409</v>
      </c>
      <c r="D92" s="3" t="s">
        <v>410</v>
      </c>
      <c r="E92" s="74">
        <v>518311.92</v>
      </c>
      <c r="F92" s="74"/>
      <c r="H92" s="74">
        <v>570728.59</v>
      </c>
      <c r="I92" s="74"/>
      <c r="J92" s="74">
        <f t="shared" si="2"/>
        <v>-52416.669999999984</v>
      </c>
      <c r="K92" s="322">
        <f t="shared" si="3"/>
        <v>-9.1841675567715969E-2</v>
      </c>
    </row>
    <row r="93" spans="1:11" s="76" customFormat="1" hidden="1" outlineLevel="1">
      <c r="A93" s="252"/>
      <c r="B93" s="252"/>
      <c r="C93" s="3" t="s">
        <v>407</v>
      </c>
      <c r="D93" s="3" t="s">
        <v>408</v>
      </c>
      <c r="E93" s="74">
        <v>2331.7199999999998</v>
      </c>
      <c r="F93" s="74"/>
      <c r="H93" s="74">
        <v>0</v>
      </c>
      <c r="I93" s="74"/>
      <c r="J93" s="74">
        <f t="shared" si="2"/>
        <v>2331.7199999999998</v>
      </c>
      <c r="K93" s="322" t="str">
        <f t="shared" si="3"/>
        <v>n/a</v>
      </c>
    </row>
    <row r="94" spans="1:11" s="76" customFormat="1" hidden="1" outlineLevel="1">
      <c r="A94" s="252"/>
      <c r="B94" s="252"/>
      <c r="C94" s="3" t="s">
        <v>451</v>
      </c>
      <c r="D94" s="3" t="s">
        <v>452</v>
      </c>
      <c r="E94" s="74">
        <v>-90926.080000000002</v>
      </c>
      <c r="F94" s="74"/>
      <c r="H94" s="74">
        <v>25641.02</v>
      </c>
      <c r="I94" s="74"/>
      <c r="J94" s="74">
        <f t="shared" si="2"/>
        <v>-116567.1</v>
      </c>
      <c r="K94" s="322">
        <f t="shared" si="3"/>
        <v>-4.546117900145938</v>
      </c>
    </row>
    <row r="95" spans="1:11" s="76" customFormat="1" hidden="1" outlineLevel="1">
      <c r="A95" s="252"/>
      <c r="B95" s="252"/>
      <c r="C95" s="3" t="s">
        <v>421</v>
      </c>
      <c r="D95" s="3" t="s">
        <v>422</v>
      </c>
      <c r="E95" s="74">
        <v>74983.02</v>
      </c>
      <c r="F95" s="74"/>
      <c r="H95" s="74">
        <v>368654.48</v>
      </c>
      <c r="I95" s="74"/>
      <c r="J95" s="74">
        <f t="shared" si="2"/>
        <v>-293671.45999999996</v>
      </c>
      <c r="K95" s="322">
        <f t="shared" si="3"/>
        <v>-0.79660352967906423</v>
      </c>
    </row>
    <row r="96" spans="1:11" s="76" customFormat="1" hidden="1" outlineLevel="1">
      <c r="A96" s="252"/>
      <c r="B96" s="252"/>
      <c r="C96" s="3" t="s">
        <v>419</v>
      </c>
      <c r="D96" s="3" t="s">
        <v>420</v>
      </c>
      <c r="E96" s="74">
        <v>131516.99</v>
      </c>
      <c r="F96" s="74"/>
      <c r="H96" s="74">
        <v>113696.85</v>
      </c>
      <c r="I96" s="74"/>
      <c r="J96" s="74">
        <f t="shared" si="2"/>
        <v>17820.139999999985</v>
      </c>
      <c r="K96" s="322">
        <f t="shared" si="3"/>
        <v>0.15673380572988596</v>
      </c>
    </row>
    <row r="97" spans="1:11" s="76" customFormat="1" hidden="1" outlineLevel="1">
      <c r="A97" s="252"/>
      <c r="B97" s="252"/>
      <c r="C97" s="3" t="s">
        <v>439</v>
      </c>
      <c r="D97" s="3" t="s">
        <v>440</v>
      </c>
      <c r="E97" s="74">
        <v>0</v>
      </c>
      <c r="F97" s="74"/>
      <c r="H97" s="74">
        <v>0</v>
      </c>
      <c r="I97" s="74"/>
      <c r="J97" s="74">
        <f t="shared" si="2"/>
        <v>0</v>
      </c>
      <c r="K97" s="322" t="str">
        <f t="shared" si="3"/>
        <v>n/a</v>
      </c>
    </row>
    <row r="98" spans="1:11" s="76" customFormat="1" hidden="1" outlineLevel="1">
      <c r="A98" s="252"/>
      <c r="B98" s="252"/>
      <c r="C98" s="3" t="s">
        <v>399</v>
      </c>
      <c r="D98" s="3" t="s">
        <v>400</v>
      </c>
      <c r="E98" s="74">
        <v>0</v>
      </c>
      <c r="F98" s="74"/>
      <c r="H98" s="74">
        <v>0</v>
      </c>
      <c r="I98" s="74"/>
      <c r="J98" s="74">
        <f t="shared" si="2"/>
        <v>0</v>
      </c>
      <c r="K98" s="322" t="str">
        <f t="shared" si="3"/>
        <v>n/a</v>
      </c>
    </row>
    <row r="99" spans="1:11" s="76" customFormat="1" hidden="1" outlineLevel="1">
      <c r="A99" s="252"/>
      <c r="B99" s="252"/>
      <c r="C99" s="3" t="s">
        <v>433</v>
      </c>
      <c r="D99" s="3" t="s">
        <v>434</v>
      </c>
      <c r="E99" s="74">
        <v>0</v>
      </c>
      <c r="F99" s="74"/>
      <c r="H99" s="74">
        <v>90</v>
      </c>
      <c r="I99" s="74"/>
      <c r="J99" s="74">
        <f t="shared" si="2"/>
        <v>-90</v>
      </c>
      <c r="K99" s="322">
        <f t="shared" si="3"/>
        <v>-1</v>
      </c>
    </row>
    <row r="100" spans="1:11" s="76" customFormat="1" hidden="1" outlineLevel="1">
      <c r="A100" s="252"/>
      <c r="B100" s="252"/>
      <c r="C100" s="3" t="s">
        <v>403</v>
      </c>
      <c r="D100" s="3" t="s">
        <v>404</v>
      </c>
      <c r="E100" s="74">
        <v>613652.63</v>
      </c>
      <c r="F100" s="74"/>
      <c r="H100" s="74">
        <v>451769.76</v>
      </c>
      <c r="I100" s="74"/>
      <c r="J100" s="74">
        <f t="shared" si="2"/>
        <v>161882.87</v>
      </c>
      <c r="K100" s="322">
        <f t="shared" si="3"/>
        <v>0.35833046904246091</v>
      </c>
    </row>
    <row r="101" spans="1:11" s="76" customFormat="1" hidden="1" outlineLevel="1">
      <c r="A101" s="252"/>
      <c r="B101" s="252"/>
      <c r="C101" s="3" t="s">
        <v>397</v>
      </c>
      <c r="D101" s="3" t="s">
        <v>398</v>
      </c>
      <c r="E101" s="74">
        <v>0</v>
      </c>
      <c r="F101" s="74"/>
      <c r="H101" s="74">
        <v>0</v>
      </c>
      <c r="I101" s="74"/>
      <c r="J101" s="74">
        <f t="shared" si="2"/>
        <v>0</v>
      </c>
      <c r="K101" s="322" t="str">
        <f t="shared" si="3"/>
        <v>n/a</v>
      </c>
    </row>
    <row r="102" spans="1:11" s="76" customFormat="1" hidden="1" outlineLevel="1">
      <c r="A102" s="252"/>
      <c r="B102" s="252"/>
      <c r="C102" s="3" t="s">
        <v>1096</v>
      </c>
      <c r="D102" s="3" t="s">
        <v>1156</v>
      </c>
      <c r="E102" s="74">
        <v>410656.47</v>
      </c>
      <c r="F102" s="74"/>
      <c r="H102" s="74">
        <v>327187.28000000003</v>
      </c>
      <c r="I102" s="74"/>
      <c r="J102" s="74">
        <f t="shared" si="2"/>
        <v>83469.189999999944</v>
      </c>
      <c r="K102" s="322">
        <f t="shared" si="3"/>
        <v>0.25511135396217094</v>
      </c>
    </row>
    <row r="103" spans="1:11" s="76" customFormat="1" hidden="1" outlineLevel="1">
      <c r="A103" s="252"/>
      <c r="B103" s="252"/>
      <c r="C103" s="3" t="s">
        <v>1097</v>
      </c>
      <c r="D103" s="3" t="s">
        <v>1157</v>
      </c>
      <c r="E103" s="74">
        <v>547274.69999999995</v>
      </c>
      <c r="F103" s="74"/>
      <c r="H103" s="74">
        <v>496595.7</v>
      </c>
      <c r="I103" s="74"/>
      <c r="J103" s="74">
        <f t="shared" si="2"/>
        <v>50678.999999999942</v>
      </c>
      <c r="K103" s="322">
        <f t="shared" si="3"/>
        <v>0.10205283694562789</v>
      </c>
    </row>
    <row r="104" spans="1:11" s="76" customFormat="1" hidden="1" outlineLevel="1">
      <c r="A104" s="252"/>
      <c r="B104" s="252"/>
      <c r="C104" s="3" t="s">
        <v>1098</v>
      </c>
      <c r="D104" s="3" t="s">
        <v>1158</v>
      </c>
      <c r="E104" s="74">
        <v>5141229.67</v>
      </c>
      <c r="F104" s="74"/>
      <c r="H104" s="74">
        <v>4810893.88</v>
      </c>
      <c r="I104" s="74"/>
      <c r="J104" s="74">
        <f t="shared" si="2"/>
        <v>330335.79000000004</v>
      </c>
      <c r="K104" s="322">
        <f t="shared" si="3"/>
        <v>6.8664119026462508E-2</v>
      </c>
    </row>
    <row r="105" spans="1:11" s="76" customFormat="1" hidden="1" outlineLevel="1">
      <c r="A105" s="252"/>
      <c r="B105" s="252"/>
      <c r="C105" s="3" t="s">
        <v>1099</v>
      </c>
      <c r="D105" s="3" t="s">
        <v>1159</v>
      </c>
      <c r="E105" s="74">
        <v>858440.63</v>
      </c>
      <c r="F105" s="74"/>
      <c r="H105" s="74">
        <v>806915.86</v>
      </c>
      <c r="I105" s="74"/>
      <c r="J105" s="74">
        <f t="shared" si="2"/>
        <v>51524.770000000019</v>
      </c>
      <c r="K105" s="322">
        <f t="shared" si="3"/>
        <v>6.3853956222895428E-2</v>
      </c>
    </row>
    <row r="106" spans="1:11" s="76" customFormat="1" hidden="1" outlineLevel="1">
      <c r="A106" s="252"/>
      <c r="B106" s="252"/>
      <c r="C106" s="3" t="s">
        <v>1100</v>
      </c>
      <c r="D106" s="3" t="s">
        <v>1160</v>
      </c>
      <c r="E106" s="74">
        <v>436811.44</v>
      </c>
      <c r="F106" s="74"/>
      <c r="H106" s="74">
        <v>198445.1</v>
      </c>
      <c r="I106" s="74"/>
      <c r="J106" s="74">
        <f t="shared" si="2"/>
        <v>238366.34</v>
      </c>
      <c r="K106" s="322">
        <f t="shared" si="3"/>
        <v>1.2011701977020344</v>
      </c>
    </row>
    <row r="107" spans="1:11" s="76" customFormat="1" hidden="1" outlineLevel="1">
      <c r="A107" s="252"/>
      <c r="B107" s="252"/>
      <c r="C107" s="3" t="s">
        <v>1101</v>
      </c>
      <c r="D107" s="3" t="s">
        <v>1161</v>
      </c>
      <c r="E107" s="74">
        <v>215823.49</v>
      </c>
      <c r="F107" s="74"/>
      <c r="H107" s="74">
        <v>218267.33</v>
      </c>
      <c r="I107" s="74"/>
      <c r="J107" s="74">
        <f t="shared" si="2"/>
        <v>-2443.8399999999965</v>
      </c>
      <c r="K107" s="322">
        <f t="shared" si="3"/>
        <v>-1.1196545080750273E-2</v>
      </c>
    </row>
    <row r="108" spans="1:11" s="76" customFormat="1" hidden="1" outlineLevel="1">
      <c r="A108" s="252"/>
      <c r="B108" s="252"/>
      <c r="C108" s="3" t="s">
        <v>423</v>
      </c>
      <c r="D108" s="3" t="s">
        <v>424</v>
      </c>
      <c r="E108" s="74">
        <v>95599.37</v>
      </c>
      <c r="F108" s="74"/>
      <c r="H108" s="74">
        <v>107574.24</v>
      </c>
      <c r="I108" s="74"/>
      <c r="J108" s="74">
        <f t="shared" si="2"/>
        <v>-11974.87000000001</v>
      </c>
      <c r="K108" s="322">
        <f t="shared" si="3"/>
        <v>-0.11131726331508369</v>
      </c>
    </row>
    <row r="109" spans="1:11" s="76" customFormat="1" hidden="1" outlineLevel="1">
      <c r="A109" s="252"/>
      <c r="B109" s="252"/>
      <c r="C109" s="3" t="s">
        <v>425</v>
      </c>
      <c r="D109" s="3" t="s">
        <v>426</v>
      </c>
      <c r="E109" s="74">
        <v>36003.01</v>
      </c>
      <c r="F109" s="74"/>
      <c r="H109" s="74">
        <v>67071.509999999995</v>
      </c>
      <c r="I109" s="74"/>
      <c r="J109" s="74">
        <f t="shared" si="2"/>
        <v>-31068.499999999993</v>
      </c>
      <c r="K109" s="322">
        <f t="shared" si="3"/>
        <v>-0.46321456010159895</v>
      </c>
    </row>
    <row r="110" spans="1:11" s="76" customFormat="1" hidden="1" outlineLevel="1">
      <c r="A110" s="252"/>
      <c r="B110" s="252"/>
      <c r="C110" s="3" t="s">
        <v>427</v>
      </c>
      <c r="D110" s="3" t="s">
        <v>428</v>
      </c>
      <c r="E110" s="74">
        <v>32239.89</v>
      </c>
      <c r="F110" s="74"/>
      <c r="H110" s="74">
        <v>40337.85</v>
      </c>
      <c r="I110" s="74"/>
      <c r="J110" s="74">
        <f t="shared" si="2"/>
        <v>-8097.9599999999991</v>
      </c>
      <c r="K110" s="322">
        <f t="shared" si="3"/>
        <v>-0.20075338670752157</v>
      </c>
    </row>
    <row r="111" spans="1:11" s="76" customFormat="1" hidden="1" outlineLevel="1">
      <c r="A111" s="252"/>
      <c r="B111" s="252"/>
      <c r="C111" s="3" t="s">
        <v>429</v>
      </c>
      <c r="D111" s="3" t="s">
        <v>430</v>
      </c>
      <c r="E111" s="74">
        <v>40323.67</v>
      </c>
      <c r="F111" s="74"/>
      <c r="H111" s="74">
        <v>51063.82</v>
      </c>
      <c r="I111" s="74"/>
      <c r="J111" s="74">
        <f t="shared" si="2"/>
        <v>-10740.150000000001</v>
      </c>
      <c r="K111" s="322">
        <f t="shared" si="3"/>
        <v>-0.21032797781286244</v>
      </c>
    </row>
    <row r="112" spans="1:11" s="76" customFormat="1" hidden="1" outlineLevel="1">
      <c r="A112" s="252"/>
      <c r="B112" s="252"/>
      <c r="C112" s="3" t="s">
        <v>437</v>
      </c>
      <c r="D112" s="3" t="s">
        <v>438</v>
      </c>
      <c r="E112" s="74">
        <v>70305.52</v>
      </c>
      <c r="F112" s="74"/>
      <c r="H112" s="74">
        <v>65205.42</v>
      </c>
      <c r="I112" s="74"/>
      <c r="J112" s="74">
        <f t="shared" si="2"/>
        <v>5100.1000000000058</v>
      </c>
      <c r="K112" s="322">
        <f t="shared" si="3"/>
        <v>7.8215890642219704E-2</v>
      </c>
    </row>
    <row r="113" spans="1:11" s="76" customFormat="1" hidden="1" outlineLevel="1">
      <c r="A113" s="252"/>
      <c r="B113" s="252"/>
      <c r="C113" s="3" t="s">
        <v>431</v>
      </c>
      <c r="D113" s="3" t="s">
        <v>432</v>
      </c>
      <c r="E113" s="74">
        <v>52760.17</v>
      </c>
      <c r="F113" s="74"/>
      <c r="H113" s="74">
        <v>44418.35</v>
      </c>
      <c r="I113" s="74"/>
      <c r="J113" s="74">
        <f t="shared" si="2"/>
        <v>8341.82</v>
      </c>
      <c r="K113" s="322">
        <f t="shared" si="3"/>
        <v>0.18780121278705761</v>
      </c>
    </row>
    <row r="114" spans="1:11" s="76" customFormat="1" hidden="1" outlineLevel="1">
      <c r="A114" s="252"/>
      <c r="B114" s="252"/>
      <c r="C114" s="3" t="s">
        <v>415</v>
      </c>
      <c r="D114" s="3" t="s">
        <v>416</v>
      </c>
      <c r="E114" s="74">
        <v>1066175.8700000001</v>
      </c>
      <c r="F114" s="74"/>
      <c r="H114" s="74">
        <v>596491.69999999995</v>
      </c>
      <c r="I114" s="74"/>
      <c r="J114" s="74">
        <f t="shared" si="2"/>
        <v>469684.17000000016</v>
      </c>
      <c r="K114" s="322">
        <f t="shared" si="3"/>
        <v>0.78741107378359199</v>
      </c>
    </row>
    <row r="115" spans="1:11" s="76" customFormat="1" hidden="1" outlineLevel="1">
      <c r="A115" s="252"/>
      <c r="B115" s="252"/>
      <c r="C115" s="3" t="s">
        <v>1102</v>
      </c>
      <c r="D115" s="3" t="s">
        <v>1162</v>
      </c>
      <c r="E115" s="74">
        <v>287039.35999999999</v>
      </c>
      <c r="F115" s="74"/>
      <c r="H115" s="74">
        <v>341830.72</v>
      </c>
      <c r="I115" s="74"/>
      <c r="J115" s="74">
        <f t="shared" si="2"/>
        <v>-54791.359999999986</v>
      </c>
      <c r="K115" s="322">
        <f t="shared" si="3"/>
        <v>-0.1602879928404328</v>
      </c>
    </row>
    <row r="116" spans="1:11" s="76" customFormat="1" hidden="1" outlineLevel="1">
      <c r="A116" s="252"/>
      <c r="B116" s="252"/>
      <c r="C116" s="3" t="s">
        <v>1103</v>
      </c>
      <c r="D116" s="3" t="s">
        <v>1163</v>
      </c>
      <c r="E116" s="74">
        <v>150404.48000000001</v>
      </c>
      <c r="F116" s="74"/>
      <c r="H116" s="74">
        <v>800302.03</v>
      </c>
      <c r="I116" s="74"/>
      <c r="J116" s="74">
        <f t="shared" si="2"/>
        <v>-649897.55000000005</v>
      </c>
      <c r="K116" s="322">
        <f t="shared" si="3"/>
        <v>-0.81206535237702704</v>
      </c>
    </row>
    <row r="117" spans="1:11" s="76" customFormat="1" hidden="1" outlineLevel="1">
      <c r="A117" s="252"/>
      <c r="B117" s="252"/>
      <c r="C117" s="3" t="s">
        <v>1104</v>
      </c>
      <c r="D117" s="3" t="s">
        <v>1164</v>
      </c>
      <c r="E117" s="74">
        <v>276533.67</v>
      </c>
      <c r="F117" s="74"/>
      <c r="H117" s="74">
        <v>387551.04</v>
      </c>
      <c r="I117" s="74"/>
      <c r="J117" s="74">
        <f t="shared" si="2"/>
        <v>-111017.37</v>
      </c>
      <c r="K117" s="322">
        <f t="shared" si="3"/>
        <v>-0.28645870747760088</v>
      </c>
    </row>
    <row r="118" spans="1:11" s="76" customFormat="1" hidden="1" outlineLevel="1">
      <c r="A118" s="252"/>
      <c r="B118" s="252"/>
      <c r="C118" s="3" t="s">
        <v>1105</v>
      </c>
      <c r="D118" s="3" t="s">
        <v>1165</v>
      </c>
      <c r="E118" s="74">
        <v>4775.09</v>
      </c>
      <c r="F118" s="74"/>
      <c r="H118" s="74">
        <v>22526.59</v>
      </c>
      <c r="I118" s="74"/>
      <c r="J118" s="74">
        <f t="shared" si="2"/>
        <v>-17751.5</v>
      </c>
      <c r="K118" s="322">
        <f t="shared" si="3"/>
        <v>-0.78802428596605167</v>
      </c>
    </row>
    <row r="119" spans="1:11" s="76" customFormat="1" hidden="1" outlineLevel="1">
      <c r="A119" s="252"/>
      <c r="B119" s="252"/>
      <c r="C119" s="3" t="s">
        <v>1106</v>
      </c>
      <c r="D119" s="3" t="s">
        <v>1166</v>
      </c>
      <c r="E119" s="74">
        <v>3211</v>
      </c>
      <c r="F119" s="74"/>
      <c r="H119" s="74">
        <v>14325.7</v>
      </c>
      <c r="I119" s="74"/>
      <c r="J119" s="74">
        <f t="shared" si="2"/>
        <v>-11114.7</v>
      </c>
      <c r="K119" s="322">
        <f t="shared" si="3"/>
        <v>-0.77585737520679621</v>
      </c>
    </row>
    <row r="120" spans="1:11" s="76" customFormat="1" hidden="1" outlineLevel="1">
      <c r="A120" s="252"/>
      <c r="B120" s="252"/>
      <c r="C120" s="3" t="s">
        <v>1107</v>
      </c>
      <c r="D120" s="3" t="s">
        <v>1167</v>
      </c>
      <c r="E120" s="74">
        <v>34727.81</v>
      </c>
      <c r="F120" s="74"/>
      <c r="H120" s="74">
        <v>39682.68</v>
      </c>
      <c r="I120" s="74"/>
      <c r="J120" s="74">
        <f t="shared" si="2"/>
        <v>-4954.8700000000026</v>
      </c>
      <c r="K120" s="322">
        <f t="shared" si="3"/>
        <v>-0.12486228248696919</v>
      </c>
    </row>
    <row r="121" spans="1:11" s="76" customFormat="1" hidden="1" outlineLevel="1">
      <c r="A121" s="252"/>
      <c r="B121" s="252"/>
      <c r="C121" s="3" t="s">
        <v>401</v>
      </c>
      <c r="D121" s="3" t="s">
        <v>402</v>
      </c>
      <c r="E121" s="74">
        <v>84810</v>
      </c>
      <c r="F121" s="74"/>
      <c r="H121" s="74">
        <v>858</v>
      </c>
      <c r="I121" s="74"/>
      <c r="J121" s="74">
        <f t="shared" si="2"/>
        <v>83952</v>
      </c>
      <c r="K121" s="322">
        <f t="shared" si="3"/>
        <v>97.84615384615384</v>
      </c>
    </row>
    <row r="122" spans="1:11" s="76" customFormat="1" collapsed="1">
      <c r="A122" s="252" t="s">
        <v>1245</v>
      </c>
      <c r="B122" s="252">
        <v>-29.68</v>
      </c>
      <c r="C122" s="4" t="s">
        <v>784</v>
      </c>
      <c r="D122" s="3" t="s">
        <v>785</v>
      </c>
      <c r="E122" s="74">
        <v>29677.69</v>
      </c>
      <c r="F122" s="74">
        <f>SUM(B122)+SUM(E122)/1000</f>
        <v>-2.3100000000013665E-3</v>
      </c>
      <c r="H122" s="74">
        <v>-19093.21</v>
      </c>
      <c r="I122" s="74">
        <f>SUM(B122)+SUM(H122)/1000</f>
        <v>-48.773209999999999</v>
      </c>
      <c r="J122" s="74">
        <f t="shared" si="2"/>
        <v>48770.899999999994</v>
      </c>
      <c r="K122" s="322">
        <f t="shared" si="3"/>
        <v>-2.5543583294794328</v>
      </c>
    </row>
    <row r="123" spans="1:11" s="76" customFormat="1">
      <c r="A123" s="252" t="s">
        <v>1246</v>
      </c>
      <c r="B123" s="252">
        <v>-20143.990808338669</v>
      </c>
      <c r="C123" s="4" t="s">
        <v>535</v>
      </c>
      <c r="D123" s="3" t="s">
        <v>536</v>
      </c>
      <c r="E123" s="74">
        <v>632868.19999999995</v>
      </c>
      <c r="F123" s="74">
        <f>SUM(B123:B158)+SUM(E123:E158)/1000</f>
        <v>0.25174166133001563</v>
      </c>
      <c r="H123" s="74">
        <v>2470</v>
      </c>
      <c r="I123" s="74">
        <f>SUM(B123:B158)+SUM(H123:H158)/1000</f>
        <v>-18633.95174833867</v>
      </c>
      <c r="J123" s="74">
        <f t="shared" si="2"/>
        <v>630398.19999999995</v>
      </c>
      <c r="K123" s="322">
        <f t="shared" si="3"/>
        <v>255.22194331983803</v>
      </c>
    </row>
    <row r="124" spans="1:11" s="76" customFormat="1" hidden="1" outlineLevel="1">
      <c r="A124" s="252"/>
      <c r="B124" s="252"/>
      <c r="C124" s="4" t="s">
        <v>547</v>
      </c>
      <c r="D124" s="3" t="s">
        <v>548</v>
      </c>
      <c r="E124" s="74">
        <v>0</v>
      </c>
      <c r="F124" s="74"/>
      <c r="H124" s="74">
        <v>0</v>
      </c>
      <c r="I124" s="74"/>
      <c r="J124" s="74">
        <f t="shared" si="2"/>
        <v>0</v>
      </c>
      <c r="K124" s="322" t="str">
        <f t="shared" si="3"/>
        <v>n/a</v>
      </c>
    </row>
    <row r="125" spans="1:11" s="76" customFormat="1" hidden="1" outlineLevel="1">
      <c r="A125" s="252"/>
      <c r="B125" s="252"/>
      <c r="C125" s="4" t="s">
        <v>543</v>
      </c>
      <c r="D125" s="3" t="s">
        <v>544</v>
      </c>
      <c r="E125" s="74">
        <v>79533.03</v>
      </c>
      <c r="F125" s="74"/>
      <c r="H125" s="74">
        <v>169540.31</v>
      </c>
      <c r="I125" s="74"/>
      <c r="J125" s="74">
        <f t="shared" si="2"/>
        <v>-90007.28</v>
      </c>
      <c r="K125" s="322">
        <f t="shared" si="3"/>
        <v>-0.53089014642004606</v>
      </c>
    </row>
    <row r="126" spans="1:11" s="76" customFormat="1" hidden="1" outlineLevel="1">
      <c r="A126" s="252"/>
      <c r="B126" s="252"/>
      <c r="C126" s="4" t="s">
        <v>507</v>
      </c>
      <c r="D126" s="3" t="s">
        <v>508</v>
      </c>
      <c r="E126" s="74">
        <v>0</v>
      </c>
      <c r="F126" s="74"/>
      <c r="H126" s="74">
        <v>0</v>
      </c>
      <c r="I126" s="74"/>
      <c r="J126" s="74">
        <f t="shared" si="2"/>
        <v>0</v>
      </c>
      <c r="K126" s="322" t="str">
        <f t="shared" si="3"/>
        <v>n/a</v>
      </c>
    </row>
    <row r="127" spans="1:11" s="76" customFormat="1" hidden="1" outlineLevel="1">
      <c r="A127" s="252"/>
      <c r="B127" s="252"/>
      <c r="C127" s="4" t="s">
        <v>539</v>
      </c>
      <c r="D127" s="3" t="s">
        <v>540</v>
      </c>
      <c r="E127" s="74">
        <v>214150.94</v>
      </c>
      <c r="F127" s="74"/>
      <c r="H127" s="74">
        <v>0</v>
      </c>
      <c r="I127" s="74"/>
      <c r="J127" s="74">
        <f t="shared" si="2"/>
        <v>214150.94</v>
      </c>
      <c r="K127" s="322" t="str">
        <f t="shared" si="3"/>
        <v>n/a</v>
      </c>
    </row>
    <row r="128" spans="1:11" s="76" customFormat="1" hidden="1" outlineLevel="1">
      <c r="A128" s="252"/>
      <c r="B128" s="252"/>
      <c r="C128" s="4" t="s">
        <v>511</v>
      </c>
      <c r="D128" s="3" t="s">
        <v>512</v>
      </c>
      <c r="E128" s="74">
        <v>240145.21</v>
      </c>
      <c r="F128" s="74"/>
      <c r="H128" s="74">
        <v>170785.67</v>
      </c>
      <c r="I128" s="74"/>
      <c r="J128" s="74">
        <f t="shared" si="2"/>
        <v>69359.539999999979</v>
      </c>
      <c r="K128" s="322">
        <f t="shared" si="3"/>
        <v>0.40612037297977033</v>
      </c>
    </row>
    <row r="129" spans="1:11" s="76" customFormat="1" hidden="1" outlineLevel="1">
      <c r="A129" s="252"/>
      <c r="B129" s="252"/>
      <c r="C129" s="4" t="s">
        <v>505</v>
      </c>
      <c r="D129" s="3" t="s">
        <v>506</v>
      </c>
      <c r="E129" s="74">
        <v>0</v>
      </c>
      <c r="F129" s="74"/>
      <c r="H129" s="74">
        <v>0</v>
      </c>
      <c r="I129" s="74"/>
      <c r="J129" s="74">
        <f t="shared" si="2"/>
        <v>0</v>
      </c>
      <c r="K129" s="322" t="str">
        <f t="shared" si="3"/>
        <v>n/a</v>
      </c>
    </row>
    <row r="130" spans="1:11" s="76" customFormat="1" hidden="1" outlineLevel="1">
      <c r="A130" s="252"/>
      <c r="B130" s="252"/>
      <c r="C130" s="4" t="s">
        <v>513</v>
      </c>
      <c r="D130" s="3" t="s">
        <v>514</v>
      </c>
      <c r="E130" s="74">
        <v>770961.81</v>
      </c>
      <c r="F130" s="74"/>
      <c r="H130" s="74">
        <v>21223.29</v>
      </c>
      <c r="I130" s="74"/>
      <c r="J130" s="74">
        <f t="shared" si="2"/>
        <v>749738.52</v>
      </c>
      <c r="K130" s="322">
        <f t="shared" si="3"/>
        <v>35.32621568098066</v>
      </c>
    </row>
    <row r="131" spans="1:11" s="76" customFormat="1" hidden="1" outlineLevel="1">
      <c r="A131" s="252"/>
      <c r="B131" s="252"/>
      <c r="C131" s="4" t="s">
        <v>515</v>
      </c>
      <c r="D131" s="3" t="s">
        <v>516</v>
      </c>
      <c r="E131" s="74">
        <v>131861.24</v>
      </c>
      <c r="F131" s="74"/>
      <c r="H131" s="74">
        <v>4724.51</v>
      </c>
      <c r="I131" s="74"/>
      <c r="J131" s="74">
        <f t="shared" ref="J131:J194" si="4">E131-H131</f>
        <v>127136.73</v>
      </c>
      <c r="K131" s="322">
        <f t="shared" si="3"/>
        <v>26.910035114752638</v>
      </c>
    </row>
    <row r="132" spans="1:11" s="76" customFormat="1" hidden="1" outlineLevel="1">
      <c r="A132" s="252"/>
      <c r="B132" s="252"/>
      <c r="C132" s="4" t="s">
        <v>517</v>
      </c>
      <c r="D132" s="3" t="s">
        <v>518</v>
      </c>
      <c r="E132" s="74">
        <v>35275.089999999997</v>
      </c>
      <c r="F132" s="74"/>
      <c r="H132" s="74">
        <v>1664.3</v>
      </c>
      <c r="I132" s="74"/>
      <c r="J132" s="74">
        <f t="shared" si="4"/>
        <v>33610.789999999994</v>
      </c>
      <c r="K132" s="322">
        <f t="shared" ref="K132:K195" si="5">IFERROR(J132/H132,"n/a")</f>
        <v>20.195151114582703</v>
      </c>
    </row>
    <row r="133" spans="1:11" s="76" customFormat="1" hidden="1" outlineLevel="1">
      <c r="A133" s="252"/>
      <c r="B133" s="252"/>
      <c r="C133" s="4" t="s">
        <v>519</v>
      </c>
      <c r="D133" s="3" t="s">
        <v>520</v>
      </c>
      <c r="E133" s="74">
        <v>600300</v>
      </c>
      <c r="F133" s="74"/>
      <c r="H133" s="74">
        <v>12580.31</v>
      </c>
      <c r="I133" s="74"/>
      <c r="J133" s="74">
        <f t="shared" si="4"/>
        <v>587719.68999999994</v>
      </c>
      <c r="K133" s="322">
        <f t="shared" si="5"/>
        <v>46.717425087299119</v>
      </c>
    </row>
    <row r="134" spans="1:11" s="76" customFormat="1" hidden="1" outlineLevel="1">
      <c r="A134" s="252"/>
      <c r="B134" s="252"/>
      <c r="C134" s="4" t="s">
        <v>521</v>
      </c>
      <c r="D134" s="3" t="s">
        <v>522</v>
      </c>
      <c r="E134" s="74">
        <v>0</v>
      </c>
      <c r="F134" s="74"/>
      <c r="H134" s="74">
        <v>1978</v>
      </c>
      <c r="I134" s="74"/>
      <c r="J134" s="74">
        <f t="shared" si="4"/>
        <v>-1978</v>
      </c>
      <c r="K134" s="322">
        <f t="shared" si="5"/>
        <v>-1</v>
      </c>
    </row>
    <row r="135" spans="1:11" s="76" customFormat="1" hidden="1" outlineLevel="1">
      <c r="A135" s="252"/>
      <c r="B135" s="252"/>
      <c r="C135" s="4" t="s">
        <v>523</v>
      </c>
      <c r="D135" s="3" t="s">
        <v>524</v>
      </c>
      <c r="E135" s="74">
        <v>0</v>
      </c>
      <c r="F135" s="74"/>
      <c r="H135" s="74">
        <v>534.82000000000005</v>
      </c>
      <c r="I135" s="74"/>
      <c r="J135" s="74">
        <f t="shared" si="4"/>
        <v>-534.82000000000005</v>
      </c>
      <c r="K135" s="322">
        <f t="shared" si="5"/>
        <v>-1</v>
      </c>
    </row>
    <row r="136" spans="1:11" s="76" customFormat="1" hidden="1" outlineLevel="1">
      <c r="A136" s="252"/>
      <c r="B136" s="252"/>
      <c r="C136" s="4" t="s">
        <v>525</v>
      </c>
      <c r="D136" s="3" t="s">
        <v>526</v>
      </c>
      <c r="E136" s="74">
        <v>218972.23</v>
      </c>
      <c r="F136" s="74"/>
      <c r="H136" s="74">
        <v>7646.56</v>
      </c>
      <c r="I136" s="74"/>
      <c r="J136" s="74">
        <f t="shared" si="4"/>
        <v>211325.67</v>
      </c>
      <c r="K136" s="322">
        <f t="shared" si="5"/>
        <v>27.636698070766464</v>
      </c>
    </row>
    <row r="137" spans="1:11" s="76" customFormat="1" hidden="1" outlineLevel="1">
      <c r="A137" s="252"/>
      <c r="B137" s="252"/>
      <c r="C137" s="4" t="s">
        <v>527</v>
      </c>
      <c r="D137" s="3" t="s">
        <v>528</v>
      </c>
      <c r="E137" s="74">
        <v>690944.85</v>
      </c>
      <c r="F137" s="74"/>
      <c r="H137" s="74">
        <v>0</v>
      </c>
      <c r="I137" s="74"/>
      <c r="J137" s="74">
        <f t="shared" si="4"/>
        <v>690944.85</v>
      </c>
      <c r="K137" s="322" t="str">
        <f t="shared" si="5"/>
        <v>n/a</v>
      </c>
    </row>
    <row r="138" spans="1:11" s="76" customFormat="1" hidden="1" outlineLevel="1">
      <c r="A138" s="252"/>
      <c r="B138" s="252"/>
      <c r="C138" s="4" t="s">
        <v>529</v>
      </c>
      <c r="D138" s="3" t="s">
        <v>530</v>
      </c>
      <c r="E138" s="74">
        <v>0</v>
      </c>
      <c r="F138" s="74"/>
      <c r="H138" s="74">
        <v>43651.09</v>
      </c>
      <c r="I138" s="74"/>
      <c r="J138" s="74">
        <f t="shared" si="4"/>
        <v>-43651.09</v>
      </c>
      <c r="K138" s="322">
        <f t="shared" si="5"/>
        <v>-1</v>
      </c>
    </row>
    <row r="139" spans="1:11" s="76" customFormat="1" hidden="1" outlineLevel="1">
      <c r="A139" s="252"/>
      <c r="B139" s="252"/>
      <c r="C139" s="4" t="s">
        <v>541</v>
      </c>
      <c r="D139" s="3" t="s">
        <v>542</v>
      </c>
      <c r="E139" s="74">
        <v>58263.24</v>
      </c>
      <c r="F139" s="74"/>
      <c r="H139" s="74">
        <v>63344.34</v>
      </c>
      <c r="I139" s="74"/>
      <c r="J139" s="74">
        <f t="shared" si="4"/>
        <v>-5081.0999999999985</v>
      </c>
      <c r="K139" s="322">
        <f t="shared" si="5"/>
        <v>-8.0213954395925491E-2</v>
      </c>
    </row>
    <row r="140" spans="1:11" s="76" customFormat="1" hidden="1" outlineLevel="1">
      <c r="A140" s="252"/>
      <c r="B140" s="252"/>
      <c r="C140" s="4" t="s">
        <v>533</v>
      </c>
      <c r="D140" s="3" t="s">
        <v>534</v>
      </c>
      <c r="E140" s="74">
        <v>158635.76</v>
      </c>
      <c r="F140" s="74"/>
      <c r="H140" s="74">
        <v>123448.19</v>
      </c>
      <c r="I140" s="74"/>
      <c r="J140" s="74">
        <f t="shared" si="4"/>
        <v>35187.570000000007</v>
      </c>
      <c r="K140" s="322">
        <f t="shared" si="5"/>
        <v>0.28503917311383831</v>
      </c>
    </row>
    <row r="141" spans="1:11" s="76" customFormat="1" hidden="1" outlineLevel="1">
      <c r="A141" s="252"/>
      <c r="B141" s="252"/>
      <c r="C141" s="4" t="s">
        <v>509</v>
      </c>
      <c r="D141" s="3" t="s">
        <v>510</v>
      </c>
      <c r="E141" s="74">
        <v>434666.11</v>
      </c>
      <c r="F141" s="74"/>
      <c r="H141" s="74">
        <v>0</v>
      </c>
      <c r="I141" s="74"/>
      <c r="J141" s="74">
        <f t="shared" si="4"/>
        <v>434666.11</v>
      </c>
      <c r="K141" s="322" t="str">
        <f t="shared" si="5"/>
        <v>n/a</v>
      </c>
    </row>
    <row r="142" spans="1:11" s="76" customFormat="1" hidden="1" outlineLevel="1">
      <c r="A142" s="252"/>
      <c r="B142" s="252"/>
      <c r="C142" s="4" t="s">
        <v>531</v>
      </c>
      <c r="D142" s="3" t="s">
        <v>532</v>
      </c>
      <c r="E142" s="74">
        <v>29328.58</v>
      </c>
      <c r="F142" s="74"/>
      <c r="H142" s="74">
        <v>0</v>
      </c>
      <c r="I142" s="74"/>
      <c r="J142" s="74">
        <f t="shared" si="4"/>
        <v>29328.58</v>
      </c>
      <c r="K142" s="322" t="str">
        <f t="shared" si="5"/>
        <v>n/a</v>
      </c>
    </row>
    <row r="143" spans="1:11" s="76" customFormat="1" hidden="1" outlineLevel="1">
      <c r="A143" s="252"/>
      <c r="B143" s="252"/>
      <c r="C143" s="3" t="s">
        <v>545</v>
      </c>
      <c r="D143" s="3" t="s">
        <v>546</v>
      </c>
      <c r="E143" s="74">
        <v>0</v>
      </c>
      <c r="F143" s="74"/>
      <c r="H143" s="74">
        <v>0</v>
      </c>
      <c r="I143" s="74"/>
      <c r="J143" s="74">
        <f t="shared" si="4"/>
        <v>0</v>
      </c>
      <c r="K143" s="322" t="str">
        <f t="shared" si="5"/>
        <v>n/a</v>
      </c>
    </row>
    <row r="144" spans="1:11" s="76" customFormat="1" hidden="1" outlineLevel="1">
      <c r="A144" s="252"/>
      <c r="B144" s="252"/>
      <c r="C144" s="3" t="s">
        <v>549</v>
      </c>
      <c r="D144" s="3" t="s">
        <v>550</v>
      </c>
      <c r="E144" s="74">
        <v>0</v>
      </c>
      <c r="F144" s="74"/>
      <c r="H144" s="74">
        <v>0</v>
      </c>
      <c r="I144" s="74"/>
      <c r="J144" s="74">
        <f t="shared" si="4"/>
        <v>0</v>
      </c>
      <c r="K144" s="322" t="str">
        <f t="shared" si="5"/>
        <v>n/a</v>
      </c>
    </row>
    <row r="145" spans="1:11" s="76" customFormat="1" hidden="1" outlineLevel="1">
      <c r="A145" s="252"/>
      <c r="B145" s="252"/>
      <c r="C145" s="3" t="s">
        <v>537</v>
      </c>
      <c r="D145" s="3" t="s">
        <v>538</v>
      </c>
      <c r="E145" s="74">
        <v>95016.08</v>
      </c>
      <c r="F145" s="74"/>
      <c r="H145" s="74">
        <v>7278.91</v>
      </c>
      <c r="I145" s="74"/>
      <c r="J145" s="74">
        <f t="shared" si="4"/>
        <v>87737.17</v>
      </c>
      <c r="K145" s="322">
        <f t="shared" si="5"/>
        <v>12.05361379657119</v>
      </c>
    </row>
    <row r="146" spans="1:11" s="76" customFormat="1" hidden="1" outlineLevel="1">
      <c r="A146" s="252"/>
      <c r="B146" s="252"/>
      <c r="C146" s="3" t="s">
        <v>1084</v>
      </c>
      <c r="D146" s="3" t="s">
        <v>1144</v>
      </c>
      <c r="E146" s="74">
        <v>940958.81</v>
      </c>
      <c r="F146" s="74"/>
      <c r="H146" s="74">
        <v>45840.74</v>
      </c>
      <c r="I146" s="74"/>
      <c r="J146" s="74">
        <f t="shared" si="4"/>
        <v>895118.07000000007</v>
      </c>
      <c r="K146" s="322">
        <f t="shared" si="5"/>
        <v>19.526693286364925</v>
      </c>
    </row>
    <row r="147" spans="1:11" s="76" customFormat="1" hidden="1" outlineLevel="1">
      <c r="A147" s="252"/>
      <c r="B147" s="252"/>
      <c r="C147" s="3" t="s">
        <v>1085</v>
      </c>
      <c r="D147" s="3" t="s">
        <v>1145</v>
      </c>
      <c r="E147" s="74">
        <v>50172.87</v>
      </c>
      <c r="F147" s="74"/>
      <c r="H147" s="74">
        <v>20743.91</v>
      </c>
      <c r="I147" s="74"/>
      <c r="J147" s="74">
        <f t="shared" si="4"/>
        <v>29428.960000000003</v>
      </c>
      <c r="K147" s="322">
        <f t="shared" si="5"/>
        <v>1.4186795064189925</v>
      </c>
    </row>
    <row r="148" spans="1:11" s="76" customFormat="1" hidden="1" outlineLevel="1">
      <c r="A148" s="252"/>
      <c r="B148" s="252"/>
      <c r="C148" s="3" t="s">
        <v>1086</v>
      </c>
      <c r="D148" s="3" t="s">
        <v>1146</v>
      </c>
      <c r="E148" s="74">
        <v>9482411.2300000004</v>
      </c>
      <c r="F148" s="74"/>
      <c r="H148" s="74">
        <v>540332.74</v>
      </c>
      <c r="I148" s="74"/>
      <c r="J148" s="74">
        <f t="shared" si="4"/>
        <v>8942078.4900000002</v>
      </c>
      <c r="K148" s="322">
        <f t="shared" si="5"/>
        <v>16.549207234786476</v>
      </c>
    </row>
    <row r="149" spans="1:11" s="76" customFormat="1" hidden="1" outlineLevel="1">
      <c r="A149" s="252"/>
      <c r="B149" s="252"/>
      <c r="C149" s="3" t="s">
        <v>1087</v>
      </c>
      <c r="D149" s="3" t="s">
        <v>1147</v>
      </c>
      <c r="E149" s="74">
        <v>3112246.02</v>
      </c>
      <c r="F149" s="74"/>
      <c r="H149" s="74">
        <v>-10110.51</v>
      </c>
      <c r="I149" s="74"/>
      <c r="J149" s="74">
        <f t="shared" si="4"/>
        <v>3122356.53</v>
      </c>
      <c r="K149" s="322">
        <f t="shared" si="5"/>
        <v>-308.82285166623637</v>
      </c>
    </row>
    <row r="150" spans="1:11" s="76" customFormat="1" hidden="1" outlineLevel="1">
      <c r="A150" s="252"/>
      <c r="B150" s="252"/>
      <c r="C150" s="3" t="s">
        <v>1088</v>
      </c>
      <c r="D150" s="3" t="s">
        <v>1148</v>
      </c>
      <c r="E150" s="74">
        <v>1307466.95</v>
      </c>
      <c r="F150" s="74"/>
      <c r="H150" s="74">
        <v>11454.87</v>
      </c>
      <c r="I150" s="74"/>
      <c r="J150" s="74">
        <f t="shared" si="4"/>
        <v>1296012.0799999998</v>
      </c>
      <c r="K150" s="322">
        <f t="shared" si="5"/>
        <v>113.14070609269243</v>
      </c>
    </row>
    <row r="151" spans="1:11" s="76" customFormat="1" hidden="1" outlineLevel="1">
      <c r="A151" s="252"/>
      <c r="B151" s="252"/>
      <c r="C151" s="3" t="s">
        <v>1089</v>
      </c>
      <c r="D151" s="3" t="s">
        <v>1149</v>
      </c>
      <c r="E151" s="74">
        <v>0</v>
      </c>
      <c r="F151" s="74"/>
      <c r="H151" s="74">
        <v>65512.5</v>
      </c>
      <c r="I151" s="74"/>
      <c r="J151" s="74">
        <f t="shared" si="4"/>
        <v>-65512.5</v>
      </c>
      <c r="K151" s="322">
        <f t="shared" si="5"/>
        <v>-1</v>
      </c>
    </row>
    <row r="152" spans="1:11" s="76" customFormat="1" hidden="1" outlineLevel="1">
      <c r="A152" s="252"/>
      <c r="B152" s="252"/>
      <c r="C152" s="3" t="s">
        <v>1090</v>
      </c>
      <c r="D152" s="3" t="s">
        <v>1150</v>
      </c>
      <c r="E152" s="74">
        <v>49109</v>
      </c>
      <c r="F152" s="74"/>
      <c r="H152" s="74">
        <v>45516.84</v>
      </c>
      <c r="I152" s="74"/>
      <c r="J152" s="74">
        <f t="shared" si="4"/>
        <v>3592.1600000000035</v>
      </c>
      <c r="K152" s="322">
        <f t="shared" si="5"/>
        <v>7.8919362591955061E-2</v>
      </c>
    </row>
    <row r="153" spans="1:11" s="76" customFormat="1" hidden="1" outlineLevel="1">
      <c r="A153" s="252"/>
      <c r="B153" s="252"/>
      <c r="C153" s="3" t="s">
        <v>1215</v>
      </c>
      <c r="D153" s="3" t="s">
        <v>1216</v>
      </c>
      <c r="E153" s="74">
        <v>1494.72</v>
      </c>
      <c r="F153" s="74"/>
      <c r="H153" s="74">
        <v>0</v>
      </c>
      <c r="I153" s="74"/>
      <c r="J153" s="74">
        <f t="shared" si="4"/>
        <v>1494.72</v>
      </c>
      <c r="K153" s="322" t="str">
        <f t="shared" si="5"/>
        <v>n/a</v>
      </c>
    </row>
    <row r="154" spans="1:11" s="76" customFormat="1" hidden="1" outlineLevel="1">
      <c r="A154" s="252"/>
      <c r="B154" s="252"/>
      <c r="C154" s="3" t="s">
        <v>1091</v>
      </c>
      <c r="D154" s="3" t="s">
        <v>1151</v>
      </c>
      <c r="E154" s="74">
        <v>294060.02</v>
      </c>
      <c r="F154" s="74"/>
      <c r="H154" s="74">
        <v>100769.44</v>
      </c>
      <c r="I154" s="74"/>
      <c r="J154" s="74">
        <f t="shared" si="4"/>
        <v>193290.58000000002</v>
      </c>
      <c r="K154" s="322">
        <f t="shared" si="5"/>
        <v>1.9181468111760869</v>
      </c>
    </row>
    <row r="155" spans="1:11" s="76" customFormat="1" hidden="1" outlineLevel="1">
      <c r="A155" s="252"/>
      <c r="B155" s="252"/>
      <c r="C155" s="3" t="s">
        <v>1092</v>
      </c>
      <c r="D155" s="3" t="s">
        <v>1152</v>
      </c>
      <c r="E155" s="74">
        <v>454523.69</v>
      </c>
      <c r="F155" s="74"/>
      <c r="H155" s="74">
        <v>49676.49</v>
      </c>
      <c r="I155" s="74"/>
      <c r="J155" s="74">
        <f t="shared" si="4"/>
        <v>404847.2</v>
      </c>
      <c r="K155" s="322">
        <f t="shared" si="5"/>
        <v>8.1496740208497016</v>
      </c>
    </row>
    <row r="156" spans="1:11" s="76" customFormat="1" hidden="1" outlineLevel="1">
      <c r="A156" s="252"/>
      <c r="B156" s="252"/>
      <c r="C156" s="3" t="s">
        <v>1093</v>
      </c>
      <c r="D156" s="3" t="s">
        <v>1153</v>
      </c>
      <c r="E156" s="74">
        <v>11111.8</v>
      </c>
      <c r="F156" s="74"/>
      <c r="H156" s="74">
        <v>2855.92</v>
      </c>
      <c r="I156" s="74"/>
      <c r="J156" s="74">
        <f t="shared" si="4"/>
        <v>8255.8799999999992</v>
      </c>
      <c r="K156" s="322">
        <f t="shared" si="5"/>
        <v>2.8907952603714384</v>
      </c>
    </row>
    <row r="157" spans="1:11" s="76" customFormat="1" hidden="1" outlineLevel="1">
      <c r="A157" s="252"/>
      <c r="B157" s="252"/>
      <c r="C157" s="3" t="s">
        <v>1094</v>
      </c>
      <c r="D157" s="3" t="s">
        <v>1154</v>
      </c>
      <c r="E157" s="74">
        <v>7045.3</v>
      </c>
      <c r="F157" s="74"/>
      <c r="H157" s="74">
        <v>1827.87</v>
      </c>
      <c r="I157" s="74"/>
      <c r="J157" s="74">
        <f t="shared" si="4"/>
        <v>5217.43</v>
      </c>
      <c r="K157" s="322">
        <f t="shared" si="5"/>
        <v>2.8543769524090883</v>
      </c>
    </row>
    <row r="158" spans="1:11" s="76" customFormat="1" hidden="1" outlineLevel="1">
      <c r="A158" s="252"/>
      <c r="B158" s="252"/>
      <c r="C158" s="3" t="s">
        <v>1095</v>
      </c>
      <c r="D158" s="3" t="s">
        <v>1155</v>
      </c>
      <c r="E158" s="74">
        <v>42719.77</v>
      </c>
      <c r="F158" s="74"/>
      <c r="H158" s="74">
        <v>4747.95</v>
      </c>
      <c r="I158" s="74"/>
      <c r="J158" s="74">
        <f t="shared" si="4"/>
        <v>37971.82</v>
      </c>
      <c r="K158" s="322">
        <f t="shared" si="5"/>
        <v>7.9975189292220854</v>
      </c>
    </row>
    <row r="159" spans="1:11" s="76" customFormat="1" collapsed="1">
      <c r="A159" s="252" t="s">
        <v>1247</v>
      </c>
      <c r="B159" s="252">
        <v>-9516.6274947222209</v>
      </c>
      <c r="C159" s="4" t="s">
        <v>631</v>
      </c>
      <c r="D159" s="3" t="s">
        <v>632</v>
      </c>
      <c r="E159" s="74">
        <v>0</v>
      </c>
      <c r="F159" s="74">
        <f>SUM(B159:B213)+SUM(E159:E213)/1000</f>
        <v>3057.1229752777781</v>
      </c>
      <c r="G159" s="76" t="s">
        <v>1433</v>
      </c>
      <c r="H159" s="74">
        <v>0</v>
      </c>
      <c r="I159" s="74">
        <f>SUM(B159:B213)+SUM(H159:H213)/1000</f>
        <v>875.88221527777932</v>
      </c>
      <c r="J159" s="74">
        <f t="shared" si="4"/>
        <v>0</v>
      </c>
      <c r="K159" s="322" t="str">
        <f t="shared" si="5"/>
        <v>n/a</v>
      </c>
    </row>
    <row r="160" spans="1:11" s="76" customFormat="1" hidden="1" outlineLevel="1">
      <c r="A160" s="252"/>
      <c r="B160" s="252"/>
      <c r="C160" s="4" t="s">
        <v>615</v>
      </c>
      <c r="D160" s="3" t="s">
        <v>616</v>
      </c>
      <c r="E160" s="74">
        <v>3710.24</v>
      </c>
      <c r="F160" s="74"/>
      <c r="H160" s="74">
        <v>5674.48</v>
      </c>
      <c r="I160" s="74"/>
      <c r="J160" s="74">
        <f t="shared" si="4"/>
        <v>-1964.2399999999998</v>
      </c>
      <c r="K160" s="322">
        <f t="shared" si="5"/>
        <v>-0.34615330391507237</v>
      </c>
    </row>
    <row r="161" spans="1:11" s="76" customFormat="1" hidden="1" outlineLevel="1">
      <c r="A161" s="252"/>
      <c r="B161" s="252"/>
      <c r="C161" s="4" t="s">
        <v>607</v>
      </c>
      <c r="D161" s="3" t="s">
        <v>608</v>
      </c>
      <c r="E161" s="74">
        <v>437096</v>
      </c>
      <c r="F161" s="74"/>
      <c r="H161" s="74">
        <v>389567.05</v>
      </c>
      <c r="I161" s="74"/>
      <c r="J161" s="74">
        <f t="shared" si="4"/>
        <v>47528.950000000012</v>
      </c>
      <c r="K161" s="322">
        <f t="shared" si="5"/>
        <v>0.12200454324871678</v>
      </c>
    </row>
    <row r="162" spans="1:11" s="76" customFormat="1" hidden="1" outlineLevel="1">
      <c r="A162" s="252"/>
      <c r="B162" s="252"/>
      <c r="C162" s="4" t="s">
        <v>579</v>
      </c>
      <c r="D162" s="3" t="s">
        <v>580</v>
      </c>
      <c r="E162" s="74">
        <v>149604.54999999999</v>
      </c>
      <c r="F162" s="74"/>
      <c r="H162" s="74">
        <v>106494.13</v>
      </c>
      <c r="I162" s="74"/>
      <c r="J162" s="74">
        <f t="shared" si="4"/>
        <v>43110.419999999984</v>
      </c>
      <c r="K162" s="322">
        <f t="shared" si="5"/>
        <v>0.40481498839419583</v>
      </c>
    </row>
    <row r="163" spans="1:11" s="76" customFormat="1" hidden="1" outlineLevel="1">
      <c r="A163" s="252"/>
      <c r="B163" s="252"/>
      <c r="C163" s="4" t="s">
        <v>577</v>
      </c>
      <c r="D163" s="3" t="s">
        <v>578</v>
      </c>
      <c r="E163" s="74">
        <v>141651.74</v>
      </c>
      <c r="F163" s="74"/>
      <c r="H163" s="74">
        <v>60124.95</v>
      </c>
      <c r="I163" s="74"/>
      <c r="J163" s="74">
        <f t="shared" si="4"/>
        <v>81526.789999999994</v>
      </c>
      <c r="K163" s="322">
        <f t="shared" si="5"/>
        <v>1.3559560548491101</v>
      </c>
    </row>
    <row r="164" spans="1:11" s="76" customFormat="1" hidden="1" outlineLevel="1">
      <c r="A164" s="252"/>
      <c r="B164" s="252"/>
      <c r="C164" s="4" t="s">
        <v>573</v>
      </c>
      <c r="D164" s="3" t="s">
        <v>574</v>
      </c>
      <c r="E164" s="74">
        <v>-238246.03</v>
      </c>
      <c r="F164" s="74"/>
      <c r="H164" s="74">
        <v>29449.13</v>
      </c>
      <c r="I164" s="74"/>
      <c r="J164" s="74">
        <f t="shared" si="4"/>
        <v>-267695.15999999997</v>
      </c>
      <c r="K164" s="322">
        <f t="shared" si="5"/>
        <v>-9.0900872114048852</v>
      </c>
    </row>
    <row r="165" spans="1:11" s="76" customFormat="1" hidden="1" outlineLevel="1">
      <c r="A165" s="252"/>
      <c r="B165" s="252"/>
      <c r="C165" s="4" t="s">
        <v>575</v>
      </c>
      <c r="D165" s="3" t="s">
        <v>576</v>
      </c>
      <c r="E165" s="74">
        <v>0</v>
      </c>
      <c r="F165" s="74"/>
      <c r="H165" s="74">
        <v>0</v>
      </c>
      <c r="I165" s="74"/>
      <c r="J165" s="74">
        <f t="shared" si="4"/>
        <v>0</v>
      </c>
      <c r="K165" s="322" t="str">
        <f t="shared" si="5"/>
        <v>n/a</v>
      </c>
    </row>
    <row r="166" spans="1:11" s="76" customFormat="1" hidden="1" outlineLevel="1">
      <c r="A166" s="252"/>
      <c r="B166" s="252"/>
      <c r="C166" s="4" t="s">
        <v>633</v>
      </c>
      <c r="D166" s="3" t="s">
        <v>634</v>
      </c>
      <c r="E166" s="74">
        <v>0</v>
      </c>
      <c r="F166" s="74"/>
      <c r="H166" s="74">
        <v>0</v>
      </c>
      <c r="I166" s="74"/>
      <c r="J166" s="74">
        <f t="shared" si="4"/>
        <v>0</v>
      </c>
      <c r="K166" s="322" t="str">
        <f t="shared" si="5"/>
        <v>n/a</v>
      </c>
    </row>
    <row r="167" spans="1:11" s="76" customFormat="1" hidden="1" outlineLevel="1">
      <c r="A167" s="252"/>
      <c r="B167" s="252"/>
      <c r="C167" s="4" t="s">
        <v>599</v>
      </c>
      <c r="D167" s="3" t="s">
        <v>600</v>
      </c>
      <c r="E167" s="74">
        <v>286543.5</v>
      </c>
      <c r="F167" s="74"/>
      <c r="H167" s="74">
        <v>568709.01</v>
      </c>
      <c r="I167" s="74"/>
      <c r="J167" s="74">
        <f t="shared" si="4"/>
        <v>-282165.51</v>
      </c>
      <c r="K167" s="322">
        <f t="shared" si="5"/>
        <v>-0.49615094017940742</v>
      </c>
    </row>
    <row r="168" spans="1:11" s="76" customFormat="1" hidden="1" outlineLevel="1">
      <c r="A168" s="252"/>
      <c r="B168" s="252"/>
      <c r="C168" s="4" t="s">
        <v>601</v>
      </c>
      <c r="D168" s="3" t="s">
        <v>602</v>
      </c>
      <c r="E168" s="74">
        <v>141007.42000000001</v>
      </c>
      <c r="F168" s="74"/>
      <c r="H168" s="74">
        <v>94027.199999999997</v>
      </c>
      <c r="I168" s="74"/>
      <c r="J168" s="74">
        <f t="shared" si="4"/>
        <v>46980.220000000016</v>
      </c>
      <c r="K168" s="322">
        <f t="shared" si="5"/>
        <v>0.49964499634148435</v>
      </c>
    </row>
    <row r="169" spans="1:11" s="76" customFormat="1" hidden="1" outlineLevel="1">
      <c r="A169" s="252"/>
      <c r="B169" s="252"/>
      <c r="C169" s="4" t="s">
        <v>605</v>
      </c>
      <c r="D169" s="3" t="s">
        <v>606</v>
      </c>
      <c r="E169" s="74">
        <v>-276491.17</v>
      </c>
      <c r="F169" s="74"/>
      <c r="H169" s="74">
        <v>7000</v>
      </c>
      <c r="I169" s="74"/>
      <c r="J169" s="74">
        <f t="shared" si="4"/>
        <v>-283491.17</v>
      </c>
      <c r="K169" s="322">
        <f t="shared" si="5"/>
        <v>-40.498738571428568</v>
      </c>
    </row>
    <row r="170" spans="1:11" s="76" customFormat="1" hidden="1" outlineLevel="1">
      <c r="A170" s="252"/>
      <c r="B170" s="252"/>
      <c r="C170" s="4" t="s">
        <v>595</v>
      </c>
      <c r="D170" s="3" t="s">
        <v>596</v>
      </c>
      <c r="E170" s="74">
        <v>469224.56</v>
      </c>
      <c r="F170" s="74"/>
      <c r="H170" s="74">
        <v>534673.25</v>
      </c>
      <c r="I170" s="74"/>
      <c r="J170" s="74">
        <f t="shared" si="4"/>
        <v>-65448.69</v>
      </c>
      <c r="K170" s="322">
        <f t="shared" si="5"/>
        <v>-0.12240876086469633</v>
      </c>
    </row>
    <row r="171" spans="1:11" s="76" customFormat="1" hidden="1" outlineLevel="1">
      <c r="A171" s="252"/>
      <c r="B171" s="252"/>
      <c r="C171" s="4" t="s">
        <v>597</v>
      </c>
      <c r="D171" s="3" t="s">
        <v>598</v>
      </c>
      <c r="E171" s="74">
        <v>583641.46</v>
      </c>
      <c r="F171" s="74"/>
      <c r="H171" s="74">
        <v>0</v>
      </c>
      <c r="I171" s="74"/>
      <c r="J171" s="74">
        <f t="shared" si="4"/>
        <v>583641.46</v>
      </c>
      <c r="K171" s="322" t="str">
        <f t="shared" si="5"/>
        <v>n/a</v>
      </c>
    </row>
    <row r="172" spans="1:11" s="76" customFormat="1" hidden="1" outlineLevel="1">
      <c r="A172" s="252"/>
      <c r="B172" s="252"/>
      <c r="C172" s="4" t="s">
        <v>591</v>
      </c>
      <c r="D172" s="3" t="s">
        <v>592</v>
      </c>
      <c r="E172" s="74">
        <v>57065.83</v>
      </c>
      <c r="F172" s="74"/>
      <c r="H172" s="74">
        <v>8277.09</v>
      </c>
      <c r="I172" s="74"/>
      <c r="J172" s="74">
        <f t="shared" si="4"/>
        <v>48788.740000000005</v>
      </c>
      <c r="K172" s="322">
        <f t="shared" si="5"/>
        <v>5.8944314970599576</v>
      </c>
    </row>
    <row r="173" spans="1:11" s="76" customFormat="1" hidden="1" outlineLevel="1">
      <c r="A173" s="252"/>
      <c r="B173" s="252"/>
      <c r="C173" s="4" t="s">
        <v>589</v>
      </c>
      <c r="D173" s="3" t="s">
        <v>590</v>
      </c>
      <c r="E173" s="74">
        <v>11843.44</v>
      </c>
      <c r="F173" s="74"/>
      <c r="H173" s="74">
        <v>16862.810000000001</v>
      </c>
      <c r="I173" s="74"/>
      <c r="J173" s="74">
        <f t="shared" si="4"/>
        <v>-5019.3700000000008</v>
      </c>
      <c r="K173" s="322">
        <f t="shared" si="5"/>
        <v>-0.29765916831180572</v>
      </c>
    </row>
    <row r="174" spans="1:11" s="76" customFormat="1" hidden="1" outlineLevel="1">
      <c r="A174" s="252"/>
      <c r="B174" s="252"/>
      <c r="C174" s="4" t="s">
        <v>583</v>
      </c>
      <c r="D174" s="3" t="s">
        <v>584</v>
      </c>
      <c r="E174" s="74">
        <v>0</v>
      </c>
      <c r="F174" s="74"/>
      <c r="H174" s="74">
        <v>0</v>
      </c>
      <c r="I174" s="74"/>
      <c r="J174" s="74">
        <f t="shared" si="4"/>
        <v>0</v>
      </c>
      <c r="K174" s="322" t="str">
        <f t="shared" si="5"/>
        <v>n/a</v>
      </c>
    </row>
    <row r="175" spans="1:11" s="76" customFormat="1" hidden="1" outlineLevel="1">
      <c r="A175" s="252"/>
      <c r="B175" s="252"/>
      <c r="C175" s="4" t="s">
        <v>593</v>
      </c>
      <c r="D175" s="3" t="s">
        <v>594</v>
      </c>
      <c r="E175" s="74">
        <v>456962</v>
      </c>
      <c r="F175" s="74"/>
      <c r="H175" s="74">
        <v>621146</v>
      </c>
      <c r="I175" s="74"/>
      <c r="J175" s="74">
        <f t="shared" si="4"/>
        <v>-164184</v>
      </c>
      <c r="K175" s="322">
        <f t="shared" si="5"/>
        <v>-0.26432432954571067</v>
      </c>
    </row>
    <row r="176" spans="1:11" s="76" customFormat="1" hidden="1" outlineLevel="1">
      <c r="A176" s="252"/>
      <c r="B176" s="252"/>
      <c r="C176" s="4" t="s">
        <v>581</v>
      </c>
      <c r="D176" s="3" t="s">
        <v>582</v>
      </c>
      <c r="E176" s="74">
        <v>362676.7</v>
      </c>
      <c r="F176" s="74"/>
      <c r="H176" s="74">
        <v>470195.87</v>
      </c>
      <c r="I176" s="74"/>
      <c r="J176" s="74">
        <f t="shared" si="4"/>
        <v>-107519.16999999998</v>
      </c>
      <c r="K176" s="322">
        <f t="shared" si="5"/>
        <v>-0.22866889494371778</v>
      </c>
    </row>
    <row r="177" spans="1:11" s="76" customFormat="1" hidden="1" outlineLevel="1">
      <c r="A177" s="252"/>
      <c r="B177" s="252"/>
      <c r="C177" s="4" t="s">
        <v>603</v>
      </c>
      <c r="D177" s="3" t="s">
        <v>604</v>
      </c>
      <c r="E177" s="74">
        <v>166893.31</v>
      </c>
      <c r="F177" s="74"/>
      <c r="H177" s="74">
        <v>183323.11</v>
      </c>
      <c r="I177" s="74"/>
      <c r="J177" s="74">
        <f t="shared" si="4"/>
        <v>-16429.799999999988</v>
      </c>
      <c r="K177" s="322">
        <f t="shared" si="5"/>
        <v>-8.9622088562647612E-2</v>
      </c>
    </row>
    <row r="178" spans="1:11" s="76" customFormat="1" hidden="1" outlineLevel="1">
      <c r="A178" s="252"/>
      <c r="B178" s="252"/>
      <c r="C178" s="4" t="s">
        <v>587</v>
      </c>
      <c r="D178" s="3" t="s">
        <v>588</v>
      </c>
      <c r="E178" s="74">
        <v>1054569.7</v>
      </c>
      <c r="F178" s="74"/>
      <c r="H178" s="74">
        <v>941807.41</v>
      </c>
      <c r="I178" s="74"/>
      <c r="J178" s="74">
        <f t="shared" si="4"/>
        <v>112762.28999999992</v>
      </c>
      <c r="K178" s="322">
        <f t="shared" si="5"/>
        <v>0.11972966957225355</v>
      </c>
    </row>
    <row r="179" spans="1:11" s="76" customFormat="1" hidden="1" outlineLevel="1">
      <c r="A179" s="252"/>
      <c r="B179" s="252"/>
      <c r="C179" s="4" t="s">
        <v>585</v>
      </c>
      <c r="D179" s="3" t="s">
        <v>586</v>
      </c>
      <c r="E179" s="74">
        <v>374290.15</v>
      </c>
      <c r="F179" s="74"/>
      <c r="H179" s="74">
        <v>576767.56000000006</v>
      </c>
      <c r="I179" s="74"/>
      <c r="J179" s="74">
        <f t="shared" si="4"/>
        <v>-202477.41000000003</v>
      </c>
      <c r="K179" s="322">
        <f t="shared" si="5"/>
        <v>-0.35105547545011029</v>
      </c>
    </row>
    <row r="180" spans="1:11" s="76" customFormat="1" hidden="1" outlineLevel="1">
      <c r="A180" s="252"/>
      <c r="B180" s="252"/>
      <c r="C180" s="4" t="s">
        <v>553</v>
      </c>
      <c r="D180" s="3" t="s">
        <v>554</v>
      </c>
      <c r="E180" s="74">
        <v>0</v>
      </c>
      <c r="F180" s="74"/>
      <c r="H180" s="74">
        <v>0</v>
      </c>
      <c r="I180" s="74"/>
      <c r="J180" s="74">
        <f t="shared" si="4"/>
        <v>0</v>
      </c>
      <c r="K180" s="322" t="str">
        <f t="shared" si="5"/>
        <v>n/a</v>
      </c>
    </row>
    <row r="181" spans="1:11" s="76" customFormat="1" hidden="1" outlineLevel="1">
      <c r="A181" s="252"/>
      <c r="B181" s="252"/>
      <c r="C181" s="4" t="s">
        <v>619</v>
      </c>
      <c r="D181" s="3" t="s">
        <v>620</v>
      </c>
      <c r="E181" s="74">
        <v>7125.7</v>
      </c>
      <c r="F181" s="74"/>
      <c r="H181" s="74">
        <v>29146.21</v>
      </c>
      <c r="I181" s="74"/>
      <c r="J181" s="74">
        <f t="shared" si="4"/>
        <v>-22020.51</v>
      </c>
      <c r="K181" s="322">
        <f t="shared" si="5"/>
        <v>-0.75551881359531814</v>
      </c>
    </row>
    <row r="182" spans="1:11" s="76" customFormat="1" hidden="1" outlineLevel="1">
      <c r="A182" s="252"/>
      <c r="B182" s="252"/>
      <c r="C182" s="4" t="s">
        <v>557</v>
      </c>
      <c r="D182" s="3" t="s">
        <v>558</v>
      </c>
      <c r="E182" s="74">
        <v>120991.31</v>
      </c>
      <c r="F182" s="74"/>
      <c r="H182" s="74">
        <v>79681.289999999994</v>
      </c>
      <c r="I182" s="74"/>
      <c r="J182" s="74">
        <f t="shared" si="4"/>
        <v>41310.020000000004</v>
      </c>
      <c r="K182" s="322">
        <f t="shared" si="5"/>
        <v>0.51844065275549645</v>
      </c>
    </row>
    <row r="183" spans="1:11" s="76" customFormat="1" hidden="1" outlineLevel="1">
      <c r="A183" s="252"/>
      <c r="B183" s="252"/>
      <c r="C183" s="4" t="s">
        <v>613</v>
      </c>
      <c r="D183" s="3" t="s">
        <v>614</v>
      </c>
      <c r="E183" s="74">
        <v>362248.18</v>
      </c>
      <c r="F183" s="74"/>
      <c r="H183" s="74">
        <v>607041.31999999995</v>
      </c>
      <c r="I183" s="74"/>
      <c r="J183" s="74">
        <f t="shared" si="4"/>
        <v>-244793.13999999996</v>
      </c>
      <c r="K183" s="322">
        <f t="shared" si="5"/>
        <v>-0.40325614078461741</v>
      </c>
    </row>
    <row r="184" spans="1:11" s="76" customFormat="1" hidden="1" outlineLevel="1">
      <c r="A184" s="252"/>
      <c r="B184" s="252"/>
      <c r="C184" s="4" t="s">
        <v>629</v>
      </c>
      <c r="D184" s="3" t="s">
        <v>630</v>
      </c>
      <c r="E184" s="74">
        <v>373476.12</v>
      </c>
      <c r="F184" s="74"/>
      <c r="H184" s="74">
        <v>426713.09</v>
      </c>
      <c r="I184" s="74"/>
      <c r="J184" s="74">
        <f t="shared" si="4"/>
        <v>-53236.97000000003</v>
      </c>
      <c r="K184" s="322">
        <f t="shared" si="5"/>
        <v>-0.12476057390224431</v>
      </c>
    </row>
    <row r="185" spans="1:11" s="76" customFormat="1" hidden="1" outlineLevel="1">
      <c r="A185" s="252"/>
      <c r="B185" s="252"/>
      <c r="C185" s="4" t="s">
        <v>551</v>
      </c>
      <c r="D185" s="3" t="s">
        <v>552</v>
      </c>
      <c r="E185" s="74">
        <v>0</v>
      </c>
      <c r="F185" s="74"/>
      <c r="H185" s="74">
        <v>0</v>
      </c>
      <c r="I185" s="74"/>
      <c r="J185" s="74">
        <f t="shared" si="4"/>
        <v>0</v>
      </c>
      <c r="K185" s="322" t="str">
        <f t="shared" si="5"/>
        <v>n/a</v>
      </c>
    </row>
    <row r="186" spans="1:11" s="76" customFormat="1" hidden="1" outlineLevel="1">
      <c r="A186" s="252"/>
      <c r="B186" s="252"/>
      <c r="C186" s="4" t="s">
        <v>559</v>
      </c>
      <c r="D186" s="3" t="s">
        <v>560</v>
      </c>
      <c r="E186" s="74">
        <v>104510.74</v>
      </c>
      <c r="F186" s="74"/>
      <c r="H186" s="74">
        <v>28638.95</v>
      </c>
      <c r="I186" s="74"/>
      <c r="J186" s="74">
        <f t="shared" si="4"/>
        <v>75871.790000000008</v>
      </c>
      <c r="K186" s="322">
        <f t="shared" si="5"/>
        <v>2.6492518056702501</v>
      </c>
    </row>
    <row r="187" spans="1:11" s="76" customFormat="1" hidden="1" outlineLevel="1">
      <c r="A187" s="252"/>
      <c r="B187" s="252"/>
      <c r="C187" s="4" t="s">
        <v>561</v>
      </c>
      <c r="D187" s="3" t="s">
        <v>562</v>
      </c>
      <c r="E187" s="74">
        <v>6895.17</v>
      </c>
      <c r="F187" s="74"/>
      <c r="H187" s="74">
        <v>37848.379999999997</v>
      </c>
      <c r="I187" s="74"/>
      <c r="J187" s="74">
        <f t="shared" si="4"/>
        <v>-30953.21</v>
      </c>
      <c r="K187" s="322">
        <f t="shared" si="5"/>
        <v>-0.81782126474105366</v>
      </c>
    </row>
    <row r="188" spans="1:11" s="76" customFormat="1" hidden="1" outlineLevel="1">
      <c r="A188" s="252"/>
      <c r="B188" s="252"/>
      <c r="C188" s="4" t="s">
        <v>563</v>
      </c>
      <c r="D188" s="3" t="s">
        <v>564</v>
      </c>
      <c r="E188" s="74">
        <v>71.7</v>
      </c>
      <c r="F188" s="74"/>
      <c r="H188" s="74">
        <v>2370.87</v>
      </c>
      <c r="I188" s="74"/>
      <c r="J188" s="74">
        <f t="shared" si="4"/>
        <v>-2299.17</v>
      </c>
      <c r="K188" s="322">
        <f t="shared" si="5"/>
        <v>-0.96975793695985024</v>
      </c>
    </row>
    <row r="189" spans="1:11" s="76" customFormat="1" hidden="1" outlineLevel="1">
      <c r="A189" s="252"/>
      <c r="B189" s="252"/>
      <c r="C189" s="4" t="s">
        <v>565</v>
      </c>
      <c r="D189" s="3" t="s">
        <v>566</v>
      </c>
      <c r="E189" s="74">
        <v>182.76</v>
      </c>
      <c r="F189" s="74"/>
      <c r="H189" s="74">
        <v>37993.83</v>
      </c>
      <c r="I189" s="74"/>
      <c r="J189" s="74">
        <f t="shared" si="4"/>
        <v>-37811.07</v>
      </c>
      <c r="K189" s="322">
        <f t="shared" si="5"/>
        <v>-0.99518974528232607</v>
      </c>
    </row>
    <row r="190" spans="1:11" s="76" customFormat="1" hidden="1" outlineLevel="1">
      <c r="A190" s="252"/>
      <c r="B190" s="252"/>
      <c r="C190" s="4" t="s">
        <v>567</v>
      </c>
      <c r="D190" s="3" t="s">
        <v>568</v>
      </c>
      <c r="E190" s="74">
        <v>2799.14</v>
      </c>
      <c r="F190" s="74"/>
      <c r="H190" s="74">
        <v>4553.78</v>
      </c>
      <c r="I190" s="74"/>
      <c r="J190" s="74">
        <f t="shared" si="4"/>
        <v>-1754.6399999999999</v>
      </c>
      <c r="K190" s="322">
        <f t="shared" si="5"/>
        <v>-0.38531505694170559</v>
      </c>
    </row>
    <row r="191" spans="1:11" s="76" customFormat="1" hidden="1" outlineLevel="1">
      <c r="A191" s="252"/>
      <c r="B191" s="252"/>
      <c r="C191" s="4" t="s">
        <v>569</v>
      </c>
      <c r="D191" s="3" t="s">
        <v>570</v>
      </c>
      <c r="E191" s="74">
        <v>0</v>
      </c>
      <c r="F191" s="74"/>
      <c r="H191" s="74">
        <v>315</v>
      </c>
      <c r="I191" s="74"/>
      <c r="J191" s="74">
        <f t="shared" si="4"/>
        <v>-315</v>
      </c>
      <c r="K191" s="322">
        <f t="shared" si="5"/>
        <v>-1</v>
      </c>
    </row>
    <row r="192" spans="1:11" s="76" customFormat="1" hidden="1" outlineLevel="1">
      <c r="A192" s="252"/>
      <c r="B192" s="252"/>
      <c r="C192" s="4" t="s">
        <v>571</v>
      </c>
      <c r="D192" s="3" t="s">
        <v>572</v>
      </c>
      <c r="E192" s="74">
        <v>40761.61</v>
      </c>
      <c r="F192" s="74"/>
      <c r="H192" s="74">
        <v>61331.57</v>
      </c>
      <c r="I192" s="74"/>
      <c r="J192" s="74">
        <f t="shared" si="4"/>
        <v>-20569.96</v>
      </c>
      <c r="K192" s="322">
        <f t="shared" si="5"/>
        <v>-0.33538942505466596</v>
      </c>
    </row>
    <row r="193" spans="1:11" s="76" customFormat="1" hidden="1" outlineLevel="1">
      <c r="A193" s="252"/>
      <c r="B193" s="252"/>
      <c r="C193" s="4" t="s">
        <v>611</v>
      </c>
      <c r="D193" s="3" t="s">
        <v>612</v>
      </c>
      <c r="E193" s="74">
        <v>0</v>
      </c>
      <c r="F193" s="74"/>
      <c r="H193" s="74">
        <v>33528.36</v>
      </c>
      <c r="I193" s="74"/>
      <c r="J193" s="74">
        <f t="shared" si="4"/>
        <v>-33528.36</v>
      </c>
      <c r="K193" s="322">
        <f t="shared" si="5"/>
        <v>-1</v>
      </c>
    </row>
    <row r="194" spans="1:11" s="76" customFormat="1" hidden="1" outlineLevel="1">
      <c r="A194" s="252"/>
      <c r="B194" s="252"/>
      <c r="C194" s="4" t="s">
        <v>555</v>
      </c>
      <c r="D194" s="3" t="s">
        <v>556</v>
      </c>
      <c r="E194" s="74">
        <v>205006.13</v>
      </c>
      <c r="F194" s="74"/>
      <c r="H194" s="74">
        <v>103248.19</v>
      </c>
      <c r="I194" s="74"/>
      <c r="J194" s="74">
        <f t="shared" si="4"/>
        <v>101757.94</v>
      </c>
      <c r="K194" s="322">
        <f t="shared" si="5"/>
        <v>0.98556633293038842</v>
      </c>
    </row>
    <row r="195" spans="1:11" s="76" customFormat="1" hidden="1" outlineLevel="1">
      <c r="A195" s="252"/>
      <c r="B195" s="252"/>
      <c r="C195" s="4" t="s">
        <v>617</v>
      </c>
      <c r="D195" s="3" t="s">
        <v>618</v>
      </c>
      <c r="E195" s="74">
        <v>0</v>
      </c>
      <c r="F195" s="74"/>
      <c r="H195" s="74">
        <v>0</v>
      </c>
      <c r="I195" s="74"/>
      <c r="J195" s="74">
        <f t="shared" ref="J195:J258" si="6">E195-H195</f>
        <v>0</v>
      </c>
      <c r="K195" s="322" t="str">
        <f t="shared" si="5"/>
        <v>n/a</v>
      </c>
    </row>
    <row r="196" spans="1:11" s="76" customFormat="1" hidden="1" outlineLevel="1">
      <c r="A196" s="252"/>
      <c r="B196" s="252"/>
      <c r="C196" s="4" t="s">
        <v>635</v>
      </c>
      <c r="D196" s="3" t="s">
        <v>636</v>
      </c>
      <c r="E196" s="74">
        <v>0</v>
      </c>
      <c r="F196" s="74"/>
      <c r="H196" s="74">
        <v>0</v>
      </c>
      <c r="I196" s="74"/>
      <c r="J196" s="74">
        <f t="shared" si="6"/>
        <v>0</v>
      </c>
      <c r="K196" s="322" t="str">
        <f t="shared" ref="K196:K259" si="7">IFERROR(J196/H196,"n/a")</f>
        <v>n/a</v>
      </c>
    </row>
    <row r="197" spans="1:11" s="76" customFormat="1" hidden="1" outlineLevel="1">
      <c r="A197" s="252"/>
      <c r="B197" s="252"/>
      <c r="C197" s="4" t="s">
        <v>609</v>
      </c>
      <c r="D197" s="3" t="s">
        <v>610</v>
      </c>
      <c r="E197" s="74">
        <v>2300853.83</v>
      </c>
      <c r="F197" s="74"/>
      <c r="H197" s="74">
        <v>299400.48</v>
      </c>
      <c r="I197" s="74"/>
      <c r="J197" s="74">
        <f t="shared" si="6"/>
        <v>2001453.35</v>
      </c>
      <c r="K197" s="322">
        <f t="shared" si="7"/>
        <v>6.6848702112969232</v>
      </c>
    </row>
    <row r="198" spans="1:11" s="76" customFormat="1" hidden="1" outlineLevel="1">
      <c r="A198" s="252"/>
      <c r="B198" s="252"/>
      <c r="C198" s="4" t="s">
        <v>627</v>
      </c>
      <c r="D198" s="3" t="s">
        <v>628</v>
      </c>
      <c r="E198" s="74">
        <v>0</v>
      </c>
      <c r="F198" s="74"/>
      <c r="H198" s="74">
        <v>0</v>
      </c>
      <c r="I198" s="74"/>
      <c r="J198" s="74">
        <f t="shared" si="6"/>
        <v>0</v>
      </c>
      <c r="K198" s="322" t="str">
        <f t="shared" si="7"/>
        <v>n/a</v>
      </c>
    </row>
    <row r="199" spans="1:11" s="76" customFormat="1" hidden="1" outlineLevel="1">
      <c r="A199" s="252"/>
      <c r="B199" s="252"/>
      <c r="C199" s="4" t="s">
        <v>625</v>
      </c>
      <c r="D199" s="3" t="s">
        <v>626</v>
      </c>
      <c r="E199" s="74">
        <v>0</v>
      </c>
      <c r="F199" s="74"/>
      <c r="H199" s="74">
        <v>0</v>
      </c>
      <c r="I199" s="74"/>
      <c r="J199" s="74">
        <f t="shared" si="6"/>
        <v>0</v>
      </c>
      <c r="K199" s="322" t="str">
        <f t="shared" si="7"/>
        <v>n/a</v>
      </c>
    </row>
    <row r="200" spans="1:11" s="76" customFormat="1" hidden="1" outlineLevel="1">
      <c r="A200" s="252"/>
      <c r="B200" s="252"/>
      <c r="C200" s="4" t="s">
        <v>621</v>
      </c>
      <c r="D200" s="3" t="s">
        <v>622</v>
      </c>
      <c r="E200" s="74">
        <v>0</v>
      </c>
      <c r="F200" s="74"/>
      <c r="H200" s="74">
        <v>0</v>
      </c>
      <c r="I200" s="74"/>
      <c r="J200" s="74">
        <f t="shared" si="6"/>
        <v>0</v>
      </c>
      <c r="K200" s="322" t="str">
        <f t="shared" si="7"/>
        <v>n/a</v>
      </c>
    </row>
    <row r="201" spans="1:11" s="76" customFormat="1" hidden="1" outlineLevel="1">
      <c r="A201" s="252"/>
      <c r="B201" s="252"/>
      <c r="C201" s="4" t="s">
        <v>623</v>
      </c>
      <c r="D201" s="3" t="s">
        <v>624</v>
      </c>
      <c r="E201" s="74">
        <v>0</v>
      </c>
      <c r="F201" s="74"/>
      <c r="H201" s="74">
        <v>0</v>
      </c>
      <c r="I201" s="74"/>
      <c r="J201" s="74">
        <f t="shared" si="6"/>
        <v>0</v>
      </c>
      <c r="K201" s="322" t="str">
        <f t="shared" si="7"/>
        <v>n/a</v>
      </c>
    </row>
    <row r="202" spans="1:11" s="76" customFormat="1" hidden="1" outlineLevel="1">
      <c r="A202" s="252"/>
      <c r="B202" s="252"/>
      <c r="C202" s="4" t="s">
        <v>1060</v>
      </c>
      <c r="D202" s="3" t="s">
        <v>1120</v>
      </c>
      <c r="E202" s="74">
        <v>262985.74</v>
      </c>
      <c r="F202" s="74"/>
      <c r="H202" s="74">
        <v>193194.39</v>
      </c>
      <c r="I202" s="74"/>
      <c r="J202" s="74">
        <f t="shared" si="6"/>
        <v>69791.349999999977</v>
      </c>
      <c r="K202" s="322">
        <f t="shared" si="7"/>
        <v>0.36124936132979829</v>
      </c>
    </row>
    <row r="203" spans="1:11" s="76" customFormat="1" hidden="1" outlineLevel="1">
      <c r="A203" s="252"/>
      <c r="B203" s="252"/>
      <c r="C203" s="4" t="s">
        <v>1061</v>
      </c>
      <c r="D203" s="3" t="s">
        <v>1121</v>
      </c>
      <c r="E203" s="74">
        <v>138291.76999999999</v>
      </c>
      <c r="F203" s="74"/>
      <c r="H203" s="74">
        <v>48285.47</v>
      </c>
      <c r="I203" s="74"/>
      <c r="J203" s="74">
        <f t="shared" si="6"/>
        <v>90006.299999999988</v>
      </c>
      <c r="K203" s="322">
        <f t="shared" si="7"/>
        <v>1.8640452293412488</v>
      </c>
    </row>
    <row r="204" spans="1:11" s="76" customFormat="1" hidden="1" outlineLevel="1">
      <c r="A204" s="252"/>
      <c r="B204" s="252"/>
      <c r="C204" s="4" t="s">
        <v>1062</v>
      </c>
      <c r="D204" s="3" t="s">
        <v>1122</v>
      </c>
      <c r="E204" s="74">
        <v>2781343.58</v>
      </c>
      <c r="F204" s="74"/>
      <c r="H204" s="74">
        <v>2372027.65</v>
      </c>
      <c r="I204" s="74"/>
      <c r="J204" s="74">
        <f t="shared" si="6"/>
        <v>409315.93000000017</v>
      </c>
      <c r="K204" s="322">
        <f t="shared" si="7"/>
        <v>0.17255951042560577</v>
      </c>
    </row>
    <row r="205" spans="1:11" s="76" customFormat="1" hidden="1" outlineLevel="1">
      <c r="A205" s="252"/>
      <c r="B205" s="252"/>
      <c r="C205" s="4" t="s">
        <v>1063</v>
      </c>
      <c r="D205" s="3" t="s">
        <v>1123</v>
      </c>
      <c r="E205" s="74">
        <v>1165445.29</v>
      </c>
      <c r="F205" s="74"/>
      <c r="H205" s="74">
        <v>672991.38</v>
      </c>
      <c r="I205" s="74"/>
      <c r="J205" s="74">
        <f t="shared" si="6"/>
        <v>492453.91000000003</v>
      </c>
      <c r="K205" s="322">
        <f t="shared" si="7"/>
        <v>0.73173880770954303</v>
      </c>
    </row>
    <row r="206" spans="1:11" s="76" customFormat="1" hidden="1" outlineLevel="1">
      <c r="A206" s="252"/>
      <c r="B206" s="252"/>
      <c r="C206" s="4" t="s">
        <v>1064</v>
      </c>
      <c r="D206" s="3" t="s">
        <v>1124</v>
      </c>
      <c r="E206" s="74">
        <v>262323.43</v>
      </c>
      <c r="F206" s="74"/>
      <c r="H206" s="74">
        <v>164045.70000000001</v>
      </c>
      <c r="I206" s="74"/>
      <c r="J206" s="74">
        <f t="shared" si="6"/>
        <v>98277.729999999981</v>
      </c>
      <c r="K206" s="322">
        <f t="shared" si="7"/>
        <v>0.59908751037058561</v>
      </c>
    </row>
    <row r="207" spans="1:11" s="76" customFormat="1" hidden="1" outlineLevel="1">
      <c r="A207" s="252"/>
      <c r="B207" s="252"/>
      <c r="C207" s="4" t="s">
        <v>1065</v>
      </c>
      <c r="D207" s="3" t="s">
        <v>1125</v>
      </c>
      <c r="E207" s="74">
        <v>0</v>
      </c>
      <c r="F207" s="74"/>
      <c r="H207" s="74">
        <v>0</v>
      </c>
      <c r="I207" s="74"/>
      <c r="J207" s="74">
        <f t="shared" si="6"/>
        <v>0</v>
      </c>
      <c r="K207" s="322" t="str">
        <f t="shared" si="7"/>
        <v>n/a</v>
      </c>
    </row>
    <row r="208" spans="1:11" s="76" customFormat="1" hidden="1" outlineLevel="1">
      <c r="A208" s="252"/>
      <c r="B208" s="252"/>
      <c r="C208" s="4" t="s">
        <v>1078</v>
      </c>
      <c r="D208" s="3" t="s">
        <v>1138</v>
      </c>
      <c r="E208" s="74">
        <v>125394.4</v>
      </c>
      <c r="F208" s="74"/>
      <c r="H208" s="74">
        <v>138159.04000000001</v>
      </c>
      <c r="I208" s="74"/>
      <c r="J208" s="74">
        <f t="shared" si="6"/>
        <v>-12764.640000000014</v>
      </c>
      <c r="K208" s="322">
        <f t="shared" si="7"/>
        <v>-9.239091412331768E-2</v>
      </c>
    </row>
    <row r="209" spans="1:11" s="76" customFormat="1" hidden="1" outlineLevel="1">
      <c r="A209" s="252"/>
      <c r="B209" s="252"/>
      <c r="C209" s="4" t="s">
        <v>1079</v>
      </c>
      <c r="D209" s="3" t="s">
        <v>1139</v>
      </c>
      <c r="E209" s="74">
        <v>41733.82</v>
      </c>
      <c r="F209" s="74"/>
      <c r="H209" s="74">
        <v>284159.75</v>
      </c>
      <c r="I209" s="74"/>
      <c r="J209" s="74">
        <f t="shared" si="6"/>
        <v>-242425.93</v>
      </c>
      <c r="K209" s="322">
        <f t="shared" si="7"/>
        <v>-0.85313254252229598</v>
      </c>
    </row>
    <row r="210" spans="1:11" s="76" customFormat="1" hidden="1" outlineLevel="1">
      <c r="A210" s="252"/>
      <c r="B210" s="252"/>
      <c r="C210" s="4" t="s">
        <v>1080</v>
      </c>
      <c r="D210" s="3" t="s">
        <v>1140</v>
      </c>
      <c r="E210" s="74">
        <v>74519.28</v>
      </c>
      <c r="F210" s="74"/>
      <c r="H210" s="74">
        <v>123452.52</v>
      </c>
      <c r="I210" s="74"/>
      <c r="J210" s="74">
        <f t="shared" si="6"/>
        <v>-48933.240000000005</v>
      </c>
      <c r="K210" s="322">
        <f t="shared" si="7"/>
        <v>-0.39637295374772424</v>
      </c>
    </row>
    <row r="211" spans="1:11" s="76" customFormat="1" hidden="1" outlineLevel="1">
      <c r="A211" s="252"/>
      <c r="B211" s="252"/>
      <c r="C211" s="4" t="s">
        <v>1081</v>
      </c>
      <c r="D211" s="3" t="s">
        <v>1141</v>
      </c>
      <c r="E211" s="74">
        <v>1351.59</v>
      </c>
      <c r="F211" s="74"/>
      <c r="H211" s="74">
        <v>8541.23</v>
      </c>
      <c r="I211" s="74"/>
      <c r="J211" s="74">
        <f t="shared" si="6"/>
        <v>-7189.6399999999994</v>
      </c>
      <c r="K211" s="322">
        <f t="shared" si="7"/>
        <v>-0.84175698347896022</v>
      </c>
    </row>
    <row r="212" spans="1:11" s="76" customFormat="1" hidden="1" outlineLevel="1">
      <c r="A212" s="252"/>
      <c r="B212" s="252"/>
      <c r="C212" s="4" t="s">
        <v>1082</v>
      </c>
      <c r="D212" s="3" t="s">
        <v>1142</v>
      </c>
      <c r="E212" s="74">
        <v>1063.48</v>
      </c>
      <c r="F212" s="74"/>
      <c r="H212" s="74">
        <v>7802.95</v>
      </c>
      <c r="I212" s="74"/>
      <c r="J212" s="74">
        <f t="shared" si="6"/>
        <v>-6739.4699999999993</v>
      </c>
      <c r="K212" s="322">
        <f t="shared" si="7"/>
        <v>-0.86370795660615529</v>
      </c>
    </row>
    <row r="213" spans="1:11" s="76" customFormat="1" hidden="1" outlineLevel="1">
      <c r="A213" s="252"/>
      <c r="B213" s="252"/>
      <c r="C213" s="4" t="s">
        <v>1083</v>
      </c>
      <c r="D213" s="3" t="s">
        <v>1143</v>
      </c>
      <c r="E213" s="74">
        <v>12332.3</v>
      </c>
      <c r="F213" s="74"/>
      <c r="H213" s="74">
        <v>13939.26</v>
      </c>
      <c r="I213" s="74"/>
      <c r="J213" s="74">
        <f t="shared" si="6"/>
        <v>-1606.9600000000009</v>
      </c>
      <c r="K213" s="322">
        <f t="shared" si="7"/>
        <v>-0.1152830207629387</v>
      </c>
    </row>
    <row r="214" spans="1:11" s="76" customFormat="1" collapsed="1">
      <c r="A214" s="252" t="s">
        <v>1248</v>
      </c>
      <c r="B214" s="252">
        <v>-1982.8651533333334</v>
      </c>
      <c r="C214" s="3" t="s">
        <v>656</v>
      </c>
      <c r="D214" s="3" t="s">
        <v>657</v>
      </c>
      <c r="E214" s="74">
        <v>0</v>
      </c>
      <c r="F214" s="74">
        <f>SUM(B214:B244)+SUM(E214:E244)/1000</f>
        <v>-1.0243333333164628E-2</v>
      </c>
      <c r="H214" s="74">
        <v>0</v>
      </c>
      <c r="I214" s="74">
        <f>SUM(B214:B244)+SUM(H214:H244)/1000</f>
        <v>509.71067666666681</v>
      </c>
      <c r="J214" s="74">
        <f t="shared" si="6"/>
        <v>0</v>
      </c>
      <c r="K214" s="322" t="str">
        <f t="shared" si="7"/>
        <v>n/a</v>
      </c>
    </row>
    <row r="215" spans="1:11" s="76" customFormat="1" hidden="1" outlineLevel="1">
      <c r="A215" s="252"/>
      <c r="B215" s="252"/>
      <c r="C215" s="4" t="s">
        <v>659</v>
      </c>
      <c r="D215" s="3" t="s">
        <v>660</v>
      </c>
      <c r="E215" s="74">
        <v>0</v>
      </c>
      <c r="F215" s="74"/>
      <c r="H215" s="74">
        <v>222571.94</v>
      </c>
      <c r="I215" s="74"/>
      <c r="J215" s="74">
        <f t="shared" si="6"/>
        <v>-222571.94</v>
      </c>
      <c r="K215" s="322">
        <f t="shared" si="7"/>
        <v>-1</v>
      </c>
    </row>
    <row r="216" spans="1:11" s="76" customFormat="1" hidden="1" outlineLevel="1">
      <c r="A216" s="252"/>
      <c r="B216" s="252"/>
      <c r="C216" s="4" t="s">
        <v>686</v>
      </c>
      <c r="D216" s="3" t="s">
        <v>687</v>
      </c>
      <c r="E216" s="74">
        <v>0</v>
      </c>
      <c r="F216" s="74"/>
      <c r="H216" s="74">
        <v>2160</v>
      </c>
      <c r="I216" s="74"/>
      <c r="J216" s="74">
        <f t="shared" si="6"/>
        <v>-2160</v>
      </c>
      <c r="K216" s="322">
        <f t="shared" si="7"/>
        <v>-1</v>
      </c>
    </row>
    <row r="217" spans="1:11" s="76" customFormat="1" hidden="1" outlineLevel="1">
      <c r="A217" s="252"/>
      <c r="B217" s="252"/>
      <c r="C217" s="4" t="s">
        <v>670</v>
      </c>
      <c r="D217" s="3" t="s">
        <v>671</v>
      </c>
      <c r="E217" s="74">
        <v>0</v>
      </c>
      <c r="F217" s="74"/>
      <c r="H217" s="74">
        <v>482.76</v>
      </c>
      <c r="I217" s="74"/>
      <c r="J217" s="74">
        <f t="shared" si="6"/>
        <v>-482.76</v>
      </c>
      <c r="K217" s="322">
        <f t="shared" si="7"/>
        <v>-1</v>
      </c>
    </row>
    <row r="218" spans="1:11" s="76" customFormat="1" hidden="1" outlineLevel="1">
      <c r="A218" s="252"/>
      <c r="B218" s="252"/>
      <c r="C218" s="4" t="s">
        <v>666</v>
      </c>
      <c r="D218" s="3" t="s">
        <v>667</v>
      </c>
      <c r="E218" s="74">
        <v>0</v>
      </c>
      <c r="F218" s="74"/>
      <c r="H218" s="74">
        <v>6776.35</v>
      </c>
      <c r="I218" s="74"/>
      <c r="J218" s="74">
        <f t="shared" si="6"/>
        <v>-6776.35</v>
      </c>
      <c r="K218" s="322">
        <f t="shared" si="7"/>
        <v>-1</v>
      </c>
    </row>
    <row r="219" spans="1:11" s="76" customFormat="1" hidden="1" outlineLevel="1">
      <c r="A219" s="252"/>
      <c r="B219" s="252"/>
      <c r="C219" s="4" t="s">
        <v>694</v>
      </c>
      <c r="D219" s="3" t="s">
        <v>695</v>
      </c>
      <c r="E219" s="74">
        <v>0</v>
      </c>
      <c r="F219" s="74"/>
      <c r="H219" s="74">
        <v>0</v>
      </c>
      <c r="I219" s="74"/>
      <c r="J219" s="74">
        <f t="shared" si="6"/>
        <v>0</v>
      </c>
      <c r="K219" s="322" t="str">
        <f t="shared" si="7"/>
        <v>n/a</v>
      </c>
    </row>
    <row r="220" spans="1:11" s="76" customFormat="1" hidden="1" outlineLevel="1">
      <c r="A220" s="252"/>
      <c r="B220" s="252"/>
      <c r="C220" s="4" t="s">
        <v>674</v>
      </c>
      <c r="D220" s="3" t="s">
        <v>675</v>
      </c>
      <c r="E220" s="74">
        <v>2166.34</v>
      </c>
      <c r="F220" s="74"/>
      <c r="H220" s="74">
        <v>36639.64</v>
      </c>
      <c r="I220" s="74"/>
      <c r="J220" s="74">
        <f t="shared" si="6"/>
        <v>-34473.300000000003</v>
      </c>
      <c r="K220" s="322">
        <f t="shared" si="7"/>
        <v>-0.94087441907180325</v>
      </c>
    </row>
    <row r="221" spans="1:11" s="76" customFormat="1" hidden="1" outlineLevel="1">
      <c r="A221" s="252"/>
      <c r="B221" s="252"/>
      <c r="C221" s="4" t="s">
        <v>672</v>
      </c>
      <c r="D221" s="3" t="s">
        <v>673</v>
      </c>
      <c r="E221" s="74">
        <v>0</v>
      </c>
      <c r="F221" s="74"/>
      <c r="H221" s="74">
        <v>0</v>
      </c>
      <c r="I221" s="74"/>
      <c r="J221" s="74">
        <f t="shared" si="6"/>
        <v>0</v>
      </c>
      <c r="K221" s="322" t="str">
        <f t="shared" si="7"/>
        <v>n/a</v>
      </c>
    </row>
    <row r="222" spans="1:11" s="76" customFormat="1" hidden="1" outlineLevel="1">
      <c r="A222" s="252"/>
      <c r="B222" s="252"/>
      <c r="C222" s="4" t="s">
        <v>680</v>
      </c>
      <c r="D222" s="3" t="s">
        <v>681</v>
      </c>
      <c r="E222" s="74">
        <v>0</v>
      </c>
      <c r="F222" s="74"/>
      <c r="H222" s="74">
        <v>0</v>
      </c>
      <c r="I222" s="74"/>
      <c r="J222" s="74">
        <f t="shared" si="6"/>
        <v>0</v>
      </c>
      <c r="K222" s="319" t="str">
        <f t="shared" si="7"/>
        <v>n/a</v>
      </c>
    </row>
    <row r="223" spans="1:11" s="76" customFormat="1" hidden="1" outlineLevel="1">
      <c r="A223" s="252"/>
      <c r="B223" s="252"/>
      <c r="C223" s="4" t="s">
        <v>664</v>
      </c>
      <c r="D223" s="3" t="s">
        <v>665</v>
      </c>
      <c r="E223" s="74">
        <v>0</v>
      </c>
      <c r="F223" s="74"/>
      <c r="H223" s="74">
        <v>0</v>
      </c>
      <c r="I223" s="74"/>
      <c r="J223" s="74">
        <f t="shared" si="6"/>
        <v>0</v>
      </c>
      <c r="K223" s="319" t="str">
        <f t="shared" si="7"/>
        <v>n/a</v>
      </c>
    </row>
    <row r="224" spans="1:11" s="76" customFormat="1" hidden="1" outlineLevel="1">
      <c r="A224" s="252"/>
      <c r="B224" s="252"/>
      <c r="C224" s="4" t="s">
        <v>662</v>
      </c>
      <c r="D224" s="3" t="s">
        <v>663</v>
      </c>
      <c r="E224" s="74">
        <v>0</v>
      </c>
      <c r="F224" s="74"/>
      <c r="H224" s="74">
        <v>0</v>
      </c>
      <c r="I224" s="74"/>
      <c r="J224" s="74">
        <f t="shared" si="6"/>
        <v>0</v>
      </c>
      <c r="K224" s="319" t="str">
        <f t="shared" si="7"/>
        <v>n/a</v>
      </c>
    </row>
    <row r="225" spans="1:11" s="76" customFormat="1" hidden="1" outlineLevel="1">
      <c r="A225" s="252"/>
      <c r="B225" s="252"/>
      <c r="C225" s="4" t="s">
        <v>676</v>
      </c>
      <c r="D225" s="3" t="s">
        <v>677</v>
      </c>
      <c r="E225" s="74">
        <v>4798.6099999999997</v>
      </c>
      <c r="F225" s="74"/>
      <c r="H225" s="74">
        <v>20170.04</v>
      </c>
      <c r="I225" s="74"/>
      <c r="J225" s="74">
        <f t="shared" si="6"/>
        <v>-15371.43</v>
      </c>
      <c r="K225" s="319">
        <f t="shared" si="7"/>
        <v>-0.76209219218206803</v>
      </c>
    </row>
    <row r="226" spans="1:11" s="76" customFormat="1" hidden="1" outlineLevel="1">
      <c r="A226" s="252"/>
      <c r="B226" s="252"/>
      <c r="C226" s="4" t="s">
        <v>682</v>
      </c>
      <c r="D226" s="3" t="s">
        <v>683</v>
      </c>
      <c r="E226" s="74">
        <v>1857.42</v>
      </c>
      <c r="F226" s="74"/>
      <c r="H226" s="74">
        <v>7341.99</v>
      </c>
      <c r="I226" s="74"/>
      <c r="J226" s="74">
        <f t="shared" si="6"/>
        <v>-5484.57</v>
      </c>
      <c r="K226" s="319">
        <f t="shared" si="7"/>
        <v>-0.74701409290941556</v>
      </c>
    </row>
    <row r="227" spans="1:11" s="76" customFormat="1" hidden="1" outlineLevel="1">
      <c r="A227" s="252"/>
      <c r="B227" s="252"/>
      <c r="C227" s="4" t="s">
        <v>688</v>
      </c>
      <c r="D227" s="3" t="s">
        <v>689</v>
      </c>
      <c r="E227" s="74">
        <v>26741.98</v>
      </c>
      <c r="F227" s="74"/>
      <c r="H227" s="74">
        <v>20995.21</v>
      </c>
      <c r="I227" s="74"/>
      <c r="J227" s="74">
        <f t="shared" si="6"/>
        <v>5746.77</v>
      </c>
      <c r="K227" s="319">
        <f t="shared" si="7"/>
        <v>0.27371814809187434</v>
      </c>
    </row>
    <row r="228" spans="1:11" s="76" customFormat="1" hidden="1" outlineLevel="1">
      <c r="A228" s="252"/>
      <c r="B228" s="252"/>
      <c r="C228" s="4" t="s">
        <v>684</v>
      </c>
      <c r="D228" s="3" t="s">
        <v>685</v>
      </c>
      <c r="E228" s="74">
        <v>11514.19</v>
      </c>
      <c r="F228" s="74"/>
      <c r="H228" s="74">
        <v>12753.3</v>
      </c>
      <c r="I228" s="74"/>
      <c r="J228" s="74">
        <f t="shared" si="6"/>
        <v>-1239.1099999999988</v>
      </c>
      <c r="K228" s="319">
        <f t="shared" si="7"/>
        <v>-9.7159950757842978E-2</v>
      </c>
    </row>
    <row r="229" spans="1:11" s="76" customFormat="1" hidden="1" outlineLevel="1">
      <c r="A229" s="252"/>
      <c r="B229" s="252"/>
      <c r="C229" s="4" t="s">
        <v>668</v>
      </c>
      <c r="D229" s="3" t="s">
        <v>669</v>
      </c>
      <c r="E229" s="74">
        <v>84825.72</v>
      </c>
      <c r="F229" s="74"/>
      <c r="H229" s="74">
        <v>60183.83</v>
      </c>
      <c r="I229" s="74"/>
      <c r="J229" s="74">
        <f t="shared" si="6"/>
        <v>24641.89</v>
      </c>
      <c r="K229" s="319">
        <f t="shared" si="7"/>
        <v>0.40944369941228398</v>
      </c>
    </row>
    <row r="230" spans="1:11" s="76" customFormat="1" hidden="1" outlineLevel="1">
      <c r="A230" s="252"/>
      <c r="B230" s="252"/>
      <c r="C230" s="4" t="s">
        <v>692</v>
      </c>
      <c r="D230" s="3" t="s">
        <v>693</v>
      </c>
      <c r="E230" s="74">
        <v>1200</v>
      </c>
      <c r="F230" s="74"/>
      <c r="H230" s="74">
        <v>0</v>
      </c>
      <c r="I230" s="74"/>
      <c r="J230" s="74">
        <f t="shared" si="6"/>
        <v>1200</v>
      </c>
      <c r="K230" s="319" t="str">
        <f t="shared" si="7"/>
        <v>n/a</v>
      </c>
    </row>
    <row r="231" spans="1:11" s="76" customFormat="1" hidden="1" outlineLevel="1">
      <c r="A231" s="252"/>
      <c r="B231" s="252"/>
      <c r="C231" s="4" t="s">
        <v>690</v>
      </c>
      <c r="D231" s="3" t="s">
        <v>691</v>
      </c>
      <c r="E231" s="74">
        <v>0</v>
      </c>
      <c r="F231" s="74"/>
      <c r="H231" s="74">
        <v>0</v>
      </c>
      <c r="I231" s="74"/>
      <c r="J231" s="74">
        <f t="shared" si="6"/>
        <v>0</v>
      </c>
      <c r="K231" s="319" t="str">
        <f t="shared" si="7"/>
        <v>n/a</v>
      </c>
    </row>
    <row r="232" spans="1:11" s="76" customFormat="1" hidden="1" outlineLevel="1">
      <c r="A232" s="252"/>
      <c r="B232" s="252"/>
      <c r="C232" s="4" t="s">
        <v>678</v>
      </c>
      <c r="D232" s="3" t="s">
        <v>679</v>
      </c>
      <c r="E232" s="74">
        <v>0</v>
      </c>
      <c r="F232" s="74"/>
      <c r="H232" s="74">
        <v>0</v>
      </c>
      <c r="I232" s="74"/>
      <c r="J232" s="74">
        <f t="shared" si="6"/>
        <v>0</v>
      </c>
      <c r="K232" s="319" t="str">
        <f t="shared" si="7"/>
        <v>n/a</v>
      </c>
    </row>
    <row r="233" spans="1:11" s="76" customFormat="1" hidden="1" outlineLevel="1">
      <c r="A233" s="252"/>
      <c r="B233" s="252"/>
      <c r="C233" s="4" t="s">
        <v>1066</v>
      </c>
      <c r="D233" s="3" t="s">
        <v>1126</v>
      </c>
      <c r="E233" s="74">
        <v>91428.73</v>
      </c>
      <c r="F233" s="74"/>
      <c r="H233" s="74">
        <v>98405.58</v>
      </c>
      <c r="I233" s="74"/>
      <c r="J233" s="74">
        <f t="shared" si="6"/>
        <v>-6976.8500000000058</v>
      </c>
      <c r="K233" s="319">
        <f t="shared" si="7"/>
        <v>-7.0898926666556977E-2</v>
      </c>
    </row>
    <row r="234" spans="1:11" s="76" customFormat="1" hidden="1" outlineLevel="1">
      <c r="A234" s="252"/>
      <c r="B234" s="252"/>
      <c r="C234" s="4" t="s">
        <v>1067</v>
      </c>
      <c r="D234" s="3" t="s">
        <v>1127</v>
      </c>
      <c r="E234" s="74">
        <v>652.27</v>
      </c>
      <c r="F234" s="74"/>
      <c r="H234" s="74">
        <v>0</v>
      </c>
      <c r="I234" s="74"/>
      <c r="J234" s="74">
        <f t="shared" si="6"/>
        <v>652.27</v>
      </c>
      <c r="K234" s="319" t="str">
        <f t="shared" si="7"/>
        <v>n/a</v>
      </c>
    </row>
    <row r="235" spans="1:11" s="76" customFormat="1" hidden="1" outlineLevel="1">
      <c r="A235" s="252"/>
      <c r="B235" s="252"/>
      <c r="C235" s="4" t="s">
        <v>1068</v>
      </c>
      <c r="D235" s="3" t="s">
        <v>1128</v>
      </c>
      <c r="E235" s="74">
        <v>1318108.17</v>
      </c>
      <c r="F235" s="74"/>
      <c r="H235" s="74">
        <v>1290264.52</v>
      </c>
      <c r="I235" s="74"/>
      <c r="J235" s="74">
        <f t="shared" si="6"/>
        <v>27843.649999999907</v>
      </c>
      <c r="K235" s="319">
        <f t="shared" si="7"/>
        <v>2.157979977625046E-2</v>
      </c>
    </row>
    <row r="236" spans="1:11" s="76" customFormat="1" hidden="1" outlineLevel="1">
      <c r="A236" s="252"/>
      <c r="B236" s="252"/>
      <c r="C236" s="4" t="s">
        <v>1069</v>
      </c>
      <c r="D236" s="3" t="s">
        <v>1129</v>
      </c>
      <c r="E236" s="74">
        <v>206600.13</v>
      </c>
      <c r="F236" s="74"/>
      <c r="H236" s="74">
        <v>274756.57</v>
      </c>
      <c r="I236" s="74"/>
      <c r="J236" s="74">
        <f t="shared" si="6"/>
        <v>-68156.44</v>
      </c>
      <c r="K236" s="319">
        <f t="shared" si="7"/>
        <v>-0.24806118375986425</v>
      </c>
    </row>
    <row r="237" spans="1:11" s="76" customFormat="1" hidden="1" outlineLevel="1">
      <c r="A237" s="252"/>
      <c r="B237" s="252"/>
      <c r="C237" s="4" t="s">
        <v>1070</v>
      </c>
      <c r="D237" s="3" t="s">
        <v>1130</v>
      </c>
      <c r="E237" s="74">
        <v>74304.600000000006</v>
      </c>
      <c r="F237" s="74"/>
      <c r="H237" s="74">
        <v>61321.8</v>
      </c>
      <c r="I237" s="74"/>
      <c r="J237" s="74">
        <f t="shared" si="6"/>
        <v>12982.800000000003</v>
      </c>
      <c r="K237" s="319">
        <f t="shared" si="7"/>
        <v>0.21171589875052596</v>
      </c>
    </row>
    <row r="238" spans="1:11" s="76" customFormat="1" hidden="1" outlineLevel="1">
      <c r="A238" s="252"/>
      <c r="B238" s="252"/>
      <c r="C238" s="4" t="s">
        <v>1071</v>
      </c>
      <c r="D238" s="3" t="s">
        <v>1131</v>
      </c>
      <c r="E238" s="74">
        <v>0</v>
      </c>
      <c r="F238" s="74"/>
      <c r="H238" s="74">
        <v>0</v>
      </c>
      <c r="I238" s="74"/>
      <c r="J238" s="74">
        <f t="shared" si="6"/>
        <v>0</v>
      </c>
      <c r="K238" s="319" t="str">
        <f t="shared" si="7"/>
        <v>n/a</v>
      </c>
    </row>
    <row r="239" spans="1:11" s="76" customFormat="1" hidden="1" outlineLevel="1">
      <c r="A239" s="252"/>
      <c r="B239" s="252"/>
      <c r="C239" s="4" t="s">
        <v>1072</v>
      </c>
      <c r="D239" s="3" t="s">
        <v>1132</v>
      </c>
      <c r="E239" s="74">
        <v>69176</v>
      </c>
      <c r="F239" s="74"/>
      <c r="H239" s="74">
        <v>82383</v>
      </c>
      <c r="I239" s="74"/>
      <c r="J239" s="74">
        <f t="shared" si="6"/>
        <v>-13207</v>
      </c>
      <c r="K239" s="319">
        <f t="shared" si="7"/>
        <v>-0.16031220033259289</v>
      </c>
    </row>
    <row r="240" spans="1:11" s="76" customFormat="1" hidden="1" outlineLevel="1">
      <c r="A240" s="252"/>
      <c r="B240" s="252"/>
      <c r="C240" s="4" t="s">
        <v>1073</v>
      </c>
      <c r="D240" s="3" t="s">
        <v>1133</v>
      </c>
      <c r="E240" s="74">
        <v>27327.68</v>
      </c>
      <c r="F240" s="74"/>
      <c r="H240" s="74">
        <v>185136.96</v>
      </c>
      <c r="I240" s="74"/>
      <c r="J240" s="74">
        <f t="shared" si="6"/>
        <v>-157809.28</v>
      </c>
      <c r="K240" s="319">
        <f t="shared" si="7"/>
        <v>-0.85239208853812876</v>
      </c>
    </row>
    <row r="241" spans="1:11" s="76" customFormat="1" hidden="1" outlineLevel="1">
      <c r="A241" s="252"/>
      <c r="B241" s="252"/>
      <c r="C241" s="4" t="s">
        <v>1074</v>
      </c>
      <c r="D241" s="3" t="s">
        <v>1134</v>
      </c>
      <c r="E241" s="74">
        <v>53302.54</v>
      </c>
      <c r="F241" s="74"/>
      <c r="H241" s="74">
        <v>93369.08</v>
      </c>
      <c r="I241" s="74"/>
      <c r="J241" s="74">
        <f t="shared" si="6"/>
        <v>-40066.54</v>
      </c>
      <c r="K241" s="319">
        <f t="shared" si="7"/>
        <v>-0.42912000418125573</v>
      </c>
    </row>
    <row r="242" spans="1:11" s="76" customFormat="1" hidden="1" outlineLevel="1">
      <c r="A242" s="252"/>
      <c r="B242" s="252"/>
      <c r="C242" s="4" t="s">
        <v>1075</v>
      </c>
      <c r="D242" s="3" t="s">
        <v>1135</v>
      </c>
      <c r="E242" s="74">
        <v>854</v>
      </c>
      <c r="F242" s="74"/>
      <c r="H242" s="74">
        <v>5081.51</v>
      </c>
      <c r="I242" s="74"/>
      <c r="J242" s="74">
        <f t="shared" si="6"/>
        <v>-4227.51</v>
      </c>
      <c r="K242" s="319">
        <f t="shared" si="7"/>
        <v>-0.8319397187056603</v>
      </c>
    </row>
    <row r="243" spans="1:11" s="76" customFormat="1" hidden="1" outlineLevel="1">
      <c r="A243" s="252"/>
      <c r="B243" s="252"/>
      <c r="C243" s="4" t="s">
        <v>1076</v>
      </c>
      <c r="D243" s="3" t="s">
        <v>1136</v>
      </c>
      <c r="E243" s="74">
        <v>539.95000000000005</v>
      </c>
      <c r="F243" s="74"/>
      <c r="H243" s="74">
        <v>2890.02</v>
      </c>
      <c r="I243" s="74"/>
      <c r="J243" s="74">
        <f t="shared" si="6"/>
        <v>-2350.0699999999997</v>
      </c>
      <c r="K243" s="319">
        <f t="shared" si="7"/>
        <v>-0.8131673829246856</v>
      </c>
    </row>
    <row r="244" spans="1:11" s="76" customFormat="1" hidden="1" outlineLevel="1">
      <c r="A244" s="252"/>
      <c r="B244" s="252"/>
      <c r="C244" s="4" t="s">
        <v>1077</v>
      </c>
      <c r="D244" s="3" t="s">
        <v>1137</v>
      </c>
      <c r="E244" s="74">
        <v>7456.58</v>
      </c>
      <c r="F244" s="74"/>
      <c r="H244" s="74">
        <v>8891.73</v>
      </c>
      <c r="I244" s="74"/>
      <c r="J244" s="74">
        <f t="shared" si="6"/>
        <v>-1435.1499999999996</v>
      </c>
      <c r="K244" s="319">
        <f t="shared" si="7"/>
        <v>-0.16140278663432198</v>
      </c>
    </row>
    <row r="245" spans="1:11" s="76" customFormat="1" collapsed="1">
      <c r="A245" s="252" t="s">
        <v>1249</v>
      </c>
      <c r="B245" s="252">
        <v>-1276.867</v>
      </c>
      <c r="C245" s="4" t="s">
        <v>643</v>
      </c>
      <c r="D245" s="3" t="s">
        <v>644</v>
      </c>
      <c r="E245" s="74">
        <v>895596.58</v>
      </c>
      <c r="F245" s="74">
        <f>SUM(B245:B252)+SUM(E245:E252)/1000</f>
        <v>3613.1506600000002</v>
      </c>
      <c r="H245" s="74">
        <v>1222747.67</v>
      </c>
      <c r="I245" s="74">
        <f>SUM(B245:B252)+SUM(H245:H252)/1000</f>
        <v>-4626.5173100000002</v>
      </c>
      <c r="J245" s="74">
        <f t="shared" si="6"/>
        <v>-327151.08999999997</v>
      </c>
      <c r="K245" s="319">
        <f t="shared" si="7"/>
        <v>-0.267554048988701</v>
      </c>
    </row>
    <row r="246" spans="1:11" s="76" customFormat="1">
      <c r="A246" s="252" t="s">
        <v>1409</v>
      </c>
      <c r="B246" s="252">
        <v>-3032</v>
      </c>
      <c r="C246" s="4" t="s">
        <v>639</v>
      </c>
      <c r="D246" s="3" t="s">
        <v>640</v>
      </c>
      <c r="E246" s="74">
        <v>-923093.82</v>
      </c>
      <c r="F246" s="74"/>
      <c r="H246" s="74">
        <v>-1222747.67</v>
      </c>
      <c r="I246" s="74"/>
      <c r="J246" s="74">
        <f t="shared" si="6"/>
        <v>299653.84999999998</v>
      </c>
      <c r="K246" s="319">
        <f t="shared" si="7"/>
        <v>-0.24506597505926958</v>
      </c>
    </row>
    <row r="247" spans="1:11" s="76" customFormat="1" hidden="1" outlineLevel="1">
      <c r="A247" s="252"/>
      <c r="B247" s="252"/>
      <c r="C247" s="4" t="s">
        <v>645</v>
      </c>
      <c r="D247" s="3" t="s">
        <v>646</v>
      </c>
      <c r="E247" s="74">
        <v>8075550</v>
      </c>
      <c r="F247" s="74"/>
      <c r="H247" s="74">
        <v>0</v>
      </c>
      <c r="I247" s="74"/>
      <c r="J247" s="74">
        <f t="shared" si="6"/>
        <v>8075550</v>
      </c>
      <c r="K247" s="319" t="str">
        <f t="shared" si="7"/>
        <v>n/a</v>
      </c>
    </row>
    <row r="248" spans="1:11" s="76" customFormat="1" hidden="1" outlineLevel="1">
      <c r="A248" s="252"/>
      <c r="B248" s="252"/>
      <c r="C248" s="4" t="s">
        <v>651</v>
      </c>
      <c r="D248" s="3" t="s">
        <v>652</v>
      </c>
      <c r="E248" s="74">
        <v>240916.87</v>
      </c>
      <c r="F248" s="74"/>
      <c r="H248" s="74">
        <v>-56471.040000000001</v>
      </c>
      <c r="I248" s="74"/>
      <c r="J248" s="74">
        <f t="shared" si="6"/>
        <v>297387.90999999997</v>
      </c>
      <c r="K248" s="319">
        <f t="shared" si="7"/>
        <v>-5.2662021099664527</v>
      </c>
    </row>
    <row r="249" spans="1:11" s="76" customFormat="1" hidden="1" outlineLevel="1">
      <c r="A249" s="252"/>
      <c r="B249" s="252"/>
      <c r="C249" s="4" t="s">
        <v>653</v>
      </c>
      <c r="D249" s="3" t="s">
        <v>654</v>
      </c>
      <c r="E249" s="74">
        <v>0</v>
      </c>
      <c r="F249" s="74"/>
      <c r="H249" s="74">
        <v>0</v>
      </c>
      <c r="I249" s="74"/>
      <c r="J249" s="74">
        <f t="shared" si="6"/>
        <v>0</v>
      </c>
      <c r="K249" s="319" t="str">
        <f t="shared" si="7"/>
        <v>n/a</v>
      </c>
    </row>
    <row r="250" spans="1:11" s="76" customFormat="1" hidden="1" outlineLevel="1">
      <c r="A250" s="252"/>
      <c r="B250" s="252"/>
      <c r="C250" s="4" t="s">
        <v>641</v>
      </c>
      <c r="D250" s="3" t="s">
        <v>642</v>
      </c>
      <c r="E250" s="74">
        <v>-366951.97</v>
      </c>
      <c r="F250" s="74"/>
      <c r="H250" s="74">
        <v>-261179.27</v>
      </c>
      <c r="I250" s="74"/>
      <c r="J250" s="74">
        <f t="shared" si="6"/>
        <v>-105772.69999999998</v>
      </c>
      <c r="K250" s="319">
        <f t="shared" si="7"/>
        <v>0.40498122228460165</v>
      </c>
    </row>
    <row r="251" spans="1:11" s="76" customFormat="1" hidden="1" outlineLevel="1">
      <c r="A251" s="252"/>
      <c r="B251" s="252"/>
      <c r="C251" s="4" t="s">
        <v>649</v>
      </c>
      <c r="D251" s="3" t="s">
        <v>650</v>
      </c>
      <c r="E251" s="74">
        <v>0</v>
      </c>
      <c r="F251" s="74"/>
      <c r="H251" s="74">
        <v>0</v>
      </c>
      <c r="I251" s="74"/>
      <c r="J251" s="74">
        <f t="shared" si="6"/>
        <v>0</v>
      </c>
      <c r="K251" s="319" t="str">
        <f t="shared" si="7"/>
        <v>n/a</v>
      </c>
    </row>
    <row r="252" spans="1:11" s="76" customFormat="1" hidden="1" outlineLevel="1">
      <c r="A252" s="252"/>
      <c r="B252" s="252"/>
      <c r="C252" s="4" t="s">
        <v>647</v>
      </c>
      <c r="D252" s="3" t="s">
        <v>648</v>
      </c>
      <c r="E252" s="74">
        <v>0</v>
      </c>
      <c r="F252" s="74"/>
      <c r="H252" s="74">
        <v>0</v>
      </c>
      <c r="I252" s="74"/>
      <c r="J252" s="74">
        <f t="shared" si="6"/>
        <v>0</v>
      </c>
      <c r="K252" s="319" t="str">
        <f t="shared" si="7"/>
        <v>n/a</v>
      </c>
    </row>
    <row r="253" spans="1:11" s="76" customFormat="1" collapsed="1">
      <c r="A253" s="252" t="s">
        <v>1254</v>
      </c>
      <c r="B253" s="252">
        <v>-256.51</v>
      </c>
      <c r="C253" s="4" t="s">
        <v>790</v>
      </c>
      <c r="D253" s="3" t="s">
        <v>791</v>
      </c>
      <c r="E253" s="74">
        <v>256507.67</v>
      </c>
      <c r="F253" s="74">
        <f>SUM(B253)+SUM(E253)/1000</f>
        <v>-2.3299999999721877E-3</v>
      </c>
      <c r="H253" s="74">
        <v>-576837.35</v>
      </c>
      <c r="I253" s="74">
        <f>SUM(B253)+SUM(H253)/1000</f>
        <v>-833.34735000000001</v>
      </c>
      <c r="J253" s="74">
        <f t="shared" si="6"/>
        <v>833345.02</v>
      </c>
      <c r="K253" s="319">
        <f t="shared" si="7"/>
        <v>-1.4446793710566765</v>
      </c>
    </row>
    <row r="254" spans="1:11" s="76" customFormat="1">
      <c r="A254" s="252" t="s">
        <v>1250</v>
      </c>
      <c r="B254" s="252">
        <v>0</v>
      </c>
      <c r="C254" s="4" t="s">
        <v>772</v>
      </c>
      <c r="D254" s="3" t="s">
        <v>773</v>
      </c>
      <c r="E254" s="74">
        <v>0</v>
      </c>
      <c r="F254" s="74">
        <f>SUM(B254)+SUM(E254)/1000</f>
        <v>0</v>
      </c>
      <c r="H254" s="74">
        <v>0</v>
      </c>
      <c r="I254" s="74">
        <f>SUM(B254)+SUM(H254)/1000</f>
        <v>0</v>
      </c>
      <c r="J254" s="74">
        <f t="shared" si="6"/>
        <v>0</v>
      </c>
      <c r="K254" s="319" t="str">
        <f t="shared" si="7"/>
        <v>n/a</v>
      </c>
    </row>
    <row r="255" spans="1:11" s="76" customFormat="1">
      <c r="A255" s="252" t="s">
        <v>1251</v>
      </c>
      <c r="B255" s="252">
        <v>3894.3799999999983</v>
      </c>
      <c r="C255" s="4" t="s">
        <v>839</v>
      </c>
      <c r="D255" s="3" t="s">
        <v>840</v>
      </c>
      <c r="E255" s="74">
        <v>-3894380.65</v>
      </c>
      <c r="F255" s="74">
        <f>SUM(B255)+SUM(E255)/1000</f>
        <v>-6.5000000176951289E-4</v>
      </c>
      <c r="H255" s="74">
        <v>-2594468</v>
      </c>
      <c r="I255" s="74">
        <f>SUM(B255)+SUM(H255)/1000</f>
        <v>1299.9119999999984</v>
      </c>
      <c r="J255" s="74">
        <f t="shared" si="6"/>
        <v>-1299912.6499999999</v>
      </c>
      <c r="K255" s="319">
        <f t="shared" si="7"/>
        <v>0.5010324467289633</v>
      </c>
    </row>
    <row r="256" spans="1:11" s="76" customFormat="1">
      <c r="A256" s="252" t="s">
        <v>1252</v>
      </c>
      <c r="B256" s="252">
        <v>0</v>
      </c>
      <c r="C256" s="4" t="s">
        <v>848</v>
      </c>
      <c r="D256" s="3" t="s">
        <v>849</v>
      </c>
      <c r="E256" s="74">
        <v>0</v>
      </c>
      <c r="F256" s="74">
        <f>SUM(B256:B258)+SUM(E256:E258)/1000</f>
        <v>0</v>
      </c>
      <c r="H256" s="74">
        <v>0</v>
      </c>
      <c r="I256" s="74">
        <f>SUM(B256:B258)+SUM(H256:H258)/1000</f>
        <v>797.29521999999997</v>
      </c>
      <c r="J256" s="74">
        <f t="shared" si="6"/>
        <v>0</v>
      </c>
      <c r="K256" s="319" t="str">
        <f t="shared" si="7"/>
        <v>n/a</v>
      </c>
    </row>
    <row r="257" spans="1:11" s="76" customFormat="1" hidden="1" outlineLevel="1">
      <c r="A257" s="252"/>
      <c r="B257" s="252"/>
      <c r="C257" s="4" t="s">
        <v>852</v>
      </c>
      <c r="D257" s="3" t="s">
        <v>853</v>
      </c>
      <c r="E257" s="74">
        <v>0</v>
      </c>
      <c r="F257" s="74"/>
      <c r="H257" s="74">
        <v>797295.22</v>
      </c>
      <c r="I257" s="74"/>
      <c r="J257" s="74">
        <f t="shared" si="6"/>
        <v>-797295.22</v>
      </c>
      <c r="K257" s="319">
        <f t="shared" si="7"/>
        <v>-1</v>
      </c>
    </row>
    <row r="258" spans="1:11" s="76" customFormat="1" hidden="1" outlineLevel="1">
      <c r="A258" s="252"/>
      <c r="B258" s="252"/>
      <c r="C258" s="4" t="s">
        <v>854</v>
      </c>
      <c r="D258" s="3" t="s">
        <v>855</v>
      </c>
      <c r="E258" s="74">
        <v>0</v>
      </c>
      <c r="F258" s="74"/>
      <c r="H258" s="74">
        <v>0</v>
      </c>
      <c r="I258" s="74"/>
      <c r="J258" s="74">
        <f t="shared" si="6"/>
        <v>0</v>
      </c>
      <c r="K258" s="319" t="str">
        <f t="shared" si="7"/>
        <v>n/a</v>
      </c>
    </row>
    <row r="259" spans="1:11" s="76" customFormat="1" collapsed="1">
      <c r="A259" s="252" t="s">
        <v>1408</v>
      </c>
      <c r="B259" s="252">
        <v>-703</v>
      </c>
      <c r="C259" s="4"/>
      <c r="D259" s="3"/>
      <c r="E259" s="74">
        <v>0</v>
      </c>
      <c r="F259" s="74">
        <f>SUM(B259)+SUM(E259)/1000</f>
        <v>-703</v>
      </c>
      <c r="H259" s="74">
        <v>0</v>
      </c>
      <c r="I259" s="74">
        <f>SUM(B259)+SUM(H259)/1000</f>
        <v>-703</v>
      </c>
      <c r="J259" s="74">
        <f t="shared" ref="J259:J281" si="8">E259-H259</f>
        <v>0</v>
      </c>
      <c r="K259" s="319" t="str">
        <f t="shared" si="7"/>
        <v>n/a</v>
      </c>
    </row>
    <row r="260" spans="1:11" s="76" customFormat="1">
      <c r="A260" s="252" t="s">
        <v>1407</v>
      </c>
      <c r="B260" s="252">
        <v>-639</v>
      </c>
      <c r="C260" s="4"/>
      <c r="D260" s="3"/>
      <c r="E260" s="74">
        <v>0</v>
      </c>
      <c r="F260" s="74">
        <f>SUM(B260)+SUM(E260)/1000</f>
        <v>-639</v>
      </c>
      <c r="G260" s="76" t="s">
        <v>1413</v>
      </c>
      <c r="H260" s="74">
        <v>0</v>
      </c>
      <c r="I260" s="74">
        <f>SUM(B260)+SUM(H260)/1000</f>
        <v>-639</v>
      </c>
      <c r="J260" s="74">
        <f t="shared" si="8"/>
        <v>0</v>
      </c>
      <c r="K260" s="319" t="str">
        <f t="shared" ref="K260:K281" si="9">IFERROR(J260/H260,"n/a")</f>
        <v>n/a</v>
      </c>
    </row>
    <row r="261" spans="1:11" s="76" customFormat="1">
      <c r="A261" s="252" t="s">
        <v>1255</v>
      </c>
      <c r="B261" s="252">
        <v>-6065.9955300000001</v>
      </c>
      <c r="C261" s="4" t="s">
        <v>737</v>
      </c>
      <c r="D261" s="3" t="s">
        <v>738</v>
      </c>
      <c r="E261" s="74">
        <v>1626092.88</v>
      </c>
      <c r="F261" s="74">
        <f>SUM(B261:B277)+SUM(E261:E277)/1000</f>
        <v>7.8420999999998457</v>
      </c>
      <c r="H261" s="74">
        <v>1421858.92</v>
      </c>
      <c r="I261" s="74">
        <f>SUM(B261:B277)+SUM(H261:H277)/1000</f>
        <v>3686.1682700000019</v>
      </c>
      <c r="J261" s="74">
        <f t="shared" si="8"/>
        <v>204233.95999999996</v>
      </c>
      <c r="K261" s="319">
        <f t="shared" si="9"/>
        <v>0.14363869518081299</v>
      </c>
    </row>
    <row r="262" spans="1:11" s="76" customFormat="1" hidden="1" outlineLevel="1">
      <c r="A262" s="252"/>
      <c r="B262" s="252"/>
      <c r="C262" s="4" t="s">
        <v>739</v>
      </c>
      <c r="D262" s="3" t="s">
        <v>740</v>
      </c>
      <c r="E262" s="74">
        <v>-967812.83</v>
      </c>
      <c r="F262" s="74"/>
      <c r="H262" s="74">
        <v>-1280172.3999999999</v>
      </c>
      <c r="I262" s="74"/>
      <c r="J262" s="74">
        <f t="shared" si="8"/>
        <v>312359.56999999995</v>
      </c>
      <c r="K262" s="319">
        <f t="shared" si="9"/>
        <v>-0.24399805057506316</v>
      </c>
    </row>
    <row r="263" spans="1:11" s="76" customFormat="1" hidden="1" outlineLevel="1">
      <c r="A263" s="252"/>
      <c r="B263" s="252"/>
      <c r="C263" s="4" t="s">
        <v>698</v>
      </c>
      <c r="D263" s="3" t="s">
        <v>699</v>
      </c>
      <c r="E263" s="74">
        <v>3240629.36</v>
      </c>
      <c r="F263" s="74"/>
      <c r="H263" s="74">
        <v>5626840.2800000003</v>
      </c>
      <c r="I263" s="74"/>
      <c r="J263" s="74">
        <f t="shared" si="8"/>
        <v>-2386210.9200000004</v>
      </c>
      <c r="K263" s="319">
        <f t="shared" si="9"/>
        <v>-0.42407653341103907</v>
      </c>
    </row>
    <row r="264" spans="1:11" s="76" customFormat="1" hidden="1" outlineLevel="1">
      <c r="A264" s="252"/>
      <c r="B264" s="252"/>
      <c r="C264" s="4" t="s">
        <v>708</v>
      </c>
      <c r="D264" s="3" t="s">
        <v>709</v>
      </c>
      <c r="E264" s="74">
        <v>-177.66</v>
      </c>
      <c r="F264" s="74"/>
      <c r="H264" s="74">
        <v>2.74</v>
      </c>
      <c r="I264" s="74"/>
      <c r="J264" s="74">
        <f t="shared" si="8"/>
        <v>-180.4</v>
      </c>
      <c r="K264" s="319">
        <f t="shared" si="9"/>
        <v>-65.839416058394164</v>
      </c>
    </row>
    <row r="265" spans="1:11" s="76" customFormat="1" hidden="1" outlineLevel="1">
      <c r="A265" s="252"/>
      <c r="B265" s="252"/>
      <c r="C265" s="4" t="s">
        <v>844</v>
      </c>
      <c r="D265" s="3" t="s">
        <v>845</v>
      </c>
      <c r="E265" s="74">
        <v>-64238.46</v>
      </c>
      <c r="F265" s="74"/>
      <c r="H265" s="74">
        <v>0</v>
      </c>
      <c r="I265" s="74"/>
      <c r="J265" s="74">
        <f t="shared" si="8"/>
        <v>-64238.46</v>
      </c>
      <c r="K265" s="319" t="str">
        <f t="shared" si="9"/>
        <v>n/a</v>
      </c>
    </row>
    <row r="266" spans="1:11" s="76" customFormat="1" hidden="1" outlineLevel="1">
      <c r="A266" s="252"/>
      <c r="B266" s="252"/>
      <c r="C266" s="4" t="s">
        <v>710</v>
      </c>
      <c r="D266" s="3" t="s">
        <v>711</v>
      </c>
      <c r="E266" s="74">
        <v>0</v>
      </c>
      <c r="F266" s="74"/>
      <c r="H266" s="74">
        <v>0</v>
      </c>
      <c r="I266" s="74"/>
      <c r="J266" s="74">
        <f t="shared" si="8"/>
        <v>0</v>
      </c>
      <c r="K266" s="319" t="str">
        <f t="shared" si="9"/>
        <v>n/a</v>
      </c>
    </row>
    <row r="267" spans="1:11" s="76" customFormat="1" hidden="1" outlineLevel="1">
      <c r="A267" s="252"/>
      <c r="B267" s="252"/>
      <c r="C267" s="4" t="s">
        <v>706</v>
      </c>
      <c r="D267" s="3" t="s">
        <v>707</v>
      </c>
      <c r="E267" s="74">
        <v>12717.7</v>
      </c>
      <c r="F267" s="74"/>
      <c r="H267" s="74">
        <v>1726268.62</v>
      </c>
      <c r="I267" s="74"/>
      <c r="J267" s="74">
        <f t="shared" si="8"/>
        <v>-1713550.9200000002</v>
      </c>
      <c r="K267" s="319">
        <f t="shared" si="9"/>
        <v>-0.99263283833543825</v>
      </c>
    </row>
    <row r="268" spans="1:11" s="76" customFormat="1" hidden="1" outlineLevel="1">
      <c r="A268" s="252"/>
      <c r="B268" s="252"/>
      <c r="C268" s="4" t="s">
        <v>704</v>
      </c>
      <c r="D268" s="3" t="s">
        <v>705</v>
      </c>
      <c r="E268" s="74">
        <v>550909.31000000006</v>
      </c>
      <c r="F268" s="74"/>
      <c r="H268" s="74">
        <v>582096.28</v>
      </c>
      <c r="I268" s="74"/>
      <c r="J268" s="74">
        <f t="shared" si="8"/>
        <v>-31186.969999999972</v>
      </c>
      <c r="K268" s="319">
        <f t="shared" si="9"/>
        <v>-5.3576995888034142E-2</v>
      </c>
    </row>
    <row r="269" spans="1:11" s="76" customFormat="1" hidden="1" outlineLevel="1">
      <c r="A269" s="252"/>
      <c r="B269" s="252"/>
      <c r="C269" s="4" t="s">
        <v>713</v>
      </c>
      <c r="D269" s="3" t="s">
        <v>714</v>
      </c>
      <c r="E269" s="74">
        <v>0</v>
      </c>
      <c r="F269" s="74"/>
      <c r="H269" s="74">
        <v>0</v>
      </c>
      <c r="I269" s="74"/>
      <c r="J269" s="74">
        <f t="shared" si="8"/>
        <v>0</v>
      </c>
      <c r="K269" s="319" t="str">
        <f t="shared" si="9"/>
        <v>n/a</v>
      </c>
    </row>
    <row r="270" spans="1:11" s="76" customFormat="1" hidden="1" outlineLevel="1">
      <c r="A270" s="252"/>
      <c r="B270" s="252"/>
      <c r="C270" s="4" t="s">
        <v>717</v>
      </c>
      <c r="D270" s="3" t="s">
        <v>718</v>
      </c>
      <c r="E270" s="74">
        <v>1898217.49</v>
      </c>
      <c r="F270" s="74"/>
      <c r="H270" s="74">
        <v>-974691.51</v>
      </c>
      <c r="I270" s="74"/>
      <c r="J270" s="74">
        <f t="shared" si="8"/>
        <v>2872909</v>
      </c>
      <c r="K270" s="319">
        <f t="shared" si="9"/>
        <v>-2.9475059242077526</v>
      </c>
    </row>
    <row r="271" spans="1:11" s="76" customFormat="1" hidden="1" outlineLevel="1">
      <c r="A271" s="252"/>
      <c r="B271" s="252"/>
      <c r="C271" s="4" t="s">
        <v>719</v>
      </c>
      <c r="D271" s="3" t="s">
        <v>720</v>
      </c>
      <c r="E271" s="74">
        <v>-276947.76</v>
      </c>
      <c r="F271" s="74"/>
      <c r="H271" s="74">
        <v>-218892.56</v>
      </c>
      <c r="I271" s="74"/>
      <c r="J271" s="74">
        <f t="shared" si="8"/>
        <v>-58055.200000000012</v>
      </c>
      <c r="K271" s="319">
        <f t="shared" si="9"/>
        <v>0.26522235383422815</v>
      </c>
    </row>
    <row r="272" spans="1:11" s="76" customFormat="1" hidden="1" outlineLevel="1">
      <c r="A272" s="252"/>
      <c r="B272" s="252"/>
      <c r="C272" s="4" t="s">
        <v>721</v>
      </c>
      <c r="D272" s="3" t="s">
        <v>722</v>
      </c>
      <c r="E272" s="74">
        <v>338668</v>
      </c>
      <c r="F272" s="74"/>
      <c r="H272" s="74">
        <v>488973.75</v>
      </c>
      <c r="I272" s="74"/>
      <c r="J272" s="74">
        <f t="shared" si="8"/>
        <v>-150305.75</v>
      </c>
      <c r="K272" s="319">
        <f t="shared" si="9"/>
        <v>-0.30739022289028806</v>
      </c>
    </row>
    <row r="273" spans="1:11" s="76" customFormat="1" hidden="1" outlineLevel="1">
      <c r="A273" s="252"/>
      <c r="B273" s="252"/>
      <c r="C273" s="4" t="s">
        <v>725</v>
      </c>
      <c r="D273" s="3" t="s">
        <v>726</v>
      </c>
      <c r="E273" s="74">
        <v>-338668</v>
      </c>
      <c r="F273" s="74"/>
      <c r="H273" s="74">
        <v>-488973.75</v>
      </c>
      <c r="I273" s="74"/>
      <c r="J273" s="74">
        <f t="shared" si="8"/>
        <v>150305.75</v>
      </c>
      <c r="K273" s="319">
        <f t="shared" si="9"/>
        <v>-0.30739022289028806</v>
      </c>
    </row>
    <row r="274" spans="1:11" s="76" customFormat="1" hidden="1" outlineLevel="1">
      <c r="A274" s="252"/>
      <c r="B274" s="252"/>
      <c r="C274" s="4" t="s">
        <v>729</v>
      </c>
      <c r="D274" s="3" t="s">
        <v>730</v>
      </c>
      <c r="E274" s="74">
        <v>338668</v>
      </c>
      <c r="F274" s="74"/>
      <c r="H274" s="74">
        <v>489406</v>
      </c>
      <c r="I274" s="74"/>
      <c r="J274" s="74">
        <f t="shared" si="8"/>
        <v>-150738</v>
      </c>
      <c r="K274" s="319">
        <f t="shared" si="9"/>
        <v>-0.30800194521522006</v>
      </c>
    </row>
    <row r="275" spans="1:11" s="76" customFormat="1" hidden="1" outlineLevel="1">
      <c r="A275" s="252"/>
      <c r="B275" s="252"/>
      <c r="C275" s="4" t="s">
        <v>733</v>
      </c>
      <c r="D275" s="3" t="s">
        <v>734</v>
      </c>
      <c r="E275" s="74">
        <v>-284220.40000000002</v>
      </c>
      <c r="F275" s="74"/>
      <c r="H275" s="74">
        <v>2391041.5499999998</v>
      </c>
      <c r="I275" s="74"/>
      <c r="J275" s="74">
        <f t="shared" si="8"/>
        <v>-2675261.9499999997</v>
      </c>
      <c r="K275" s="319">
        <f t="shared" si="9"/>
        <v>-1.1188688670006592</v>
      </c>
    </row>
    <row r="276" spans="1:11" s="76" customFormat="1" hidden="1" outlineLevel="1">
      <c r="A276" s="252"/>
      <c r="B276" s="252"/>
      <c r="C276" s="4" t="s">
        <v>743</v>
      </c>
      <c r="D276" s="3" t="s">
        <v>744</v>
      </c>
      <c r="E276" s="74">
        <v>0</v>
      </c>
      <c r="F276" s="74"/>
      <c r="H276" s="74">
        <v>1446</v>
      </c>
      <c r="I276" s="74"/>
      <c r="J276" s="74">
        <f t="shared" si="8"/>
        <v>-1446</v>
      </c>
      <c r="K276" s="319">
        <f t="shared" si="9"/>
        <v>-1</v>
      </c>
    </row>
    <row r="277" spans="1:11" s="76" customFormat="1" hidden="1" outlineLevel="1">
      <c r="A277" s="252"/>
      <c r="B277" s="252"/>
      <c r="C277" s="4" t="s">
        <v>751</v>
      </c>
      <c r="D277" s="3" t="s">
        <v>752</v>
      </c>
      <c r="E277" s="74">
        <v>0</v>
      </c>
      <c r="F277" s="74"/>
      <c r="H277" s="74">
        <v>-13040.12</v>
      </c>
      <c r="I277" s="74"/>
      <c r="J277" s="74">
        <f t="shared" si="8"/>
        <v>13040.12</v>
      </c>
      <c r="K277" s="319">
        <f t="shared" si="9"/>
        <v>-1</v>
      </c>
    </row>
    <row r="278" spans="1:11" s="76" customFormat="1" collapsed="1">
      <c r="A278" s="252" t="s">
        <v>1256</v>
      </c>
      <c r="B278" s="252">
        <v>-5914.5</v>
      </c>
      <c r="C278" s="4" t="s">
        <v>793</v>
      </c>
      <c r="D278" s="3" t="s">
        <v>794</v>
      </c>
      <c r="E278" s="74">
        <v>9562000</v>
      </c>
      <c r="F278" s="74">
        <f>SUM(B278:B279)+SUM(E278:E279)/1000</f>
        <v>0.5</v>
      </c>
      <c r="H278" s="74">
        <v>0</v>
      </c>
      <c r="I278" s="74">
        <f>SUM(B278:B279)+SUM(H278:H279)/1000</f>
        <v>4176.5</v>
      </c>
      <c r="J278" s="74">
        <f t="shared" si="8"/>
        <v>9562000</v>
      </c>
      <c r="K278" s="319" t="str">
        <f t="shared" si="9"/>
        <v>n/a</v>
      </c>
    </row>
    <row r="279" spans="1:11" hidden="1" outlineLevel="1">
      <c r="A279" s="252"/>
      <c r="B279" s="252"/>
      <c r="C279" s="4" t="s">
        <v>797</v>
      </c>
      <c r="D279" s="3" t="s">
        <v>798</v>
      </c>
      <c r="E279" s="74">
        <v>-3647000</v>
      </c>
      <c r="F279" s="74"/>
      <c r="H279" s="74">
        <v>10091000</v>
      </c>
      <c r="I279" s="74"/>
      <c r="J279" s="74">
        <f t="shared" si="8"/>
        <v>-13738000</v>
      </c>
      <c r="K279" s="319">
        <f t="shared" si="9"/>
        <v>-1.361411158458032</v>
      </c>
    </row>
    <row r="280" spans="1:11" s="256" customFormat="1" collapsed="1">
      <c r="A280" s="255" t="s">
        <v>1257</v>
      </c>
      <c r="B280" s="255">
        <f>SUBTOTAL(9,B2:B278)</f>
        <v>27645.123532979436</v>
      </c>
      <c r="E280" s="257">
        <f>SUM(E3:E279)</f>
        <v>-27643085.989999957</v>
      </c>
      <c r="F280" s="257">
        <f>SUM(B280:B286)+SUM(E280:E286)/1000</f>
        <v>2.0375429794803495</v>
      </c>
      <c r="G280" s="76"/>
      <c r="H280" s="257">
        <f>SUM(H3:H279)</f>
        <v>-26640893.080000073</v>
      </c>
      <c r="I280" s="257">
        <f>SUM(B280:B286)+SUM(H280:H286)/1000</f>
        <v>1004.2013798993648</v>
      </c>
      <c r="J280" s="74">
        <f t="shared" si="8"/>
        <v>-1002192.9099998847</v>
      </c>
      <c r="K280" s="319">
        <f t="shared" si="9"/>
        <v>3.7618592852364012E-2</v>
      </c>
    </row>
    <row r="281" spans="1:11">
      <c r="E281" s="74"/>
      <c r="F281" s="74"/>
      <c r="H281" s="74">
        <f>H280/1000+'[12]Income statements'!$D$44</f>
        <v>-29.073080000052869</v>
      </c>
      <c r="I281" s="74"/>
      <c r="J281" s="74">
        <f t="shared" si="8"/>
        <v>29.073080000052869</v>
      </c>
      <c r="K281" s="319">
        <f t="shared" si="9"/>
        <v>-1</v>
      </c>
    </row>
    <row r="282" spans="1:11">
      <c r="E282" s="77"/>
      <c r="H282" s="77"/>
      <c r="J282" s="77"/>
    </row>
    <row r="283" spans="1:11">
      <c r="H283" s="77"/>
      <c r="J283" s="77"/>
    </row>
    <row r="284" spans="1:11">
      <c r="H284" s="77"/>
      <c r="J284" s="77"/>
    </row>
  </sheetData>
  <mergeCells count="4">
    <mergeCell ref="C1:E1"/>
    <mergeCell ref="A1:B1"/>
    <mergeCell ref="I17:I26"/>
    <mergeCell ref="F17:F28"/>
  </mergeCells>
  <phoneticPr fontId="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83EC944ED442544899B489B518CA442" ma:contentTypeVersion="3" ma:contentTypeDescription="新建文档。" ma:contentTypeScope="" ma:versionID="93e9e55d65bd803567d5ad947b07dfea">
  <xsd:schema xmlns:xsd="http://www.w3.org/2001/XMLSchema" xmlns:xs="http://www.w3.org/2001/XMLSchema" xmlns:p="http://schemas.microsoft.com/office/2006/metadata/properties" xmlns:ns3="323b0d88-3354-480b-b1a0-97a057010eb1" targetNamespace="http://schemas.microsoft.com/office/2006/metadata/properties" ma:root="true" ma:fieldsID="af98d28a9a4dab93f2b3bad68140da7a" ns3:_="">
    <xsd:import namespace="323b0d88-3354-480b-b1a0-97a057010eb1"/>
    <xsd:element name="properties">
      <xsd:complexType>
        <xsd:sequence>
          <xsd:element name="documentManagement">
            <xsd:complexType>
              <xsd:all>
                <xsd:element ref="ns3:SharedWithUsers" minOccurs="0"/>
                <xsd:element ref="ns3:SharedWithDetail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3b0d88-3354-480b-b1a0-97a057010eb1" elementFormDefault="qualified">
    <xsd:import namespace="http://schemas.microsoft.com/office/2006/documentManagement/types"/>
    <xsd:import namespace="http://schemas.microsoft.com/office/infopath/2007/PartnerControls"/>
    <xsd:element name="SharedWithUsers" ma:index="8"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享对象详细信息" ma:internalName="SharedWithDetails" ma:readOnly="true">
      <xsd:simpleType>
        <xsd:restriction base="dms:Note">
          <xsd:maxLength value="255"/>
        </xsd:restriction>
      </xsd:simpleType>
    </xsd:element>
    <xsd:element name="SharingHintHash" ma:index="10" nillable="true" ma:displayName="共享提示哈希"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8CD956-A12C-43F6-B4FC-44582A5775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3b0d88-3354-480b-b1a0-97a057010e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FCAADC-63F1-42A6-8EAF-0AC5585A8253}">
  <ds:schemaRefs>
    <ds:schemaRef ds:uri="http://schemas.microsoft.com/sharepoint/v3/contenttype/forms"/>
  </ds:schemaRefs>
</ds:datastoreItem>
</file>

<file path=customXml/itemProps3.xml><?xml version="1.0" encoding="utf-8"?>
<ds:datastoreItem xmlns:ds="http://schemas.openxmlformats.org/officeDocument/2006/customXml" ds:itemID="{9AD6A78E-6E47-4770-BE49-9564B466F8B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PRC Spreadsheet-2020.06.30</vt:lpstr>
      <vt:lpstr>JA List</vt:lpstr>
      <vt:lpstr>Cash flow</vt:lpstr>
      <vt:lpstr>CF-2018</vt:lpstr>
      <vt:lpstr>Sheet1</vt:lpstr>
      <vt:lpstr>PRC JA list</vt:lpstr>
      <vt:lpstr>Mapping BS</vt:lpstr>
      <vt:lpstr>Mapping PL</vt:lpstr>
      <vt:lpstr>PL MAPPING</vt:lpstr>
      <vt:lpstr>PRC Spreadsheet-2019.12.31</vt:lpstr>
      <vt:lpstr>IFRS SUAD</vt:lpstr>
      <vt:lpstr>PRC Spreadsheet 20171231</vt:lpstr>
      <vt:lpstr>Financial Highlight_BS</vt:lpstr>
      <vt:lpstr>Financial Highlight_PL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2020-08-03T03:39:07Z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0x010100E83EC944ED442544899B489B518CA442</vt:lpwstr>
  </property>
</Properties>
</file>